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 sheetId="1" r:id="rId4"/>
    <sheet state="visible" name="Salary Data (Clean)" sheetId="2" r:id="rId5"/>
    <sheet state="visible" name="Form responses 1" sheetId="3" r:id="rId6"/>
    <sheet state="hidden" name="tech_stack" sheetId="4" r:id="rId7"/>
    <sheet state="hidden" name="tech_stack(cleaned)" sheetId="5" r:id="rId8"/>
  </sheets>
  <definedNames>
    <definedName name="MyData">tech_stack!$B$2:$N$436</definedName>
    <definedName hidden="1" localSheetId="1" name="_xlnm._FilterDatabase">'Salary Data (Clean)'!$A$1:$AN$722</definedName>
    <definedName hidden="1" localSheetId="4" name="_xlnm._FilterDatabase">'tech_stack(cleaned)'!$A$1:$A$1469</definedName>
  </definedNames>
  <calcPr/>
</workbook>
</file>

<file path=xl/sharedStrings.xml><?xml version="1.0" encoding="utf-8"?>
<sst xmlns="http://schemas.openxmlformats.org/spreadsheetml/2006/main" count="33414" uniqueCount="4754">
  <si>
    <t>Timestamp</t>
  </si>
  <si>
    <t>Year</t>
  </si>
  <si>
    <t>Gender</t>
  </si>
  <si>
    <t>Age</t>
  </si>
  <si>
    <t>Nationality</t>
  </si>
  <si>
    <t>Current Country of Residence</t>
  </si>
  <si>
    <t>Current State of Residence</t>
  </si>
  <si>
    <t>Current City of Residence</t>
  </si>
  <si>
    <t>Highest Level of Education</t>
  </si>
  <si>
    <t>Name of Highest Degree Obtained</t>
  </si>
  <si>
    <t>Name of School or University</t>
  </si>
  <si>
    <t>Is your Education Background related to your current job?</t>
  </si>
  <si>
    <t>Did you go through a bootcamp to learn technical skills?</t>
  </si>
  <si>
    <t>Professional Certification (Eg. CCNA, CEH, GCP Cloud Associate)</t>
  </si>
  <si>
    <t>Name of Bootcamp Course</t>
  </si>
  <si>
    <t>Name of Professional Certification(s)</t>
  </si>
  <si>
    <t>Job Title</t>
  </si>
  <si>
    <t>What is your currency code?</t>
  </si>
  <si>
    <t>What is your current monthly base salary?</t>
  </si>
  <si>
    <t>What is your current bonus compensation per year?</t>
  </si>
  <si>
    <t>What is your current equity (stock) compensation per year?</t>
  </si>
  <si>
    <t>How many days of annual leave are you entitled to?</t>
  </si>
  <si>
    <t>Company Benefits</t>
  </si>
  <si>
    <t>What technologies do you use for work on a regular basis?</t>
  </si>
  <si>
    <t>Company Location</t>
  </si>
  <si>
    <t>Company Industry</t>
  </si>
  <si>
    <t>What is the size of your company?</t>
  </si>
  <si>
    <t>What is the size of your tech team?</t>
  </si>
  <si>
    <t>What's the name of your company? [Optional]</t>
  </si>
  <si>
    <t>Satisfaction Level of Current Job</t>
  </si>
  <si>
    <t>Years of Experience</t>
  </si>
  <si>
    <t>Number of past employments/jobs (excluding the current one)</t>
  </si>
  <si>
    <t>What was your starting monthly salary?</t>
  </si>
  <si>
    <t>Indicate in 3-character currency code for starting monthly salary</t>
  </si>
  <si>
    <t>Other</t>
  </si>
  <si>
    <t>Malaysian</t>
  </si>
  <si>
    <t>Malaysia</t>
  </si>
  <si>
    <t>Confidential</t>
  </si>
  <si>
    <t>Undergraduate Degree</t>
  </si>
  <si>
    <t>Yes</t>
  </si>
  <si>
    <t>No</t>
  </si>
  <si>
    <t>Junior Software Developer</t>
  </si>
  <si>
    <t>MYR</t>
  </si>
  <si>
    <t>Company Laptop, Phone Bill Reimbursement</t>
  </si>
  <si>
    <t>PHP</t>
  </si>
  <si>
    <t>MALAYSIA</t>
  </si>
  <si>
    <t>HR</t>
  </si>
  <si>
    <t>1-10 employees</t>
  </si>
  <si>
    <t>Team of 1</t>
  </si>
  <si>
    <t>Male</t>
  </si>
  <si>
    <t>Selangor</t>
  </si>
  <si>
    <t>Klang</t>
  </si>
  <si>
    <t>Computing and Information System</t>
  </si>
  <si>
    <t>John Moores University</t>
  </si>
  <si>
    <t>Junior Software Engineer</t>
  </si>
  <si>
    <t>BTC</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</si>
  <si>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Tuition Reimbursement, Transport Allowance, Company Laptop, Company Phones, Phone Bill Reimbursement</t>
  </si>
  <si>
    <t>ASP.NET 3.5</t>
  </si>
  <si>
    <t>Selangor, Malaysia</t>
  </si>
  <si>
    <t>Financial Services</t>
  </si>
  <si>
    <t>201-1000 employees</t>
  </si>
  <si>
    <t>2 - 10 people</t>
  </si>
  <si>
    <t>Egyptian</t>
  </si>
  <si>
    <t>Johor</t>
  </si>
  <si>
    <t>Skudai</t>
  </si>
  <si>
    <t>Software Engineering</t>
  </si>
  <si>
    <t>University Teknologi Malaysia</t>
  </si>
  <si>
    <t>Remote Work</t>
  </si>
  <si>
    <t>html,css,JS</t>
  </si>
  <si>
    <t>selangor</t>
  </si>
  <si>
    <t>Retail / ecommerce</t>
  </si>
  <si>
    <t>11-50 employees</t>
  </si>
  <si>
    <t>-</t>
  </si>
  <si>
    <t>Female</t>
  </si>
  <si>
    <t>Pulau Pinang</t>
  </si>
  <si>
    <t>Computer Science</t>
  </si>
  <si>
    <t>Intern</t>
  </si>
  <si>
    <t>Health Insurance, Vacation/Personal Days, Remote Work, Gym/Wellness Reimbursement, Employee Discount, Company Laptop, Broadband/Home Internet Reimbursement</t>
  </si>
  <si>
    <t>Python</t>
  </si>
  <si>
    <t>Penang, Malaysia</t>
  </si>
  <si>
    <t>Industrials (Manufacturing, Construction, etc.)</t>
  </si>
  <si>
    <t>1,001-10,000 employees</t>
  </si>
  <si>
    <t>Shah Alam</t>
  </si>
  <si>
    <t>Electrical &amp; Electronic Engineering</t>
  </si>
  <si>
    <t>Tunku Abdul Rahman University College</t>
  </si>
  <si>
    <t>Embedded Software Engineer</t>
  </si>
  <si>
    <t>Health Insurance, Dental Claim, Maternity Leave, Paternity Leave, Sick Time (Unlimited), Free Snacks, Free Drinks, Remote Work, Gym/Wellness Reimbursement, Learning and Development, Company Laptop, Annual Flexi Allowance, Optical/Eye-wear claims</t>
  </si>
  <si>
    <t>Laptop</t>
  </si>
  <si>
    <t>Selangor,Malaysia</t>
  </si>
  <si>
    <t>Professional Services (Law, Consulting, etc.)</t>
  </si>
  <si>
    <t>&gt;10,000employees</t>
  </si>
  <si>
    <t>11 - 50 people</t>
  </si>
  <si>
    <t>EDAG</t>
  </si>
  <si>
    <t>Diploma</t>
  </si>
  <si>
    <t>Legoom Programming Track - Legoom.NET</t>
  </si>
  <si>
    <t>Undergraduate Student</t>
  </si>
  <si>
    <t>Vacation/Personal Days</t>
  </si>
  <si>
    <t>Education</t>
  </si>
  <si>
    <t>Self-employed</t>
  </si>
  <si>
    <t>Cyberjaya</t>
  </si>
  <si>
    <t>Sunway University</t>
  </si>
  <si>
    <t>Backend Developer</t>
  </si>
  <si>
    <t>Maternity Leave, Paternity Leave, Vacation/Personal Days</t>
  </si>
  <si>
    <t>Laravel</t>
  </si>
  <si>
    <t>Ss14</t>
  </si>
  <si>
    <t>Games</t>
  </si>
  <si>
    <t>Petaling Jaya</t>
  </si>
  <si>
    <t>Postgraduate</t>
  </si>
  <si>
    <t>Business Administration</t>
  </si>
  <si>
    <t>Asia E University</t>
  </si>
  <si>
    <t>CODEOP-FULLSTACK</t>
  </si>
  <si>
    <t>Freelancer</t>
  </si>
  <si>
    <t>USD</t>
  </si>
  <si>
    <t>NA</t>
  </si>
  <si>
    <t>PHYTON, NODEJS, EYE-TRACKING</t>
  </si>
  <si>
    <t>AMSTERDAM</t>
  </si>
  <si>
    <t>Healthcare</t>
  </si>
  <si>
    <t>Kajang</t>
  </si>
  <si>
    <t>SPM</t>
  </si>
  <si>
    <t>Senior Software Engineer</t>
  </si>
  <si>
    <t>Health Insurance, Life Insurance, Maternity Leave, Vacation/Personal Days, Sick Time (Unlimited), Remote Work, Company Laptop, Annual Flexi Allowance</t>
  </si>
  <si>
    <t>JavaScript, PHP, Docker, Nuxt, Inertia</t>
  </si>
  <si>
    <t>Kuala Lumpur, Malaysia</t>
  </si>
  <si>
    <t>It</t>
  </si>
  <si>
    <t>Kuala Lumpur</t>
  </si>
  <si>
    <t>Gombak</t>
  </si>
  <si>
    <t>Science</t>
  </si>
  <si>
    <t>National Sun Yat-sen University</t>
  </si>
  <si>
    <t>Software Engineer</t>
  </si>
  <si>
    <t>Health Insurance, Maternity Leave, Vacation/Personal Days, Sick Time (Unlimited), Remote Work, Learning and Development, Company Laptop</t>
  </si>
  <si>
    <t>Atlassian suites, git, Javascript</t>
  </si>
  <si>
    <t>KL, Malaysia</t>
  </si>
  <si>
    <t>51-200 employees</t>
  </si>
  <si>
    <t>51 - 200 people</t>
  </si>
  <si>
    <t>International Islamic University Malaysia</t>
  </si>
  <si>
    <t>Azure</t>
  </si>
  <si>
    <t>IT Support</t>
  </si>
  <si>
    <t>Maternity Leave, Vacation/Personal Days, Company Laptop, Company Phones, Phone Bill Reimbursement</t>
  </si>
  <si>
    <t>Windows Server, VMWare, Azure</t>
  </si>
  <si>
    <t>US</t>
  </si>
  <si>
    <t>Software</t>
  </si>
  <si>
    <t>manabolegtaw X-D</t>
  </si>
  <si>
    <t>Indonesian</t>
  </si>
  <si>
    <t>Electric &amp; Electronic Engineering</t>
  </si>
  <si>
    <t>Institut Teknologi Sepuluh Nopember</t>
  </si>
  <si>
    <t>PCAP</t>
  </si>
  <si>
    <t>Software Developer</t>
  </si>
  <si>
    <t>Employee Assistance Program, Maternity Leave, Remote Work</t>
  </si>
  <si>
    <t>Django, Docker, GIS, AWS, Backbone</t>
  </si>
  <si>
    <t>South Africa</t>
  </si>
  <si>
    <t>Consultant</t>
  </si>
  <si>
    <t>Aws cloud associate</t>
  </si>
  <si>
    <t>Software engineer</t>
  </si>
  <si>
    <t>Health Insurance, Maternity Leave, Paternity Leave, Transport Allowance, Company Laptop</t>
  </si>
  <si>
    <t>Php</t>
  </si>
  <si>
    <t>Data Infrastructure, Telecom</t>
  </si>
  <si>
    <t>Kuala Lumpur City Centre</t>
  </si>
  <si>
    <t>Company Laptop</t>
  </si>
  <si>
    <t>Angular 2</t>
  </si>
  <si>
    <t>Business</t>
  </si>
  <si>
    <t>Information Technology</t>
  </si>
  <si>
    <t>Asia Pacific University</t>
  </si>
  <si>
    <t>Health Insurance, Life Insurance, Free Lunch, Remote Work, Learning and Development, Transport/Parking Allowance, Company Laptop</t>
  </si>
  <si>
    <t>.NET</t>
  </si>
  <si>
    <t>Negeri Sembilan</t>
  </si>
  <si>
    <t>Seremban</t>
  </si>
  <si>
    <t>Malaysia Multimedia University</t>
  </si>
  <si>
    <t>CCNA, CSPO</t>
  </si>
  <si>
    <t>Lead Mobile App Engineer</t>
  </si>
  <si>
    <t>Health Insurance, Life Insurance, Dental Claim, Employee Assistance Program, Maternity Leave, Paternity Leave, Vacation/Personal Days, Sick Time (Unlimited), Remote Work, Employee Discount, Learning and Development, Transport/Parking Allowance, Company Laptop, Company Phones, Phone Bill Reimbursement, Broadband/Home Internet Reimbursement, Professional Membership Subsidy/Sponsor</t>
  </si>
  <si>
    <t>Kotlin</t>
  </si>
  <si>
    <t>Kuala lumpur</t>
  </si>
  <si>
    <t>Sabah</t>
  </si>
  <si>
    <t>Kota Kinabalu</t>
  </si>
  <si>
    <t>Business Management</t>
  </si>
  <si>
    <t>Full Stack Development -CodeOp TechSprint</t>
  </si>
  <si>
    <t>Dental Insurance, Free Snacks, Free Drinks</t>
  </si>
  <si>
    <t>Webflow</t>
  </si>
  <si>
    <t>Sabah, Malaysia</t>
  </si>
  <si>
    <t>Software Development</t>
  </si>
  <si>
    <t>Puchong</t>
  </si>
  <si>
    <t>AWS Certified Solution Architect</t>
  </si>
  <si>
    <t>Team Lead, Software Engineer</t>
  </si>
  <si>
    <t>Health Insurance, Life Insurance, Dental Insurance, Employee Assistance Program, Maternity Leave, Paternity Leave, Vacation/Personal Days, Remote Work, Relocation Bonus</t>
  </si>
  <si>
    <t>NodeJS, Docker, Kubernetes, AWS, GCP, PHP, GoLang</t>
  </si>
  <si>
    <t>Media, Creative Industries</t>
  </si>
  <si>
    <t>Perak</t>
  </si>
  <si>
    <t>Ipoh</t>
  </si>
  <si>
    <t>University Sains Malaysia</t>
  </si>
  <si>
    <t>AWA Developer Associate</t>
  </si>
  <si>
    <t>Vacation/Personal Days, Sick Time (Unlimited), Technology reimbursement</t>
  </si>
  <si>
    <t>Typescript, Python, React</t>
  </si>
  <si>
    <t>Silicon valley</t>
  </si>
  <si>
    <t>Codecademy</t>
  </si>
  <si>
    <t>Vmware VTSP , Sophos XG Firewall</t>
  </si>
  <si>
    <t>Dental Claim, Free Snacks, Free Drinks, Remote Work, Transport/Parking Allowance, Optical/Eye-wear claims</t>
  </si>
  <si>
    <t>php</t>
  </si>
  <si>
    <t>Public Service, Social Service</t>
  </si>
  <si>
    <t>Made4u</t>
  </si>
  <si>
    <t>Intelligent System Engineering</t>
  </si>
  <si>
    <t>MARA Technology University</t>
  </si>
  <si>
    <t>TRIZ and SAS</t>
  </si>
  <si>
    <t>Health Insurance, Vacation/Personal Days, Free Lunch, Free Snacks, Free Drinks, Remote Work, Gym/Wellness Reimbursement, Employee Discount, Learning and Development, Company Laptop</t>
  </si>
  <si>
    <t>PHP, SQL, .NET</t>
  </si>
  <si>
    <t>Selangor, MY</t>
  </si>
  <si>
    <t>123RF</t>
  </si>
  <si>
    <t>Cheras</t>
  </si>
  <si>
    <t>Multimedia</t>
  </si>
  <si>
    <t>Dental Claim, Remote Work, Company Laptop, Optical/Eye-wear claims</t>
  </si>
  <si>
    <t>Asp.net mvc</t>
  </si>
  <si>
    <t>Kuala lumpur,Msia</t>
  </si>
  <si>
    <t>Gateway</t>
  </si>
  <si>
    <t>Bukit Mertajam</t>
  </si>
  <si>
    <t>Employee Assistance Program, Vacation/Personal Days, Remote Work, Learning and Development, Company Laptop</t>
  </si>
  <si>
    <t>Jira,BitBucket,Git,Java,Confluence</t>
  </si>
  <si>
    <t>Open University Malaysia</t>
  </si>
  <si>
    <t>Maternity Leave, Gym/Wellness Reimbursement</t>
  </si>
  <si>
    <t>Nodejs, PHP, Python</t>
  </si>
  <si>
    <t>Agriculture, Forestry, Mining</t>
  </si>
  <si>
    <t>EP</t>
  </si>
  <si>
    <t>Computer Engineering</t>
  </si>
  <si>
    <t>UOW KDU Malaysia University &amp; College</t>
  </si>
  <si>
    <t>OCM</t>
  </si>
  <si>
    <t>Health Insurance</t>
  </si>
  <si>
    <t>Java</t>
  </si>
  <si>
    <t>Kl</t>
  </si>
  <si>
    <t>Health Insurance, Dental Claim, Maternity Leave, Paternity Leave, Learning and Development, Company Laptop, Optical/Eye-wear claims</t>
  </si>
  <si>
    <t>Java, Kotlin, Kubernetes, Linux</t>
  </si>
  <si>
    <t>Auto Vehicles</t>
  </si>
  <si>
    <t>Xiamen University Malaysia</t>
  </si>
  <si>
    <t>Health Insurance, Maternity Leave, Paternity Leave, Remote Work, Employee Discount, Learning and Development, Transport/Parking Allowance, Company Laptop, Annual Flexi Allowance, Broadband/Home Internet Reimbursement</t>
  </si>
  <si>
    <t>Java Spring Boot, Postman, SQL</t>
  </si>
  <si>
    <t>Software House</t>
  </si>
  <si>
    <t>ModeFair</t>
  </si>
  <si>
    <t>University Malaya</t>
  </si>
  <si>
    <t>IoT Developer</t>
  </si>
  <si>
    <t>Maternity Leave, Paternity Leave, Vacation/Personal Days, Remote Work</t>
  </si>
  <si>
    <t>JavaScript, NodeJS, HTML, CSS, VSCode, ExpressJS, Linux, Windows</t>
  </si>
  <si>
    <t>Pulau Pinang, Malaysia</t>
  </si>
  <si>
    <t>Business Information System</t>
  </si>
  <si>
    <t>Next Academy Web Development BootCamp</t>
  </si>
  <si>
    <t>Data Analytics Associate</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</si>
  <si>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Transport Allowance, Company Laptop, Company Phones, Phone Bill Reimbursement, Relocation Bonus, Employee Referral Program (3k bonus)</t>
  </si>
  <si>
    <t>SQL &amp; Python</t>
  </si>
  <si>
    <t>Shopee Malaysia</t>
  </si>
  <si>
    <t>0.67 years (8 months, intern)</t>
  </si>
  <si>
    <t>Singapore</t>
  </si>
  <si>
    <t>Masters Degree</t>
  </si>
  <si>
    <t>Carnegie Mellon University</t>
  </si>
  <si>
    <t>CTO</t>
  </si>
  <si>
    <t>SGD</t>
  </si>
  <si>
    <t>SGD 1,000,000</t>
  </si>
  <si>
    <t>Learning and Development</t>
  </si>
  <si>
    <t>The Internet</t>
  </si>
  <si>
    <t>Robotics</t>
  </si>
  <si>
    <t>Full-Stack Software Developer</t>
  </si>
  <si>
    <t>Health Insurance, Vacation/Personal Days, Sick Time (Unlimited)</t>
  </si>
  <si>
    <t>Javascript, React, Node</t>
  </si>
  <si>
    <t>Startup</t>
  </si>
  <si>
    <t>Tangkak</t>
  </si>
  <si>
    <t>Employee Assistance Program, Sick Time (Unlimited), Remote Work, Company Laptop</t>
  </si>
  <si>
    <t>Tensorflow, Blockchain</t>
  </si>
  <si>
    <t>Pontian</t>
  </si>
  <si>
    <t>Information System Engineering</t>
  </si>
  <si>
    <t>Information System Engineer</t>
  </si>
  <si>
    <t>Employee Discount</t>
  </si>
  <si>
    <t>JS,SQL,C#,Hyper V</t>
  </si>
  <si>
    <t>Johor, Malaysia</t>
  </si>
  <si>
    <t>Hospitality, Food, Leisure Travel</t>
  </si>
  <si>
    <t>Free Snacks, Free Drinks</t>
  </si>
  <si>
    <t>vuejs</t>
  </si>
  <si>
    <t>IT software services</t>
  </si>
  <si>
    <t>Mobile Apps Developer</t>
  </si>
  <si>
    <t>Health Insurance, Dental Claim, Maternity Leave, Paternity Leave, Free Snacks, Company Laptop, Optical/Eye-wear claims</t>
  </si>
  <si>
    <t>Mobile, Web</t>
  </si>
  <si>
    <t>Pahang</t>
  </si>
  <si>
    <t>Kuantan</t>
  </si>
  <si>
    <t>UI/UX Developer</t>
  </si>
  <si>
    <t>Paternity Leave, Vacation/Personal Days</t>
  </si>
  <si>
    <t>Wordpress, Adove Illustrator, Figma, Elementor</t>
  </si>
  <si>
    <t>GDG 2015</t>
  </si>
  <si>
    <t>System Analyst</t>
  </si>
  <si>
    <t>Dental Claim, Paternity Leave, Vacation/Personal Days</t>
  </si>
  <si>
    <t>Wordpress, ASP based system</t>
  </si>
  <si>
    <t>PAHANG, MALAYSIA</t>
  </si>
  <si>
    <t>Beauty</t>
  </si>
  <si>
    <t>NURRAYSA GLOBAL SDN BHD</t>
  </si>
  <si>
    <t>DevOps/Web Platform Support Engineer</t>
  </si>
  <si>
    <t>Health Insurance, Life Insurance, Dental Claim, Maternity Leave, Paternity Leave, Vacation/Personal Days, Remote Work, Gym/Wellness Reimbursement, Employee Discount, Learning and Development, Transport/Parking Allowance, Company Laptop, Company Phones, Phone Bill Reimbursement, Broadband/Home Internet Reimbursement, Optical/Eye-wear claims</t>
  </si>
  <si>
    <t>Akamai, AWS, TIBCO, Jira, Bitbucket</t>
  </si>
  <si>
    <t>Kuala Lumpur, MY</t>
  </si>
  <si>
    <t>ResMed</t>
  </si>
  <si>
    <t>Politeknik</t>
  </si>
  <si>
    <t>Data Scientist</t>
  </si>
  <si>
    <t>Health Insurance, Life Insurance, Dental Claim, Maternity Leave, Paternity Leave, Vacation/Personal Days, Free Lunch, Remote Work, Employee Discount, Learning and Development, Company Laptop, Company Phones, Phone Bill Reimbursement, Annual Flexi Allowance, Optical/Eye-wear claims</t>
  </si>
  <si>
    <t>Python, spark,</t>
  </si>
  <si>
    <t>Bukit Jalil</t>
  </si>
  <si>
    <t>Entertainment</t>
  </si>
  <si>
    <t>Ampang</t>
  </si>
  <si>
    <t>Python,React,.Net</t>
  </si>
  <si>
    <t>PJ</t>
  </si>
  <si>
    <t>Johor Bahru</t>
  </si>
  <si>
    <t>Pre-university (STPM, A-Levels, Matriculation, CPU, IB, etc.)</t>
  </si>
  <si>
    <t>Junior Fullstack Developer</t>
  </si>
  <si>
    <t>Free Snacks, Remote Work</t>
  </si>
  <si>
    <t>Web, Laravel, React</t>
  </si>
  <si>
    <t>Johor Bahru, Johor</t>
  </si>
  <si>
    <t>Kuchai Lama</t>
  </si>
  <si>
    <t>Senior Software Developer</t>
  </si>
  <si>
    <t>Health Insurance, Dental Insurance, Maternity Leave, Paternity Leave, Remote Work, Gym/Wellness Reimbursement, Learning and Development, Company Laptop</t>
  </si>
  <si>
    <t>React.js, Ruby, PHP</t>
  </si>
  <si>
    <t>Asia pacific university</t>
  </si>
  <si>
    <t>Android Developer</t>
  </si>
  <si>
    <t>Android studio</t>
  </si>
  <si>
    <t>Selangor , malaysia</t>
  </si>
  <si>
    <t>ATX (M) Sdn Bhd</t>
  </si>
  <si>
    <t>Kepala Batas</t>
  </si>
  <si>
    <t>Health Insurance, Life Insurance, Dental Insurance, Maternity Leave, Paternity Leave, Vacation/Personal Days, Sick Time (Unlimited), Free Lunch, Free Snacks, Free Drinks, Remote Work, Learning and Development, Company Laptop, Relocation Bonus</t>
  </si>
  <si>
    <t>.NET, Javascript, Microsoft Azure</t>
  </si>
  <si>
    <t>National Computing Centre</t>
  </si>
  <si>
    <t>Remote Work, Company Laptop</t>
  </si>
  <si>
    <t>.Net</t>
  </si>
  <si>
    <t>University Malaysia Sabah</t>
  </si>
  <si>
    <t>Free Snacks, Free Drinks, Remote Work, Company Laptop</t>
  </si>
  <si>
    <t>Java EE, SQL and JSP</t>
  </si>
  <si>
    <t>Petaling Jaya, Malaysia</t>
  </si>
  <si>
    <t>Mechatronic Engineering</t>
  </si>
  <si>
    <t>University Malaysia Pahang</t>
  </si>
  <si>
    <t>AI / Full Stack Engineer</t>
  </si>
  <si>
    <t>Health Insurance, Maternity Leave, Paternity Leave, Remote Work, Learning and Development, Transport Allowance</t>
  </si>
  <si>
    <t>AWS, Azure, Elastic, Python.</t>
  </si>
  <si>
    <t>KLang</t>
  </si>
  <si>
    <t>INTI International University College</t>
  </si>
  <si>
    <t>Solution Architect</t>
  </si>
  <si>
    <t>Health Insurance, Vacation/Personal Days, Free Drinks, Remote Work, Company Laptop</t>
  </si>
  <si>
    <t>Web , .Net, javascript,mssql</t>
  </si>
  <si>
    <t>Selangor ,malaysia</t>
  </si>
  <si>
    <t>University Putra Malaysia</t>
  </si>
  <si>
    <t>.NET Developer</t>
  </si>
  <si>
    <t>Health Insurance, Vacation/Personal Days, Free Snacks, Free Drinks, Company Laptop</t>
  </si>
  <si>
    <t>Wilayah Persekutuan, Malaysia</t>
  </si>
  <si>
    <t>Bandar Baru Bangi</t>
  </si>
  <si>
    <t>Engineering</t>
  </si>
  <si>
    <t>University of New South Wales</t>
  </si>
  <si>
    <t>Senior Android Developer</t>
  </si>
  <si>
    <t>Free Snacks, Free Drinks, Company Laptop, Company Phones</t>
  </si>
  <si>
    <t>Kotlin,Android,Java,MVVM</t>
  </si>
  <si>
    <t>Communication</t>
  </si>
  <si>
    <t>C#, Angular</t>
  </si>
  <si>
    <t>KL</t>
  </si>
  <si>
    <t>Transport, Logistics</t>
  </si>
  <si>
    <t>Transport/Parking Allowance, Company Laptop</t>
  </si>
  <si>
    <t>.Net, ASP Classic, PHP, JS</t>
  </si>
  <si>
    <t>IT services</t>
  </si>
  <si>
    <t>Semenyih</t>
  </si>
  <si>
    <t>University Tenaga Nasional</t>
  </si>
  <si>
    <t>Certified Professional Requirement Engineering</t>
  </si>
  <si>
    <t>Vacation/Personal Days, Sick Time (Unlimited), Free Breakfast, Free Lunch, Free Dinner, Free Snacks, Free Drinks, Remote Work, Learning and Development</t>
  </si>
  <si>
    <t>Ruby on Rails</t>
  </si>
  <si>
    <t>Games Development</t>
  </si>
  <si>
    <t>Senior Blockchain Developer</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</si>
  <si>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</si>
  <si>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Golang, rust, nodejs, serverless</t>
  </si>
  <si>
    <t>Penang</t>
  </si>
  <si>
    <t>Higher Diploma</t>
  </si>
  <si>
    <t>Health Insurance, Dental Claim, Maternity Leave, Paternity Leave, Vacation/Personal Days, Remote Work, Learning and Development, Transport/Parking Allowance, Company Laptop, Optical/Eye-wear claims, Company Car</t>
  </si>
  <si>
    <t>Xwiki</t>
  </si>
  <si>
    <t>None</t>
  </si>
  <si>
    <t>O</t>
  </si>
  <si>
    <t>Free Lunch</t>
  </si>
  <si>
    <t>LARAVEL, REACT-NATIVE</t>
  </si>
  <si>
    <t>KUALA LUMPUR, MALAYSIA</t>
  </si>
  <si>
    <t>LUSTREFX ENTERPRISE</t>
  </si>
  <si>
    <t>Excel, github</t>
  </si>
  <si>
    <t>Finology</t>
  </si>
  <si>
    <t>Polytechnic Nilai</t>
  </si>
  <si>
    <t>Full stack - Hacker collective</t>
  </si>
  <si>
    <t>Automation Engineer</t>
  </si>
  <si>
    <t>Life Insurance, Remote Work, Company Laptop</t>
  </si>
  <si>
    <t>PHP, Laravel, MySQL, jQuery</t>
  </si>
  <si>
    <t>Dating</t>
  </si>
  <si>
    <t>University Teknikal Malaysia Melaka</t>
  </si>
  <si>
    <t>Health Insurance, Dental Insurance, Free Breakfast, Free Lunch, Free Dinner, Free Snacks, Free Drinks, Learning and Development, Company Laptop, Phone Bill Reimbursement</t>
  </si>
  <si>
    <t>Health Insurance, Life Insurance, Dental Insurance, Maternity Leave, Free Breakfast, Remote Work, Learning and Development, Company Laptop</t>
  </si>
  <si>
    <t>.net</t>
  </si>
  <si>
    <t>3y</t>
  </si>
  <si>
    <t>Aws certified solution architect</t>
  </si>
  <si>
    <t>Cloud architect</t>
  </si>
  <si>
    <t>Health Insurance, Life Insurance, Maternity Leave, Paternity Leave, Sick Time (Unlimited), Remote Work, Learning and Development, Transport Allowance, Company Laptop, Phone Bill Reimbursement</t>
  </si>
  <si>
    <t>Cloud, docker</t>
  </si>
  <si>
    <t>KL, malaysia</t>
  </si>
  <si>
    <t>University of Ballarat</t>
  </si>
  <si>
    <t>Lead Devops Engineer</t>
  </si>
  <si>
    <t>Health Insurance, Remote Work, Company Laptop</t>
  </si>
  <si>
    <t>Java, NodeJS, AWS</t>
  </si>
  <si>
    <t>Provide Software Development Service to all industries</t>
  </si>
  <si>
    <t>Dental Claim, Maternity Leave, Free Snacks, Remote Work, Company Laptop</t>
  </si>
  <si>
    <t>Php, Javascript</t>
  </si>
  <si>
    <t>CCNA</t>
  </si>
  <si>
    <t>Vacation/Personal Days, Learning and Development, Tuition Reimbursement, Student Load Repayment Plan</t>
  </si>
  <si>
    <t>JSON, ASP.NET</t>
  </si>
  <si>
    <t>Maternity Leave, Paternity Leave, Remote Work, Learning and Development, Company Laptop</t>
  </si>
  <si>
    <t>django, jquery</t>
  </si>
  <si>
    <t>DBA Specialist</t>
  </si>
  <si>
    <t>Health Insurance, Life Insurance, Dental Insurance, Employee Assistance Program, Maternity Leave, Paternity Leave, Vacation/Personal Days, Remote Work, Gym/Wellness Reimbursement, Employee Discount, Learning and Development, Tuition Reimbursement, Company Laptop, Phone Bill Reimbursement, Relocation Bonus</t>
  </si>
  <si>
    <t>sql</t>
  </si>
  <si>
    <t>Consulting</t>
  </si>
  <si>
    <t>University Tun Hussein Onn Malaysia</t>
  </si>
  <si>
    <t>Basic .Net programming - Minister of Human Resource</t>
  </si>
  <si>
    <t>Health Insurance, Life Insurance, Dental Insurance, Maternity Leave, Paternity Leave, Vacation/Personal Days, Free Snacks, Remote Work, Gym/Wellness Reimbursement, Employee Discount, Learning and Development, Transport Allowance, Company Laptop, Phone Bill Reimbursement</t>
  </si>
  <si>
    <t>.Net, C#, SQL Server, jQuery, JS</t>
  </si>
  <si>
    <t>Diverse</t>
  </si>
  <si>
    <t>Sarawak</t>
  </si>
  <si>
    <t>Bintulu</t>
  </si>
  <si>
    <t>University Teknologi PETRONAS</t>
  </si>
  <si>
    <t>Director</t>
  </si>
  <si>
    <t>Maternity Leave, Paternity Leave, Vacation/Personal Days, Sick Time (Unlimited), Remote Work, Learning and Development</t>
  </si>
  <si>
    <t>Game development, CG, CV</t>
  </si>
  <si>
    <t>Bintulu, Sarawak</t>
  </si>
  <si>
    <t>Moredoor Interactive Sdn. Bhd.</t>
  </si>
  <si>
    <t>Senior IT Manager</t>
  </si>
  <si>
    <t>Maternity Leave, Transport/Parking Allowance, Company Laptop, Company Car</t>
  </si>
  <si>
    <t>java javascript react</t>
  </si>
  <si>
    <t>Energy, Utilities</t>
  </si>
  <si>
    <t>20 years</t>
  </si>
  <si>
    <t>United States</t>
  </si>
  <si>
    <t>California</t>
  </si>
  <si>
    <t>Los Angeles</t>
  </si>
  <si>
    <t>Health Insurance, Life Insurance, Dental Claim, Employee Assistance Program, Maternity Leave, Paternity Leave, Vacation/Personal Days, Sick Time (Unlimited), Free Breakfast, Free Lunch, Free Dinner, Free Snacks, Free Drinks,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 Company Car</t>
  </si>
  <si>
    <t>Github</t>
  </si>
  <si>
    <t>California, USA</t>
  </si>
  <si>
    <t>Indian</t>
  </si>
  <si>
    <t>Brunei</t>
  </si>
  <si>
    <t>Remote Work, Learning and Development</t>
  </si>
  <si>
    <t>Java, Spring Boot</t>
  </si>
  <si>
    <t>2 months</t>
  </si>
  <si>
    <t>1 IT Volunteer job &amp; 1 Non-IT Volunteer Work</t>
  </si>
  <si>
    <t>Butterworth</t>
  </si>
  <si>
    <t>SAFe scrum master</t>
  </si>
  <si>
    <t>Health Insurance, Life Insurance, Maternity Leave, Paternity Leave, Vacation/Personal Days, Remote Work, Gym/Wellness Reimbursement, Employee Discount, Learning and Development, Transport Allowance, Company Laptop, Company Phones, Phone Bill Reimbursement</t>
  </si>
  <si>
    <t>.NET web development, Spotfire, SQL, Workbench</t>
  </si>
  <si>
    <t>Batu Kawan, Penang</t>
  </si>
  <si>
    <t>Web Development Bootcamp - NEXT Academy</t>
  </si>
  <si>
    <t>Maternity Leave, Paternity Leave, Free Drinks, Remote Work, Transport/Parking Allowance, Company Laptop</t>
  </si>
  <si>
    <t>Company laptop, company monitor, keyboard, mouse, headphone</t>
  </si>
  <si>
    <t>Taiwan</t>
  </si>
  <si>
    <t>Taipei</t>
  </si>
  <si>
    <t>aws certified data analytics, aws certified solution architect associate</t>
  </si>
  <si>
    <t>Senior Engineer</t>
  </si>
  <si>
    <t>TWD</t>
  </si>
  <si>
    <t>Health Insurance, Life Insurance, Maternity Leave, Remote Work, Company Laptop</t>
  </si>
  <si>
    <t>python, javascript</t>
  </si>
  <si>
    <t>Taipei, Taiwan</t>
  </si>
  <si>
    <t>Internet</t>
  </si>
  <si>
    <t>First City University College</t>
  </si>
  <si>
    <t>Solution Consultant</t>
  </si>
  <si>
    <t>Dental Claim, Remote Work, Company Laptop</t>
  </si>
  <si>
    <t>Flutter</t>
  </si>
  <si>
    <t>MARA Japan Industrial Institute</t>
  </si>
  <si>
    <t>Paternity Leave, Remote Work, Company Laptop</t>
  </si>
  <si>
    <t>Wangsa Maju</t>
  </si>
  <si>
    <t>Queensland University of Technology</t>
  </si>
  <si>
    <t>Assistant manager</t>
  </si>
  <si>
    <t>Health Insurance, Life Insurance, Dental Claim</t>
  </si>
  <si>
    <t>C#, Angular, postgress</t>
  </si>
  <si>
    <t>Methodist Pilley Institute</t>
  </si>
  <si>
    <t>Senior Web Developer</t>
  </si>
  <si>
    <t>Health Insurance, Dental Claim, Company Laptop, Optical/Eye-wear claims</t>
  </si>
  <si>
    <t>PHP, HTML, CSS, Javascript</t>
  </si>
  <si>
    <t>Health Insurance, Vacation/Personal Days, Sick Time (Unlimited), Remote Work</t>
  </si>
  <si>
    <t>.NET, Kubernetes, Azure Cloud, Azure Devops, PHP Zend Framework 1,</t>
  </si>
  <si>
    <t>Paternity Leave, Sick Time (Unlimited), Remote Work, Learning and Development</t>
  </si>
  <si>
    <t>SaaS</t>
  </si>
  <si>
    <t>putrajaya</t>
  </si>
  <si>
    <t>Putrajaya</t>
  </si>
  <si>
    <t>Data Science</t>
  </si>
  <si>
    <t>University Kebangsaan Malaysia</t>
  </si>
  <si>
    <t>Junior Software Consultant</t>
  </si>
  <si>
    <t>Maternity Leave, Paternity Leave, Vacation/Personal Days, Remote Work, Learning and Development, Company Laptop, Company Phones, Phone Bill Reimbursement</t>
  </si>
  <si>
    <t>ubuntu, laravel, excel, nodejs, nginx</t>
  </si>
  <si>
    <t>cyberjaya</t>
  </si>
  <si>
    <t>Government and Government Linked Companies (GLC)</t>
  </si>
  <si>
    <t>Georgetown</t>
  </si>
  <si>
    <t>Digital Media &amp; Web</t>
  </si>
  <si>
    <t>Teesside University</t>
  </si>
  <si>
    <t>Digital Designer</t>
  </si>
  <si>
    <t>Java, PHP</t>
  </si>
  <si>
    <t>Happy Holidays</t>
  </si>
  <si>
    <t>Sibu</t>
  </si>
  <si>
    <t>Selangor Malaysia</t>
  </si>
  <si>
    <t>University Kuala Lumpur</t>
  </si>
  <si>
    <t>Paternity Leave, Vacation/Personal Days, Learning and Development, Transport Allowance, Company Laptop, Phone Bill Reimbursement</t>
  </si>
  <si>
    <t>Malaysia, Selangor</t>
  </si>
  <si>
    <t>Subang Jaya</t>
  </si>
  <si>
    <t>Health Insurance, Employee Assistance Program, Maternity Leave, Paternity Leave, Free Snacks, Free Drinks, Remote Work, Learning and Development</t>
  </si>
  <si>
    <t>Laravel, kubernetes, gcloud (gke mainly), nodejs, etc</t>
  </si>
  <si>
    <t>University Selangor</t>
  </si>
  <si>
    <t>Health Insurance, Maternity Leave, Paternity Leave, Vacation/Personal Days, Transport Allowance, Company Laptop</t>
  </si>
  <si>
    <t>laptop</t>
  </si>
  <si>
    <t>Sungai Buloh</t>
  </si>
  <si>
    <t>Health Insurance, Paternity Leave, Vacation/Personal Days, Remote Work, Company Laptop</t>
  </si>
  <si>
    <t>Cognitive Sciences</t>
  </si>
  <si>
    <t>University Malaysia Sarawak</t>
  </si>
  <si>
    <t>Assistant Manager</t>
  </si>
  <si>
    <t>Health Insurance, Company Laptop, Company Phones, Phone Bill Reimbursement</t>
  </si>
  <si>
    <t>Web application, server setup, hardware</t>
  </si>
  <si>
    <t>Health Insurance, Maternity Leave, Paternity Leave, Company Laptop</t>
  </si>
  <si>
    <t>Coldfusion</t>
  </si>
  <si>
    <t>python</t>
  </si>
  <si>
    <t>Bangi, Selangor</t>
  </si>
  <si>
    <t>Bioinformatic</t>
  </si>
  <si>
    <t>Senior System Analyst</t>
  </si>
  <si>
    <t>Health Insurance, Life Insurance, Paternity Leave, Sick Time (Unlimited), Remote Work, Employee Discount, Company Laptop</t>
  </si>
  <si>
    <t>Java, Mssql, Azure, Mysql, Mongo Atlas, Xcode, React, React Native, Springboot, K8S</t>
  </si>
  <si>
    <t>FWD Technology and Innovation Malaysia</t>
  </si>
  <si>
    <t>Melaka</t>
  </si>
  <si>
    <t>Bukit Beruang</t>
  </si>
  <si>
    <t>Maternity Leave, Paternity Leave, Sick Time (Unlimited), Free Snacks, Remote Work</t>
  </si>
  <si>
    <t>Vscode</t>
  </si>
  <si>
    <t>Bukit Beruang,Melaka,Malaysia</t>
  </si>
  <si>
    <t>Wahdah Technologies</t>
  </si>
  <si>
    <t>Arts in Human Resource</t>
  </si>
  <si>
    <t>Sekolah Menengah Taman Melawati</t>
  </si>
  <si>
    <t>Maternity Leave, Paternity Leave, Company Laptop</t>
  </si>
  <si>
    <t>HTML, CSS, JS, PHP,</t>
  </si>
  <si>
    <t>Health Insurance, Life Insurance, Dental Claim, Employee Assistance Program, Maternity Leave, Paternity Leave, Vacation/Personal Days, Gym/Wellness Reimbursement, Employee Discount, Learning and Development, Tuition Reimbursement, Company Laptop, Company Phones, Immigration Assistance, Annual Flexi Allowance, Optical/Eye-wear claims</t>
  </si>
  <si>
    <t>Ruby on Rails, VueJS, AWS, etc</t>
  </si>
  <si>
    <t>Bayan Lepas</t>
  </si>
  <si>
    <t>Dental Claim, Free Breakfast, Free Snacks, Remote Work, Company Laptop, Phone Bill Reimbursement, Broadband/Home Internet Reimbursement</t>
  </si>
  <si>
    <t>javascript framework, SasS, loopback4,</t>
  </si>
  <si>
    <t>penang</t>
  </si>
  <si>
    <t>software house for education</t>
  </si>
  <si>
    <t>Mont Kiara</t>
  </si>
  <si>
    <t>Computer Networks</t>
  </si>
  <si>
    <t>Taylor's University</t>
  </si>
  <si>
    <t>Blockchain Developer</t>
  </si>
  <si>
    <t>Immigration Assistance</t>
  </si>
  <si>
    <t>Vuejs, hardhat, subgraph, solidity</t>
  </si>
  <si>
    <t>AUD</t>
  </si>
  <si>
    <t>Batu Caves</t>
  </si>
  <si>
    <t>Remote Work, Phone Bill Reimbursement</t>
  </si>
  <si>
    <t>PHP Laravel, MySQL, Tech Support, Technical Task (Eg: hardware installation, configuration)</t>
  </si>
  <si>
    <t>Bangladesh</t>
  </si>
  <si>
    <t>GCP Professional</t>
  </si>
  <si>
    <t>Machine Learning Engineer</t>
  </si>
  <si>
    <t>Python, bash</t>
  </si>
  <si>
    <t>Web, Apps</t>
  </si>
  <si>
    <t>House &amp; Home</t>
  </si>
  <si>
    <t>Frontend Developer</t>
  </si>
  <si>
    <t>React Native</t>
  </si>
  <si>
    <t>KL , Malaysia</t>
  </si>
  <si>
    <t>Keningau</t>
  </si>
  <si>
    <t>University Malaysia Sabah (UMS)</t>
  </si>
  <si>
    <t>Don't get it what topic of the question</t>
  </si>
  <si>
    <t>Kota Kinabalu, Sabah Malaysia</t>
  </si>
  <si>
    <t>Dental Claim, Gym/Wellness Reimbursement, Transport/Parking Allowance, Company Laptop</t>
  </si>
  <si>
    <t>PHP, MSSQL</t>
  </si>
  <si>
    <t>Project Manager</t>
  </si>
  <si>
    <t>Health Insurance, Dental Claim, Paternity Leave, Vacation/Personal Days, Remote Work, Learning and Development, Company Laptop, Optical/Eye-wear claims</t>
  </si>
  <si>
    <t>Angular, .NET, C#, Azure DevOps</t>
  </si>
  <si>
    <t>Engineering (Mechatronics)</t>
  </si>
  <si>
    <t>QA Engineer</t>
  </si>
  <si>
    <t>Health Insurance, Life Insurance, Dental Claim, Paternity Leave, Remote Work, Learning and Development, Company Laptop, Broadband/Home Internet Reimbursement, Optical/Eye-wear claims</t>
  </si>
  <si>
    <t>JIRA, Zephyr, Postman, Charles Proxy</t>
  </si>
  <si>
    <t>3.5 years</t>
  </si>
  <si>
    <t>Sepang</t>
  </si>
  <si>
    <t>Senior Mobile Apps Developer</t>
  </si>
  <si>
    <t>Health Insurance, Life Insurance, Dental Claim, Vacation/Personal Days, Sick Time (Unlimited), Remote Work</t>
  </si>
  <si>
    <t>Unity3D, Flutter, Kotlin</t>
  </si>
  <si>
    <t>Charge+</t>
  </si>
  <si>
    <t>Seri Kembangan</t>
  </si>
  <si>
    <t>Support Engineer</t>
  </si>
  <si>
    <t>Health Insurance, Life Insurance, Dental Claim, Paternity Leave, Vacation/Personal Days, Sick Time (Unlimited), Remote Work, Learning and Development, Transport/Parking Allowance, Company Laptop, Company Phones, Relocation Bonus</t>
  </si>
  <si>
    <t>Java, Oracle, Weblogic</t>
  </si>
  <si>
    <t>Degree</t>
  </si>
  <si>
    <t>Health Insurance, Life Insurance, Dental Claim, Paternity Leave, Learning and Development, Company Laptop</t>
  </si>
  <si>
    <t>React Native, Azure, Node</t>
  </si>
  <si>
    <t>Bachelor's Degree</t>
  </si>
  <si>
    <t>AWS Cloud Practitioner, AWS Certified Solutions Architect, Certified Kubernetes Administration, AWS Certified SysOps Administrator, AWS Certified Developer Associate, AWS Certified DevOps Engineer, AWS Certified Solutions Architect Professional</t>
  </si>
  <si>
    <t>Health Insurance, Dental Claim, Maternity Leave, Paternity Leave, Remote Work, Learning and Development, Company Laptop, Relocation Bonus, Optical/Eye-wear claims</t>
  </si>
  <si>
    <t>GCP, AWS</t>
  </si>
  <si>
    <t>ServiceRocket</t>
  </si>
  <si>
    <t>Petroleum Geoscience</t>
  </si>
  <si>
    <t>Junior Data Scientist - CADS</t>
  </si>
  <si>
    <t>Data Analyst</t>
  </si>
  <si>
    <t>Health Insurance, Life Insurance, Dental Claim, Maternity Leave, Paternity Leave, Vacation/Personal Days, Sick Time (Unlimited), Free Lunch, Free Snacks, Remote Work, Employee Discount, Learning and Development, Company Laptop, Phone Bill Reimbursement</t>
  </si>
  <si>
    <t>SQL, Python</t>
  </si>
  <si>
    <t>KL, Malaysia.</t>
  </si>
  <si>
    <t>Moneylion</t>
  </si>
  <si>
    <t>Senior Frontend Developer</t>
  </si>
  <si>
    <t>Health Insurance, Dental Claim, Maternity Leave, Paternity Leave, Remote Work, Learning and Development, Optical/Eye-wear claims</t>
  </si>
  <si>
    <t>Vue.js, Elixir Phoenix</t>
  </si>
  <si>
    <t>Oracle SQL Certification, W3C Certified Trainer</t>
  </si>
  <si>
    <t>Health Insurance, Maternity Leave, Paternity Leave, Vacation/Personal Days, Free Drinks, Remote Work, Company Laptop, Optical/Eye-wear claims</t>
  </si>
  <si>
    <t>PHP, Postgres, MySQL, MongoDB, Vue</t>
  </si>
  <si>
    <t>Taiping</t>
  </si>
  <si>
    <t>University Utara Malaysia</t>
  </si>
  <si>
    <t>DevSecOps Intern</t>
  </si>
  <si>
    <t>Remote Work, Employee Discount, Learning and Development, Company Laptop</t>
  </si>
  <si>
    <t>Git, GitLab, Docker, SonarQube, Jenkins, Postgres</t>
  </si>
  <si>
    <t>&lt; 1</t>
  </si>
  <si>
    <t>Sentul</t>
  </si>
  <si>
    <t>Lead Software Developer</t>
  </si>
  <si>
    <t>Health Insurance, Life Insurance, Employee Assistance Program, Paternity Leave, Gym/Wellness Reimbursement, Employee Discount, Learning and Development, Transport/Parking Allowance, Company Laptop, Phone Bill Reimbursement</t>
  </si>
  <si>
    <t>kl</t>
  </si>
  <si>
    <t>printing</t>
  </si>
  <si>
    <t>Kepong</t>
  </si>
  <si>
    <t>Head of Engineering</t>
  </si>
  <si>
    <t>Health Insurance, Life Insurance, Paternity Leave, Vacation/Personal Days, Remote Work, Learning and Development, Company Laptop, Phone Bill Reimbursement, Annual Flexi Allowance</t>
  </si>
  <si>
    <t>Spring Boot, React Native</t>
  </si>
  <si>
    <t>KL, MY</t>
  </si>
  <si>
    <t>200+ people</t>
  </si>
  <si>
    <t>Health Insurance, Life Insurance, Dental Claim, Maternity Leave, Paternity Leave, Learning and Development, Tuition Reimbursement, Transport/Parking Allowance, Company Laptop, Broadband/Home Internet Reimbursement, Optical/Eye-wear claims</t>
  </si>
  <si>
    <t>PHP, Laravel, Vuejs</t>
  </si>
  <si>
    <t>TSUN JIN HIGH SCHOOL</t>
  </si>
  <si>
    <t>Self Employed</t>
  </si>
  <si>
    <t>Python , Javascript , MYSQL , PHP</t>
  </si>
  <si>
    <t>Kedah</t>
  </si>
  <si>
    <t>Gurun</t>
  </si>
  <si>
    <t>None Listed</t>
  </si>
  <si>
    <t>Gurun, Kedah</t>
  </si>
  <si>
    <t>Sungai Petani</t>
  </si>
  <si>
    <t>Health Insurance, Life Insurance, Dental Insurance, Employee Assistance Program, Maternity Leave, Paternity Leave, Vacation/Personal Days, Remote Work, Learning and Development, Transport Allowance, Company Laptop</t>
  </si>
  <si>
    <t>React,Javascript,CSS,Frontend</t>
  </si>
  <si>
    <t>Easywork</t>
  </si>
  <si>
    <t>Kuching</t>
  </si>
  <si>
    <t>Computational Science</t>
  </si>
  <si>
    <t>Engineering Technology Coordinator</t>
  </si>
  <si>
    <t>Health Insurance, Sick Time (Unlimited)</t>
  </si>
  <si>
    <t>Documentation and website development</t>
  </si>
  <si>
    <t>Sarawak kuching</t>
  </si>
  <si>
    <t>Socoe</t>
  </si>
  <si>
    <t>1 year</t>
  </si>
  <si>
    <t>Miri</t>
  </si>
  <si>
    <t>IT Executive</t>
  </si>
  <si>
    <t>Health Insurance, Remote Work, Employee Discount, Learning and Development, Company Laptop, Company Phones</t>
  </si>
  <si>
    <t>C#,NodeJS,Raspberry Pi, Android, Flutter</t>
  </si>
  <si>
    <t>SARAWAK, MALAYSIA</t>
  </si>
  <si>
    <t>Health Insurance, Paternity Leave, Company Laptop</t>
  </si>
  <si>
    <t>Aws, javascript</t>
  </si>
  <si>
    <t>gis</t>
  </si>
  <si>
    <t>A-Level</t>
  </si>
  <si>
    <t>Next Academy</t>
  </si>
  <si>
    <t>NodeJS, HTML, CSS, JS, Firebase, Linux, Git, AngularJS</t>
  </si>
  <si>
    <t>Aimst University</t>
  </si>
  <si>
    <t>Health Insurance, Life Insurance, Maternity Leave, Transport Allowance</t>
  </si>
  <si>
    <t>Jira, Bitbucket, Deploybot,</t>
  </si>
  <si>
    <t>Lenggeng</t>
  </si>
  <si>
    <t>Sick Time (Unlimited), Free Drinks, Company Laptop</t>
  </si>
  <si>
    <t>Php, Laravel, MySQL, AWS, Docker, Git</t>
  </si>
  <si>
    <t>Cyberjaya, Selangor, Malaysia</t>
  </si>
  <si>
    <t>IT</t>
  </si>
  <si>
    <t>Product Manager</t>
  </si>
  <si>
    <t>Health Insurance, Dental Claim, Employee Assistance Program, Maternity Leave, Paternity Leave, Remote Work, Learning and Development, Tuition Reimbursement, Transport/Parking Allowance, Company Laptop, Optical/Eye-wear claims</t>
  </si>
  <si>
    <t>Remote Work, Learning and Development, Transport/Parking Allowance, Company Laptop, Optical/Eye-wear claims</t>
  </si>
  <si>
    <t>Data</t>
  </si>
  <si>
    <t>Bachelor of Mathematics</t>
  </si>
  <si>
    <t>Health Insurance, Life Insurance, Paternity Leave, Vacation/Personal Days, Sick Time (Unlimited), Remote Work, Learning and Development</t>
  </si>
  <si>
    <t>Django</t>
  </si>
  <si>
    <t>Information Security</t>
  </si>
  <si>
    <t>Assistant Project Manager</t>
  </si>
  <si>
    <t>Health Insurance, Life Insurance, Employee Assistance Program, Maternity Leave, Paternity Leave, Vacation/Personal Days, Free Lunch, Gym/Wellness Reimbursement, Employee Discount, Learning and Development, Transport Allowance, Company Laptop, Company Phones, Phone Bill Reimbursement</t>
  </si>
  <si>
    <t>C#, Angular, React</t>
  </si>
  <si>
    <t>RapidMiner Analyst Professional Certificate</t>
  </si>
  <si>
    <t>Free Lunch, Free Snacks, Free Drinks, Company Laptop</t>
  </si>
  <si>
    <t>PHP Yii</t>
  </si>
  <si>
    <t>Dental Claim, Maternity Leave, Paternity Leave, Vacation/Personal Days, Company Laptop</t>
  </si>
  <si>
    <t>django, pyhton, laravel,</t>
  </si>
  <si>
    <t>selangor malaysia</t>
  </si>
  <si>
    <t>Batu Arang</t>
  </si>
  <si>
    <t>Internet Technology</t>
  </si>
  <si>
    <t>Health Insurance, Life Insurance, Dental Claim, Employee Assistance Program, Maternity Leave, Paternity Leave, Learning and Development, Transport/Parking Allowance, Company Laptop, Phone Bill Reimbursement, remote work during pandemic covid</t>
  </si>
  <si>
    <t>php, python, js, django, laravel, raspberrypi, machine learning, opencv, mysql and more</t>
  </si>
  <si>
    <t>Tamco</t>
  </si>
  <si>
    <t>less than 3 years</t>
  </si>
  <si>
    <t>Lead R&amp;D Software Engineer</t>
  </si>
  <si>
    <t>Health Insurance, Dental Claim, Remote Work, Company Laptop</t>
  </si>
  <si>
    <t>Python, Java</t>
  </si>
  <si>
    <t>Petaling Jaya, Selangor</t>
  </si>
  <si>
    <t>Software / Service Provider</t>
  </si>
  <si>
    <t>Swinburne University of Technology</t>
  </si>
  <si>
    <t>Health Insurance, Life Insurance, Dental Claim, Maternity Leave, Paternity Leave, Sick Time (Unlimited), Gym/Wellness Reimbursement, Company Laptop</t>
  </si>
  <si>
    <t>Java, MySQL, Spring, Hibernate</t>
  </si>
  <si>
    <t>Sarawak, Malaysia</t>
  </si>
  <si>
    <t>Deakin University</t>
  </si>
  <si>
    <t>Health Insurance, Dental Claim, Maternity Leave, Company Laptop</t>
  </si>
  <si>
    <t>PHP, C#</t>
  </si>
  <si>
    <t>Georgetown, Malaysia</t>
  </si>
  <si>
    <t>Systems Integrator</t>
  </si>
  <si>
    <t>Associates Software Engineer (Quality Assurance)</t>
  </si>
  <si>
    <t>Health Insurance, Employee Assistance Program, Maternity Leave, Paternity Leave, Vacation/Personal Days, Remote Work, Broadband/Home Internet Reimbursement, Professional Membership Subsidy/Sponsor</t>
  </si>
  <si>
    <t>FE (Mobile) : java, swift BE : ruby, postgresql, FE(web): React, elixir. DEVOPS: aws, kubernates. DS: PYTHON. AUTOMATION TEST : groovy (Katalon)</t>
  </si>
  <si>
    <t>FAVE</t>
  </si>
  <si>
    <t>Hacking and Security Vulnerability Management</t>
  </si>
  <si>
    <t>Associate Penetration Tester</t>
  </si>
  <si>
    <t>Health Insurance, Life Insurance, Dental Insurance, Vacation/Personal Days, Free Breakfast, Remote Work, Gym/Wellness Reimbursement, Employee Discount, Learning and Development, Company Laptop</t>
  </si>
  <si>
    <t>Astro</t>
  </si>
  <si>
    <t>Maternity Leave, Paternity Leave, Remote Work</t>
  </si>
  <si>
    <t>Mobile development</t>
  </si>
  <si>
    <t>Subang jaya</t>
  </si>
  <si>
    <t>Health Insurance, Vacation/Personal Days, Learning and Development, Company Laptop, Phone Bill Reimbursement</t>
  </si>
  <si>
    <t>Qlikview</t>
  </si>
  <si>
    <t>Food and beverages</t>
  </si>
  <si>
    <t>Health Insurance, Life Insurance, Maternity Leave, Vacation/Personal Days, Gym/Wellness Reimbursement, Employee Discount, Learning and Development, Company Laptop</t>
  </si>
  <si>
    <t>Angular</t>
  </si>
  <si>
    <t>Medical Biotechnology</t>
  </si>
  <si>
    <t>Full-Stack Web Development - Next Academy</t>
  </si>
  <si>
    <t>ReactJS, Apollo GraphQL, NextJS</t>
  </si>
  <si>
    <t>Influencer Marketing</t>
  </si>
  <si>
    <t>Health Insurance, Life Insurance, Dental Claim, Maternity Leave, Paternity Leave, Sick Time (Unlimited), Remote Work, Learning and Development, Company Laptop, Optical/Eye-wear claims</t>
  </si>
  <si>
    <t>C, jenkins,</t>
  </si>
  <si>
    <t>Health Insurance, Life Insurance, Dental Claim, Maternity Leave, Paternity Leave, Remote Work, Learning and Development, Transport/Parking Allowance, Company Laptop, Phone Bill Reimbursement, Annual Flexi Allowance</t>
  </si>
  <si>
    <t>Javascript</t>
  </si>
  <si>
    <t>DePaul University</t>
  </si>
  <si>
    <t>Health Insurance, Dental Insurance, Maternity Leave, Paternity Leave, Remote Work, Learning and Development, Company Laptop</t>
  </si>
  <si>
    <t>Nodejs, Reactjs, microservice</t>
  </si>
  <si>
    <t>Setel Ventures Sdn Bhd</t>
  </si>
  <si>
    <t>Udemy</t>
  </si>
  <si>
    <t>Health Insurance, Maternity Leave, Paternity Leave, Employee Discount, Company Laptop</t>
  </si>
  <si>
    <t>Jira, Slack, Bitbucket, VSCode</t>
  </si>
  <si>
    <t>Health Insurance, Sick Time (Unlimited), Remote Work, Company Laptop</t>
  </si>
  <si>
    <t>ANGULAR, JAVA</t>
  </si>
  <si>
    <t>JOHOR BAHRU, MALAYSIA</t>
  </si>
  <si>
    <t>University of Greenwich</t>
  </si>
  <si>
    <t>Health Insurance, Life Insurance, Dental Insurance, Employee Assistance Program, Maternity Leave, Paternity Leave, Vacation/Personal Days, Learning and Development, Company Laptop</t>
  </si>
  <si>
    <t>Vue, Net core, Tensorflow</t>
  </si>
  <si>
    <t>Keysight Technologies</t>
  </si>
  <si>
    <t>Senior Backend Developer</t>
  </si>
  <si>
    <t>Health Insurance, Dental Insurance, Maternity Leave, Paternity Leave, Employee Discount, Company Laptop</t>
  </si>
  <si>
    <t>C#, .NET CORE, Aliyun Analytic DB, PolarDB, HBase, RabbitMQ, Redis</t>
  </si>
  <si>
    <t>Dental Claim, Company Laptop</t>
  </si>
  <si>
    <t>JavaScript</t>
  </si>
  <si>
    <t>Dental Claim</t>
  </si>
  <si>
    <t>Java web</t>
  </si>
  <si>
    <t>Selangor, malaysia</t>
  </si>
  <si>
    <t>Heard Island and McDonald Islands</t>
  </si>
  <si>
    <t>R&amp;D Software Engineer</t>
  </si>
  <si>
    <t>Dental Insurance, Sick Time (Unlimited), Free Breakfast, Free Lunch, Free Dinner, Free Snacks, Free Drinks, Remote Work, Employee Discount, Learning and Development, Transport Allowance, Company Laptop</t>
  </si>
  <si>
    <t>PLC</t>
  </si>
  <si>
    <t>Health Insurance, Paternity Leave, Sick Time (Unlimited), Remote Work, Employee Discount, Learning and Development</t>
  </si>
  <si>
    <t>javascript</t>
  </si>
  <si>
    <t>Damansara Utama</t>
  </si>
  <si>
    <t>Chemical Engineering</t>
  </si>
  <si>
    <t>The University of Queensland</t>
  </si>
  <si>
    <t>Data Engineering - Fussionex</t>
  </si>
  <si>
    <t>Microsoft Azure Certified</t>
  </si>
  <si>
    <t>Data Engineer</t>
  </si>
  <si>
    <t>Health Insurance, Vacation/Personal Days, Free Snacks, Free Drinks, Remote Work, Gym/Wellness Reimbursement, Learning and Development, Transport Allowance, Company Laptop</t>
  </si>
  <si>
    <t>Kafka, Nifi, SQL, Power BI, SAP, SSIS</t>
  </si>
  <si>
    <t>Shah Alam, Selangor</t>
  </si>
  <si>
    <t>3 years</t>
  </si>
  <si>
    <t>Paternity Leave, Company Laptop</t>
  </si>
  <si>
    <t>Node, php, sas</t>
  </si>
  <si>
    <t>Health Insurance, Life Insurance, Maternity Leave, Paternity Leave, Vacation/Personal Days, Free Snacks, Free Drinks, Remote Work, Learning and Development</t>
  </si>
  <si>
    <t>Php, javascript, mysql</t>
  </si>
  <si>
    <t>Data Analytics</t>
  </si>
  <si>
    <t>Senior Solution Architect</t>
  </si>
  <si>
    <t>Health Insurance, Life Insurance, Dental Insurance, Employee Assistance Program, Paternity Leave, Vacation/Personal Days, Remote Work, Gym/Wellness Reimbursement, Employee Discount, Learning and Development, Company Laptop, Company Phones, Immigration Assistance</t>
  </si>
  <si>
    <t>AI/ML, Python, Dataiku, Hadoop, Oracle</t>
  </si>
  <si>
    <t>London, UK</t>
  </si>
  <si>
    <t>Global Bank</t>
  </si>
  <si>
    <t>Staffordshire University</t>
  </si>
  <si>
    <t>02</t>
  </si>
  <si>
    <t>freedom</t>
  </si>
  <si>
    <t>k.l</t>
  </si>
  <si>
    <t>Senior Fullstack Engineer</t>
  </si>
  <si>
    <t>Reactjs, vuejs, .net core, cubejs, nodejs, kubernete, docker, rest api</t>
  </si>
  <si>
    <t>Nilai</t>
  </si>
  <si>
    <t>Ccna</t>
  </si>
  <si>
    <t>Business Analyst</t>
  </si>
  <si>
    <t>Health Insurance, Maternity Leave, Paternity Leave, Vacation/Personal Days, Sick Time (Unlimited), Free Snacks, Free Drinks, Gym/Wellness Reimbursement, Learning and Development, Transport/Parking Allowance, Phone Bill Reimbursement</t>
  </si>
  <si>
    <t>Microsoft 365, company internal software</t>
  </si>
  <si>
    <t>7 months</t>
  </si>
  <si>
    <t>Setapak</t>
  </si>
  <si>
    <t>Health Insurance, Dental Claim, Maternity Leave, Paternity Leave, Remote Work, Optical/Eye-wear claims</t>
  </si>
  <si>
    <t>Java, sql</t>
  </si>
  <si>
    <t>Bangsar south</t>
  </si>
  <si>
    <t>assistant manager</t>
  </si>
  <si>
    <t>Health Insurance, Maternity Leave, Company Laptop</t>
  </si>
  <si>
    <t>.NET, XAMARIN</t>
  </si>
  <si>
    <t>Powercomp automation sdn bhd</t>
  </si>
  <si>
    <t>Vacation/Personal Days, Sick Time (Unlimited), Remote Work, Gym/Wellness Reimbursement, Tuition Reimbursement, Company Laptop</t>
  </si>
  <si>
    <t>Python, JS, Cloud Run, PSQL, HTML, CSS, Futter, Nosql</t>
  </si>
  <si>
    <t>Computer Game Development</t>
  </si>
  <si>
    <t>Udemy - Practical React Native</t>
  </si>
  <si>
    <t>Health Insurance, Maternity Leave, Paternity Leave, Transport/Parking Allowance, Company Laptop, Optical/Eye-wear claims</t>
  </si>
  <si>
    <t>Javascript, html, css, react, react native</t>
  </si>
  <si>
    <t>Employee Assistance Program</t>
  </si>
  <si>
    <t>Ruby on Rails, Ruby, Postgresql, bash, shell</t>
  </si>
  <si>
    <t>DNSVault</t>
  </si>
  <si>
    <t>Data Communication and Networking</t>
  </si>
  <si>
    <t>Senior Application Analyst</t>
  </si>
  <si>
    <t>Health Insurance, Dental Claim, Maternity Leave, Paternity Leave, Vacation/Personal Days, Remote Work, Gym/Wellness Reimbursement, Employee Discount, Learning and Development, Transport/Parking Allowance, Company Laptop, Phone Bill Reimbursement, Annual Flexi Allowance, Optical/Eye-wear claims, Professional Membership Subsidy/Sponsor</t>
  </si>
  <si>
    <t>Java Spring, AngularJS</t>
  </si>
  <si>
    <t>Business Analytics</t>
  </si>
  <si>
    <t>Loughborough university</t>
  </si>
  <si>
    <t>Senior Data Analyst</t>
  </si>
  <si>
    <t>Health Insurance, Company Laptop, Broadband/Home Internet Reimbursement</t>
  </si>
  <si>
    <t>SQL, python, power bi</t>
  </si>
  <si>
    <t>Kuala lumpjr, malaysia</t>
  </si>
  <si>
    <t>Rawang</t>
  </si>
  <si>
    <t>Health Insurance, Maternity Leave, Paternity Leave, Vacation/Personal Days, Learning and Development, Company Laptop</t>
  </si>
  <si>
    <t>Typescript, PHP</t>
  </si>
  <si>
    <t>Human Resources</t>
  </si>
  <si>
    <t>Company Laptop, Immigration Assistance</t>
  </si>
  <si>
    <t>Javascript, java, postgres, centos, nodejs</t>
  </si>
  <si>
    <t>Hshhs</t>
  </si>
  <si>
    <t>Hshshhs</t>
  </si>
  <si>
    <t>Health Insurance, Life Insurance, Dental Claim, Maternity Leave, Paternity Leave</t>
  </si>
  <si>
    <t>C#</t>
  </si>
  <si>
    <t>Mid valley</t>
  </si>
  <si>
    <t>Crimson logic</t>
  </si>
  <si>
    <t>Kota Damansara</t>
  </si>
  <si>
    <t>Flutter, .NET</t>
  </si>
  <si>
    <t>Health Insurance, Maternity Leave, Paternity Leave, Remote Work, Company Laptop, Company Phones, Phone Bill Reimbursement, Broadband/Home Internet Reimbursement, Company Car</t>
  </si>
  <si>
    <t>laravel,php,flutter,nodejs,vuejs,reactjs,react native</t>
  </si>
  <si>
    <t>c# c++</t>
  </si>
  <si>
    <t>telco</t>
  </si>
  <si>
    <t>Health Insurance, Dental Claim, Maternity Leave, Paternity Leave, Vacation/Personal Days, Remote Work, Gym/Wellness Reimbursement, Employee Discount</t>
  </si>
  <si>
    <t>.net core</t>
  </si>
  <si>
    <t>Singapore, Singapore</t>
  </si>
  <si>
    <t>University of Sultan Zainal Abidin</t>
  </si>
  <si>
    <t>Health Insurance, Life Insurance, Dental Claim, Employee Assistance Program, Maternity Leave, Paternity Leave, Vacation/Personal Days, Gym/Wellness Reimbursement, Learning and Development, Transport/Parking Allowance, Company Laptop, Company Phones, Annual Flexi Allowance</t>
  </si>
  <si>
    <t>CTFL, SUSE Certified Linux Administrator</t>
  </si>
  <si>
    <t>Health Insurance, Life Insurance, Dental Claim, Employee Assistance Program, Maternity Leave, Vacation/Personal Days, Free Lunch, Free Snacks, Free Drinks, Remote Work, Gym/Wellness Reimbursement, Employee Discount, Learning and Development, Company Laptop, Relocation Bonus, Annual Flexi Allowance</t>
  </si>
  <si>
    <t>go, python</t>
  </si>
  <si>
    <t>Mathematics</t>
  </si>
  <si>
    <t>Health Insurance, Life Insurance, Dental Claim, Maternity Leave, Vacation/Personal Days, Remote Work, Phone Bill Reimbursement, Broadband/Home Internet Reimbursement, Optical/Eye-wear claims, Professional Membership Subsidy/Sponsor</t>
  </si>
  <si>
    <t>Actuarial Science</t>
  </si>
  <si>
    <t>Paternity Leave, Vacation/Personal Days, Sick Time (Unlimited), Remote Work, Learning and Development, Tuition Reimbursement</t>
  </si>
  <si>
    <t>Ruby, Ruby on Rails, Javascript</t>
  </si>
  <si>
    <t>United Kingdom</t>
  </si>
  <si>
    <t>Infosec</t>
  </si>
  <si>
    <t>Kampar</t>
  </si>
  <si>
    <t>Dental Insurance, Vacation/Personal Days, Sick Time (Unlimited), Free Snacks, Employee Discount, Learning and Development, Company Laptop</t>
  </si>
  <si>
    <t>Kampar, Perak</t>
  </si>
  <si>
    <t>Ayer Keroh</t>
  </si>
  <si>
    <t>Senior software developer</t>
  </si>
  <si>
    <t>Vacation/Personal Days, Sick Time (Unlimited), Remote Work, Learning and Development, Company Laptop, Company Phones, Phone Bill Reimbursement</t>
  </si>
  <si>
    <t/>
  </si>
  <si>
    <t>Malacca, Malaysia</t>
  </si>
  <si>
    <t>Health Insurance, Dental Insurance, Transport Allowance</t>
  </si>
  <si>
    <t>Python, Deep Learning</t>
  </si>
  <si>
    <t>Kuala Lmpur</t>
  </si>
  <si>
    <t>Clinical Laboratory Science</t>
  </si>
  <si>
    <t>Health Insurance, Vacation/Personal Days, Remote Work, Company Laptop</t>
  </si>
  <si>
    <t>Nestjs, nodejs, Javascript, mongoDB, firebase, AWS</t>
  </si>
  <si>
    <t>Terang</t>
  </si>
  <si>
    <t>Health Insurance, Paternity Leave, Remote Work, Company Laptop</t>
  </si>
  <si>
    <t>Angular, flutter</t>
  </si>
  <si>
    <t>Enotaker Technology sdn Bhd</t>
  </si>
  <si>
    <t>Network+</t>
  </si>
  <si>
    <t>PHP, Laravel, Vue JS</t>
  </si>
  <si>
    <t>Damansara, Selangor</t>
  </si>
  <si>
    <t>MYEG</t>
  </si>
  <si>
    <t>iOS Software Engineer</t>
  </si>
  <si>
    <t>Vacation/Personal Days, Remote Work, Company Laptop</t>
  </si>
  <si>
    <t>Xcode, Swift</t>
  </si>
  <si>
    <t>Information System Management</t>
  </si>
  <si>
    <t>Talend Data Integration v7 Certified Developer, Microsoft Azure AZ-900, MS-900, DP-200, DP-201, AZ-104,DA-100, PL-900</t>
  </si>
  <si>
    <t>Health Insurance, Vacation/Personal Days, Remote Work, Learning and Development, Company Laptop, Free certification</t>
  </si>
  <si>
    <t>Talend, Microsoft Azure</t>
  </si>
  <si>
    <t>Arizone, USA</t>
  </si>
  <si>
    <t>Information Systems</t>
  </si>
  <si>
    <t>Microsoft Azure AI-100</t>
  </si>
  <si>
    <t>Android</t>
  </si>
  <si>
    <t>KUALA LUMPUR</t>
  </si>
  <si>
    <t>Angular, NodeJS, Retool</t>
  </si>
  <si>
    <t>Events</t>
  </si>
  <si>
    <t>MP</t>
  </si>
  <si>
    <t>Telok Panglima Garang</t>
  </si>
  <si>
    <t>Aerospace Engineering</t>
  </si>
  <si>
    <t>Health Insurance, Free Snacks, Free Drinks</t>
  </si>
  <si>
    <t>Angular, NodeJs, MongoDB, Express, Flutter, Dart</t>
  </si>
  <si>
    <t>Shah alam</t>
  </si>
  <si>
    <t>University Of Wollongong</t>
  </si>
  <si>
    <t>CCNA, Arista AWGCA, Infoblox CDCA, Peplink Sales Specialist, H3CNE, H3CSE WLAN</t>
  </si>
  <si>
    <t>Technical Consultant</t>
  </si>
  <si>
    <t>Health Insurance, Paternity Leave, Vacation/Personal Days, Sick Time (Unlimited), Free Snacks, Free Drinks, Learning and Development, Tuition Reimbursement, Transport Allowance, Company Laptop, Phone Bill Reimbursement</t>
  </si>
  <si>
    <t>Office 365, Putty, VM, HCI, routing &amp; switching, wifi 5, wifi 6,</t>
  </si>
  <si>
    <t>Distribution of IT hardware and software</t>
  </si>
  <si>
    <t>Health Insurance, Dental Insurance, Remote Work</t>
  </si>
  <si>
    <t>Laravel, vuejs</t>
  </si>
  <si>
    <t>Consultant Technology</t>
  </si>
  <si>
    <t>Health Insurance, Learning and Development, Company Laptop</t>
  </si>
  <si>
    <t>Virtusa</t>
  </si>
  <si>
    <t>Shah Alam, Malaysia</t>
  </si>
  <si>
    <t>Sheffield University</t>
  </si>
  <si>
    <t>Cloud erp</t>
  </si>
  <si>
    <t>Computer Graphics &amp; Multimedia</t>
  </si>
  <si>
    <t>N/A</t>
  </si>
  <si>
    <t>Health Insurance, Sick Time (Unlimited), Free Breakfast, Free Snacks, Free Drinks, Transport Allowance, Company Laptop</t>
  </si>
  <si>
    <t>Java, Spring-boot</t>
  </si>
  <si>
    <t>University of Hertfordshire</t>
  </si>
  <si>
    <t>Life Insurance, Maternity Leave, Free Snacks, Transport Allowance, Company Laptop</t>
  </si>
  <si>
    <t>Asp.net, Angular</t>
  </si>
  <si>
    <t>Software house</t>
  </si>
  <si>
    <t>Health Insurance, Dental Insurance, Maternity Leave, Paternity Leave, Vacation/Personal Days, Sick Time (Unlimited), Learning and Development, Company Laptop</t>
  </si>
  <si>
    <t>React, ReactNative, Flutter, NodeJS, Express</t>
  </si>
  <si>
    <t>Puchong, Selangor, Malaysia</t>
  </si>
  <si>
    <t>Health Insurance, Dental Insurance, Remote Work, Company Laptop</t>
  </si>
  <si>
    <t>Nodejs, vuejs</t>
  </si>
  <si>
    <t>PJ, Selangor</t>
  </si>
  <si>
    <t>Health Insurance, Maternity Leave, Free Lunch, Free Snacks, Free Drinks, Remote Work, Learning and Development, Transport Allowance, Company Laptop, Phone Bill Reimbursement</t>
  </si>
  <si>
    <t>Swift, Git, XCode, Jira, Bitbucket, GitHub, React Native, Kotlin, Bitrise, Zeplin</t>
  </si>
  <si>
    <t>3/ android dev for first 2, mobile dev (iOS, android , react native) for current</t>
  </si>
  <si>
    <t>Business Computing</t>
  </si>
  <si>
    <t>Management and Science University College</t>
  </si>
  <si>
    <t>Health Insurance, Life Insurance, Dental Insurance, Maternity Leave, Paternity Leave, Transport Allowance</t>
  </si>
  <si>
    <t>Hp prodesk</t>
  </si>
  <si>
    <t>Mechanical Engineering</t>
  </si>
  <si>
    <t>Remote Work, Learning and Development, Transport Allowance, Company Laptop</t>
  </si>
  <si>
    <t>React, NodeJS, Kotlin, Swift</t>
  </si>
  <si>
    <t>Consultation and build with other startups</t>
  </si>
  <si>
    <t>Pokok Mangga</t>
  </si>
  <si>
    <t>HELP University</t>
  </si>
  <si>
    <t>Paternity Leave, Remote Work, Learning and Development, Company Laptop</t>
  </si>
  <si>
    <t>Jetbrains, Svelte, Kotlin, React, Golang, MongoDB</t>
  </si>
  <si>
    <t>DISTED College</t>
  </si>
  <si>
    <t>Health Insurance, Life Insurance, Dental Insurance, Employee Assistance Program, Maternity Leave, Paternity Leave, Vacation/Personal Days, Remote Work, Employee Discount, Learning and Development, Tuition Reimbursement, Transport Allowance, Company Laptop</t>
  </si>
  <si>
    <t>Python, PKS, Kubernetes, JS</t>
  </si>
  <si>
    <t>Computer Systems Engineering</t>
  </si>
  <si>
    <t>Vue.Js, Node.Js, Feathers.js, Flutter, Mongo DB</t>
  </si>
  <si>
    <t>Kuala lumpur, Malaysia</t>
  </si>
  <si>
    <t>Japanese University (keeping it secret for anonymity)</t>
  </si>
  <si>
    <t>MS Azure Architect Technology, MS Azure Architect Design</t>
  </si>
  <si>
    <t>Health Insurance, Life Insurance, Paternity Leave, Vacation/Personal Days, Remote Work, Transport Allowance, Company Laptop</t>
  </si>
  <si>
    <t>.NET, jQuery, SQL Server, Oracle, Azure</t>
  </si>
  <si>
    <t>Nebraska, US</t>
  </si>
  <si>
    <t>Health Insurance, Life Insurance, Dental Insurance, Employee Assistance Program, Maternity Leave, Paternity Leave, Vacation/Personal Days, Remote Work, Employee Discount, Learning and Development, Company Laptop</t>
  </si>
  <si>
    <t>golang</t>
  </si>
  <si>
    <t>pj, malaysia</t>
  </si>
  <si>
    <t>Bandar Sunway</t>
  </si>
  <si>
    <t>Learn VueJS 2 - Udemy by Maximillian Schwarzmuller</t>
  </si>
  <si>
    <t>Health Insurance, Life Insurance, Dental Insurance, Maternity Leave, Paternity Leave, Vacation/Personal Days, Sick Time (Unlimited), Gym/Wellness Reimbursement, Employee Discount, Learning and Development</t>
  </si>
  <si>
    <t>React, Cordova</t>
  </si>
  <si>
    <t>OCBC Bank</t>
  </si>
  <si>
    <t>1 year 10 months</t>
  </si>
  <si>
    <t>Health Insurance, Dental Insurance, Maternity Leave, Paternity Leave, Remote Work, Company Laptop</t>
  </si>
  <si>
    <t>node.js, react.js, typescript, postgresql, python</t>
  </si>
  <si>
    <t>Health Insurance, Life Insurance, Maternity Leave, Paternity Leave, Sick Time (Unlimited), Remote Work, Company Laptop</t>
  </si>
  <si>
    <t>PHP, Laravel</t>
  </si>
  <si>
    <t>Vacation/Personal Days, Sick Time (Unlimited), Free Lunch, Free Dinner, Remote Work, Learning and Development, Company Laptop</t>
  </si>
  <si>
    <t>PHP, MYSQL, AWS</t>
  </si>
  <si>
    <t>Monash University</t>
  </si>
  <si>
    <t>Health Insurance, Employee Assistance Program, Vacation/Personal Days, Sick Time (Unlimited), Free Snacks, Remote Work, Gym/Wellness Reimbursement, Employee Discount, Learning and Development, Tuition Reimbursement, Transport Allowance</t>
  </si>
  <si>
    <t>AWS, Github.</t>
  </si>
  <si>
    <t>Kuala Lumpur, Wilayah Persekutuan, Malaysia.</t>
  </si>
  <si>
    <t>Health Insurance, Life Insurance, Dental Insurance, Maternity Leave, Paternity Leave</t>
  </si>
  <si>
    <t>java,spring</t>
  </si>
  <si>
    <t>Junior Backend Developer</t>
  </si>
  <si>
    <t>Health Insurance, Dental Claim, Maternity Leave, Paternity Leave, Free Snacks, Free Drinks</t>
  </si>
  <si>
    <t>Laravel, Vue.js, Node Js</t>
  </si>
  <si>
    <t>Midvalley</t>
  </si>
  <si>
    <t>Newsoft IT Solution</t>
  </si>
  <si>
    <t>Kota Tinggi</t>
  </si>
  <si>
    <t>Embedded Tester</t>
  </si>
  <si>
    <t>Health Insurance, Dental Claim, Maternity Leave, Paternity Leave, Company Laptop</t>
  </si>
  <si>
    <t>Python, Bash</t>
  </si>
  <si>
    <t>Nottingham University</t>
  </si>
  <si>
    <t>Health Insurance, Maternity Leave, Paternity Leave, Free Snacks, Free Drinks, Company Laptop, Relocation Bonus, Optical/Eye-wear claims</t>
  </si>
  <si>
    <t>Python, Google Cloud, Airflow, Postgres</t>
  </si>
  <si>
    <t>Engineering Lead, UX</t>
  </si>
  <si>
    <t>Health Insurance, Life Insurance, Dental Claim, Maternity Leave, Paternity Leave, Vacation/Personal Days, Remote Work, Learning and Development, Transport/Parking Allowance, Company Laptop, Phone Bill Reimbursement, Broadband/Home Internet Reimbursement</t>
  </si>
  <si>
    <t>AWS, Node.js, TypeScript, React</t>
  </si>
  <si>
    <t>Dental Claim, Remote Work, Learning and Development, Company Laptop</t>
  </si>
  <si>
    <t>C#, ASP.NET, MVC, GITHUB, ANGULAR, JAVASCRIPT, JQUERY, BOOTSTRAP</t>
  </si>
  <si>
    <t>4+</t>
  </si>
  <si>
    <t>Health Insurance, Life Insurance, Dental Claim, Maternity Leave, Paternity Leave, Vacation/Personal Days, Remote Work, Learning and Development, Transport/Parking Allowance, Company Laptop, Optical/Eye-wear claims</t>
  </si>
  <si>
    <t>Campbell University</t>
  </si>
  <si>
    <t>Health Insurance, Life Insurance, Maternity Leave, Paternity Leave, Vacation/Personal Days, Sick Time (Unlimited), Free Snacks, Free Drinks, Remote Work, Gym/Wellness Reimbursement, Employee Discount, Learning and Development, Company Laptop, Company Phones, Broadband/Home Internet Reimbursement, Professional Membership Subsidy/Sponsor</t>
  </si>
  <si>
    <t>.Net, MySQL, AWS, NodeJS, Flutter, HTML5</t>
  </si>
  <si>
    <t>Kedah, Malaysia</t>
  </si>
  <si>
    <t>Azure Security Engineer Associate</t>
  </si>
  <si>
    <t>Security Engineer</t>
  </si>
  <si>
    <t>Health Insurance, Gym/Wellness Reimbursement, Employee Discount, Learning and Development, Company Laptop, Annual Flexi Allowance</t>
  </si>
  <si>
    <t>Microsoft O365</t>
  </si>
  <si>
    <t>System Developer</t>
  </si>
  <si>
    <t>Health Insurance, Dental Claim, Employee Assistance Program, Vacation/Personal Days</t>
  </si>
  <si>
    <t>Laravel, Javascript</t>
  </si>
  <si>
    <t>MPOB</t>
  </si>
  <si>
    <t>University of Southampton</t>
  </si>
  <si>
    <t>Azure Developer Associate</t>
  </si>
  <si>
    <t>Health Insurance, Life Insurance, Vacation/Personal Days, Company Laptop</t>
  </si>
  <si>
    <t>Angular, VueJS, Typescript, Java Spring, SQL, Docker, Kotlin</t>
  </si>
  <si>
    <t>Arts</t>
  </si>
  <si>
    <t>34000SGD per annum</t>
  </si>
  <si>
    <t>Health Insurance, Dental Insurance, Maternity Leave, Paternity Leave, Vacation/Personal Days, Free Snacks, Free Drinks, Remote Work, Employee Discount, Learning and Development, Tuition Reimbursement, Transport Allowance</t>
  </si>
  <si>
    <t>UCSI University</t>
  </si>
  <si>
    <t>Health Insurance, Maternity Leave, Remote Work</t>
  </si>
  <si>
    <t>MacBook</t>
  </si>
  <si>
    <t>1.5 years</t>
  </si>
  <si>
    <t>ISTQB</t>
  </si>
  <si>
    <t>Design Engineer</t>
  </si>
  <si>
    <t>Health Insurance, Life Insurance, Dental Insurance, Maternity Leave, Paternity Leave, Employee Discount, Transport Allowance, Company Laptop</t>
  </si>
  <si>
    <t>Don't understand</t>
  </si>
  <si>
    <t>Sony</t>
  </si>
  <si>
    <t>Health Insurance, Life Insurance, Dental Insurance, Paternity Leave, Vacation/Personal Days, Sick Time (Unlimited), Free Breakfast, Free Lunch, Free Dinner, Free Snacks, Free Drinks, Remote Work, Employee Discount, Company Laptop, Phone Bill Reimbursement</t>
  </si>
  <si>
    <t>Nodejs, aws, python</t>
  </si>
  <si>
    <t>Health Insurance, Vacation/Personal Days, Sick Time (Unlimited), Remote Work, Company Laptop</t>
  </si>
  <si>
    <t>web frameworks, streaming, distributed platform, search database, scripting languages, IDS, open source automation package</t>
  </si>
  <si>
    <t>Negeri Sembilan, Malaysia</t>
  </si>
  <si>
    <t xml:space="preserve">Science </t>
  </si>
  <si>
    <t>Vacation/Personal Days, Remote Work</t>
  </si>
  <si>
    <t>Laravel, Vue.js, Flutter</t>
  </si>
  <si>
    <t>Health Insurance, Life Insurance, Maternity Leave, Paternity Leave, Vacation/Personal Days, Sick Time (Unlimited), Free Lunch, Free Drinks, Learning and Development, Transport/Parking Allowance, Company Laptop</t>
  </si>
  <si>
    <t>C#, Python, AWS</t>
  </si>
  <si>
    <t>Kulai Johor</t>
  </si>
  <si>
    <t>Health Insurance, Life Insurance, Dental Claim, Maternity Leave, Paternity Leave, Remote Work, Employee Discount, Learning and Development, Optical/Eye-wear claims, E-wallet allowance</t>
  </si>
  <si>
    <t>Android Studio</t>
  </si>
  <si>
    <t>Nxforce</t>
  </si>
  <si>
    <t>Health Insurance, Dental Claim, Maternity Leave, Paternity Leave, Remote Work, Transport/Parking Allowance, Company Laptop</t>
  </si>
  <si>
    <t>Laptpp, phone</t>
  </si>
  <si>
    <t>Tech</t>
  </si>
  <si>
    <t>5 months</t>
  </si>
  <si>
    <t>Agricultural &amp; Biosystem Engineering</t>
  </si>
  <si>
    <t>.Net, Mssql, Jquery</t>
  </si>
  <si>
    <t>AZ-204</t>
  </si>
  <si>
    <t>Associate Software Engineer</t>
  </si>
  <si>
    <t>Health Insurance, Dental Claim, Employee Assistance Program, Maternity Leave, Paternity Leave, Remote Work, Gym/Wellness Reimbursement, Learning and Development, Transport/Parking Allowance, Company Laptop, Optical/Eye-wear claims, Professional Membership Subsidy/Sponsor</t>
  </si>
  <si>
    <t>C#,. NET MVC</t>
  </si>
  <si>
    <t>RM 2000</t>
  </si>
  <si>
    <t>Health Insurance, Dental Claim, Paternity Leave, Remote Work</t>
  </si>
  <si>
    <t>COLDFUSION</t>
  </si>
  <si>
    <t>Engineering Lead</t>
  </si>
  <si>
    <t>Health Insurance, Dental Claim, Maternity Leave, Paternity Leave, Remote Work, Employee Discount, Learning and Development, Company Laptop, Optical/Eye-wear claims</t>
  </si>
  <si>
    <t>nodejs, react, nestjs</t>
  </si>
  <si>
    <t>Telecommunication Engineering</t>
  </si>
  <si>
    <t>Data engineer</t>
  </si>
  <si>
    <t>Health Insurance, Dental Claim, Employee Assistance Program, Maternity Leave, Vacation/Personal Days, Sick Time (Unlimited), Free Snacks, Remote Work, Learning and Development, Transport/Parking Allowance, Company Laptop, Broadband/Home Internet Reimbursement, Optical/Eye-wear claims</t>
  </si>
  <si>
    <t>Python, typescript</t>
  </si>
  <si>
    <t>Kuala lumpur, malaysia</t>
  </si>
  <si>
    <t>Health Insurance, Life Insurance, Paternity Leave</t>
  </si>
  <si>
    <t>Node js, React, AWS</t>
  </si>
  <si>
    <t>Health Insurance, Maternity Leave, Paternity Leave, Remote Work, Learning and Development, Company Laptop</t>
  </si>
  <si>
    <t>HTML, CSS, Javascript, JQuery, PHP</t>
  </si>
  <si>
    <t>Sitiawan</t>
  </si>
  <si>
    <t>Health Insurance, Maternity Leave, Free Snacks, Free Drinks, Remote Work, Employee Discount, Company Laptop</t>
  </si>
  <si>
    <t>Javascript, jQuery, Spark AR</t>
  </si>
  <si>
    <t>University Malaysia Perlis</t>
  </si>
  <si>
    <t>Health Insurance, Maternity Leave, Paternity Leave, Vacation/Personal Days</t>
  </si>
  <si>
    <t>Flutter, Android</t>
  </si>
  <si>
    <t>Manufacturing</t>
  </si>
  <si>
    <t>Syrian</t>
  </si>
  <si>
    <t>Health Insurance, Company Laptop</t>
  </si>
  <si>
    <t>Kotlin, Android Studio, Slack, ClickUp</t>
  </si>
  <si>
    <t>Coursera, edX, Datacamp</t>
  </si>
  <si>
    <t>Health Insurance, Dental Insurance, Vacation/Personal Days, Remote Work, Company Laptop, Phone Bill Reimbursement</t>
  </si>
  <si>
    <t>Batang Kali</t>
  </si>
  <si>
    <t>Melbourne, Australia</t>
  </si>
  <si>
    <t>Associate Android Developer</t>
  </si>
  <si>
    <t>Sick Time (Unlimited), Remote Work</t>
  </si>
  <si>
    <t>Flutter,Golang,Nodejs,Vuejs</t>
  </si>
  <si>
    <t>KL Sentral</t>
  </si>
  <si>
    <t>Health Insurance, Maternity Leave, Sick Time (Unlimited), Remote Work, Company Laptop</t>
  </si>
  <si>
    <t>Health Insurance, Maternity Leave, Free Snacks, Transport Allowance</t>
  </si>
  <si>
    <t>React Native, Graphql</t>
  </si>
  <si>
    <t>Tech Outsourcing</t>
  </si>
  <si>
    <t>Maternity Leave, Paternity Leave, Vacation/Personal Days, Company Laptop</t>
  </si>
  <si>
    <t>Laravel, VueJs, Gitlab, Restful Api</t>
  </si>
  <si>
    <t>PA Communication Sdn Bhd</t>
  </si>
  <si>
    <t>Gelugor</t>
  </si>
  <si>
    <t>Dental Claim, Learning and Development, Annual Flexi Allowance</t>
  </si>
  <si>
    <t>AI</t>
  </si>
  <si>
    <t>Biological Science</t>
  </si>
  <si>
    <t>Sick Time (Unlimited), Remote Work, Company Laptop</t>
  </si>
  <si>
    <t>react</t>
  </si>
  <si>
    <t>3m</t>
  </si>
  <si>
    <t>Legal Practice</t>
  </si>
  <si>
    <t>Brickfields Asia College</t>
  </si>
  <si>
    <t>Health Insurance, Dental Claim, Maternity Leave, Vacation/Personal Days, Sick Time (Unlimited), Free Snacks, Free Drinks, Remote Work, Transport/Parking Allowance, Company Laptop, Optical/Eye-wear claims</t>
  </si>
  <si>
    <t>Kotlin, Java</t>
  </si>
  <si>
    <t>Computer &amp; Networking</t>
  </si>
  <si>
    <t>Health Insurance, Dental Claim, Employee Assistance Program, Maternity Leave, Paternity Leave, Remote Work, Learning and Development, Transport/Parking Allowance, Company Laptop</t>
  </si>
  <si>
    <t>Spring Boot, Stripes, React Native, Mysql, db2</t>
  </si>
  <si>
    <t>Health Insurance, Life Insurance, Dental Claim, Employee Assistance Program, Maternity Leave, Sick Time (Unlimited), Free Snacks, Free Drinks, Remote Work, Learning and Development, Tuition Reimbursement, Transport/Parking Allowance, Company Laptop, Company Phones, Immigration Assistance, Phone Bill Reimbursement, Broadband/Home Internet Reimbursement, Optical/Eye-wear claims, Professional Membership Subsidy/Sponsor</t>
  </si>
  <si>
    <t>Web development, mobile development</t>
  </si>
  <si>
    <t>Cheras, Selangor</t>
  </si>
  <si>
    <t>Human Resource</t>
  </si>
  <si>
    <t>Monash university</t>
  </si>
  <si>
    <t>Health Insurance, Dental Claim, Maternity Leave, Paternity Leave, Vacation/Personal Days, Gym/Wellness Reimbursement, Professional Membership Subsidy/Sponsor</t>
  </si>
  <si>
    <t>Internal</t>
  </si>
  <si>
    <t>Certified Scrum Master (CSM)</t>
  </si>
  <si>
    <t>Health Insurance, Life Insurance, Dental Claim, Company Laptop, Annual Flexi Allowance</t>
  </si>
  <si>
    <t>C++,Java,Angular,Python</t>
  </si>
  <si>
    <t>Broadcasting</t>
  </si>
  <si>
    <t>Indonesia</t>
  </si>
  <si>
    <t>Health Insurance, Dental Claim, Employee Assistance Program, Maternity Leave, Paternity Leave, Vacation/Personal Days, Free Drinks, Remote Work, Employee Discount, Company Laptop, Company Phones, Optical/Eye-wear claims</t>
  </si>
  <si>
    <t>C#, jQuery</t>
  </si>
  <si>
    <t>aws solution architect, alibaba certified</t>
  </si>
  <si>
    <t>Technology Evangelist</t>
  </si>
  <si>
    <t>Paternity Leave, Remote Work, Transport/Parking Allowance, Company Laptop</t>
  </si>
  <si>
    <t>miro, teams, ide</t>
  </si>
  <si>
    <t>malaysia</t>
  </si>
  <si>
    <t>Health Insurance, Dental Claim, Paternity Leave, Vacation/Personal Days, Sick Time (Unlimited), Remote Work, Employee Discount, Transport/Parking Allowance, Company Laptop, Broadband/Home Internet Reimbursement</t>
  </si>
  <si>
    <t>HTML5, CSS3, JavaScript, React JS</t>
  </si>
  <si>
    <t>Cyberjaya, Malaysia</t>
  </si>
  <si>
    <t>Life Insurance, Dental Claim, Free Breakfast, Free Lunch, Free Dinner, Company Laptop, Optical/Eye-wear claims</t>
  </si>
  <si>
    <t>PHP, Yii, Javascript, MySQL</t>
  </si>
  <si>
    <t>Polytechnic Kuching Sarawak</t>
  </si>
  <si>
    <t>Health Insurance, Maternity Leave, Free Snacks, Free Drinks, Remote Work, Employee Discount, Learning and Development, Transport/Parking Allowance, Company Laptop</t>
  </si>
  <si>
    <t>Vue, CSS, HTML, WordPress &amp; etc</t>
  </si>
  <si>
    <t>Software in-house</t>
  </si>
  <si>
    <t>Health Insurance, Life Insurance, Dental Claim, Maternity Leave, Paternity Leave, Vacation/Personal Days, Employee Discount, Learning and Development, Tuition Reimbursement, Company Laptop, Phone Bill Reimbursement, Optical/Eye-wear claims</t>
  </si>
  <si>
    <t>Melaka,Malaysia</t>
  </si>
  <si>
    <t>Infineon Technologies Sdn Bhd</t>
  </si>
  <si>
    <t>Taman Melati</t>
  </si>
  <si>
    <t>Employee Discount, Company Laptop, Company Phones, Phone Bill Reimbursement</t>
  </si>
  <si>
    <t>React Native, Objective - C, Swift</t>
  </si>
  <si>
    <t>Applied Mathematics</t>
  </si>
  <si>
    <t>100 Days of Codes: The Complete Python Pro Bootcamp - Udemy</t>
  </si>
  <si>
    <t>Health Insurance, Dental Claim, Maternity Leave, Paternity Leave, Remote Work, Transport/Parking Allowance, Company Laptop, Company Phones, Optical/Eye-wear claims</t>
  </si>
  <si>
    <t>IBM AS400, SQL</t>
  </si>
  <si>
    <t>Scrum Master, MCPS</t>
  </si>
  <si>
    <t>Health Insurance, Life Insurance, Maternity Leave, Paternity Leave, Vacation/Personal Days, Remote Work, Transport/Parking Allowance, Company Laptop, Company Phones</t>
  </si>
  <si>
    <t>React,.NET Core,Docker,GCP</t>
  </si>
  <si>
    <t>Artificial Intelligence</t>
  </si>
  <si>
    <t>Health Insurance, Life Insurance, Dental Claim, Employee Assistance Program, Maternity Leave, Paternity Leave, Vacation/Personal Days, Remote Work, Gym/Wellness Reimbursement, Learning and Development, Tuition Reimbursement, Transport/Parking Allowance, Company Laptop, Phone Bill Reimbursement, Broadband/Home Internet Reimbursement, Optical/Eye-wear claims</t>
  </si>
  <si>
    <t>c#, sql, js, angular</t>
  </si>
  <si>
    <t>all</t>
  </si>
  <si>
    <t>Analytical Economics</t>
  </si>
  <si>
    <t>Data Star - MDEC</t>
  </si>
  <si>
    <t>PowerBI, Tableau, GCP Data Analysis</t>
  </si>
  <si>
    <t>Health Insurance, Life Insurance, Maternity Leave, Vacation/Personal Days, Employee Discount, Company Laptop</t>
  </si>
  <si>
    <t>Redshift, BI tools</t>
  </si>
  <si>
    <t>Petroleum Engineering</t>
  </si>
  <si>
    <t>The Pennsylvania State University</t>
  </si>
  <si>
    <t>Health Insurance, Dental Claim, Employee Assistance Program, Maternity Leave, Paternity Leave, Vacation/Personal Days, Remote Work, Learning and Development, Company Laptop, Phone Bill Reimbursement, Broadband/Home Internet Reimbursement, Optical/Eye-wear claims</t>
  </si>
  <si>
    <t>AWS Redshift, python</t>
  </si>
  <si>
    <t>SELANGOR, MALAYSIA</t>
  </si>
  <si>
    <t>10k USD over 4 years</t>
  </si>
  <si>
    <t>Health Insurance, Dental Claim, Maternity Leave, Vacation/Personal Days, Sick Time (Unlimited), Free Snacks, Remote Work, Company Laptop, Annual Flexi Allowance, Optical/Eye-wear claims</t>
  </si>
  <si>
    <t>aws</t>
  </si>
  <si>
    <t>Health Insurance, Dental Claim, Maternity Leave, Learning and Development</t>
  </si>
  <si>
    <t>Java, android</t>
  </si>
  <si>
    <t>Health Insurance, Life Insurance, Dental Claim, Employee Assistance Program</t>
  </si>
  <si>
    <t>React native</t>
  </si>
  <si>
    <t>Kl, Kuala Lumpur</t>
  </si>
  <si>
    <t>University Pendidikan Sultan Idris</t>
  </si>
  <si>
    <t>Laravel, Ionic</t>
  </si>
  <si>
    <t>Udacity Frontend Dev</t>
  </si>
  <si>
    <t>Health Insurance, Life Insurance, Remote Work, Learning and Development, Tuition Reimbursement, Company Laptop, Company Phones</t>
  </si>
  <si>
    <t>LAMP, AR stuff</t>
  </si>
  <si>
    <t>Junior Mobile App Developer</t>
  </si>
  <si>
    <t>Health Insurance, Life Insurance, Vacation/Personal Days, Free Snacks, Free Drinks, Learning and Development, Company Laptop, Company Phones</t>
  </si>
  <si>
    <t>Flutter , Android Java/kotlin, Swift (ios)</t>
  </si>
  <si>
    <t>Kuala Lumpur,Malaysia</t>
  </si>
  <si>
    <t>ASP.NET 4.5, C#</t>
  </si>
  <si>
    <t>Networking System</t>
  </si>
  <si>
    <t>Health Insurance, Sick Time (Unlimited), Remote Work, Company Laptop, Phone Bill Reimbursement</t>
  </si>
  <si>
    <t>PHP, Javascript, Laravel, Vue JS, React JS</t>
  </si>
  <si>
    <t>Life Insurance, Dental Insurance, Transport Allowance</t>
  </si>
  <si>
    <t>react, js, redux</t>
  </si>
  <si>
    <t>Sick Time (Unlimited)</t>
  </si>
  <si>
    <t>Vscode, MacOS, Xcode, Android Studio</t>
  </si>
  <si>
    <t>Health Insurance, Life Insurance, Company Laptop, Phone Bill Reimbursement</t>
  </si>
  <si>
    <t>Health Insurance, Life Insurance, Maternity Leave, Paternity Leave, Vacation/Personal Days, Remote Work, Gym/Wellness Reimbursement, Learning and Development, Company Laptop</t>
  </si>
  <si>
    <t>C#, Angular, C++</t>
  </si>
  <si>
    <t>Wilayah Kuala Lumpur, Malaysia</t>
  </si>
  <si>
    <t>Electromechanical Engineering</t>
  </si>
  <si>
    <t>Salesforce Developer, Azure Developer Associate</t>
  </si>
  <si>
    <t>Health Insurance, Life Insurance, Paternity Leave, Vacation/Personal Days, Learning and Development, Optical allowance</t>
  </si>
  <si>
    <t>Kotlin, Java, SQL, Javascript, Typescript, VueJS, Angular, Docker</t>
  </si>
  <si>
    <t>Health Insurance, Life Insurance, Dental Insurance, Paternity Leave, Company Laptop</t>
  </si>
  <si>
    <t>PHP Laravel</t>
  </si>
  <si>
    <t>Health Insurance, Life Insurance, Dental Insurance, Learning and Development, Transport Allowance, Company Laptop</t>
  </si>
  <si>
    <t>aws, javascript, graphql, PostgreSQL</t>
  </si>
  <si>
    <t>Health Insurance, Life Insurance, Dental Insurance, Vacation/Personal Days, Gym/Wellness Reimbursement, Learning and Development</t>
  </si>
  <si>
    <t>MCSD,MCSA</t>
  </si>
  <si>
    <t>Dental Insurance, Employee Assistance Program, Maternity Leave, Paternity Leave, Vacation/Personal Days, Free Drinks, Remote Work, Employee Discount, Learning and Development, Company Laptop</t>
  </si>
  <si>
    <t>c#, react</t>
  </si>
  <si>
    <t>CCNA, Certified Widevine Integration Partner (CWIP)</t>
  </si>
  <si>
    <t>Lead, Software Engineer</t>
  </si>
  <si>
    <t>Health Insurance, Life Insurance, Paternity Leave, Vacation/Personal Days, Free Snacks, Free Drinks, Remote Work, Learning and Development, Transport Allowance, Company Laptop, Company Phones</t>
  </si>
  <si>
    <t>AWS, Python, JavaScript, NodeJS, VueJS</t>
  </si>
  <si>
    <t>Health Insurance, Maternity Leave, Paternity Leave, Vacation/Personal Days, Remote Work, Employee Discount, Learning and Development, Company Laptop, Company Phones, Phone Bill Reimbursement</t>
  </si>
  <si>
    <t>Angular, C#, Python, Azure services</t>
  </si>
  <si>
    <t>Web developer bootcamp, data scientist bootcamp, python bootcamp - udemy</t>
  </si>
  <si>
    <t>Software Test Engineer</t>
  </si>
  <si>
    <t>Health Insurance, Life Insurance, Dental Insurance, Sick Time (Unlimited), Remote Work, Learning and Development, Company Laptop, Company Phones</t>
  </si>
  <si>
    <t>Python(Appium &amp; Selenium) , Embedded C, National Instruments (NI-DAQ)</t>
  </si>
  <si>
    <t>Ruby Full Stack Web Dev - NEXT Academy</t>
  </si>
  <si>
    <t>Health Insurance, Life Insurance, Maternity Leave, Paternity Leave, Vacation/Personal Days, Remote Work, Employee Discount, Learning and Development, Tuition Reimbursement, Phone Bill Reimbursement</t>
  </si>
  <si>
    <t>Health Insurance, Maternity Leave, Paternity Leave, Employee Discount</t>
  </si>
  <si>
    <t>Computer</t>
  </si>
  <si>
    <t>Tableau, power bi, GCP,</t>
  </si>
  <si>
    <t>Health Insurance, Life Insurance, Dental Insurance, Vacation/Personal Days, Transport Allowance</t>
  </si>
  <si>
    <t>Redshift, Holistics</t>
  </si>
  <si>
    <t>Damansara</t>
  </si>
  <si>
    <t>A fintech company</t>
  </si>
  <si>
    <t>Health Insurance, Life Insurance, Dental Insurance, Employee Assistance Program, Maternity Leave, Vacation/Personal Days, Sick Time (Unlimited), Employee Discount</t>
  </si>
  <si>
    <t>Jsp, .Net</t>
  </si>
  <si>
    <t>WPKL, Malaysia</t>
  </si>
  <si>
    <t>Insurance Software House</t>
  </si>
  <si>
    <t>Paul Sabatier University</t>
  </si>
  <si>
    <t>AWS Certified Cloud Practitioner, AWS Certified Solution Architect Associate Level</t>
  </si>
  <si>
    <t>Health Insurance, Life Insurance, Dental Insurance, Employee Assistance Program, Maternity Leave, Paternity Leave, Vacation/Personal Days, Remote Work, Gym/Wellness Reimbursement, Employee Discount, Learning and Development, Tuition Reimbursement, Transport Allowance, Company Laptop, Phone Bill Reimbursement</t>
  </si>
  <si>
    <t>Azure, Cloud, Microsoft stack</t>
  </si>
  <si>
    <t>Software Specialist</t>
  </si>
  <si>
    <t>Health Insurance, Free Breakfast, Free Snacks, Free Drinks, Remote Work, Employee Discount</t>
  </si>
  <si>
    <t>Java, C#, .NET, Spring boot, Ms sql, Svn</t>
  </si>
  <si>
    <t>iFAST Capital Sdn Bhd</t>
  </si>
  <si>
    <t>Pharmaceutical Science</t>
  </si>
  <si>
    <t>42KL</t>
  </si>
  <si>
    <t>Health Insurance, Dental Claim, Maternity Leave, Sick Time (Unlimited), Remote Work, Transport/Parking Allowance, Company Laptop</t>
  </si>
  <si>
    <t>AWS and Microsoft bootcamps</t>
  </si>
  <si>
    <t>AWS SysOps Associate, AWS Solutions Architect Associate</t>
  </si>
  <si>
    <t>Senior DevOps Engineer</t>
  </si>
  <si>
    <t>Health Insurance, Dental Claim, Maternity Leave, Paternity Leave, Vacation/Personal Days, Remote Work, Learning and Development, Transport/Parking Allowance, Company Laptop, Optical/Eye-wear claims</t>
  </si>
  <si>
    <t>AWS ECS, Azure DevOps, Terraform, Ansible, Docker</t>
  </si>
  <si>
    <t>Kulim</t>
  </si>
  <si>
    <t>Adelaide University</t>
  </si>
  <si>
    <t>AI Software Developer</t>
  </si>
  <si>
    <t>Health Insurance, Life Insurance, Dental Insurance, Vacation/Personal Days, Free Lunch, Free Snacks, Free Drinks, Remote Work, Company Laptop</t>
  </si>
  <si>
    <t>Python, flutter, c#, java, NoSql</t>
  </si>
  <si>
    <t>Vacation/Personal Days, Transport Allowance, Company Laptop, Phone Bill Reimbursement</t>
  </si>
  <si>
    <t>Microsoft Dynamics ERP, SQL Server, Visual Studio</t>
  </si>
  <si>
    <t>SEGi University</t>
  </si>
  <si>
    <t>Health Insurance, Life Insurance, Dental Insurance</t>
  </si>
  <si>
    <t>Laravel,PHP,JAVASCRIPT,HTML,JQUERY</t>
  </si>
  <si>
    <t>Health Insurance, Remote Work</t>
  </si>
  <si>
    <t>React Native and nodeJS</t>
  </si>
  <si>
    <t>KL, KL</t>
  </si>
  <si>
    <t>Ecommerce</t>
  </si>
  <si>
    <t>Limkokwing University</t>
  </si>
  <si>
    <t>Health Insurance, Dental Claim, Maternity Leave, Paternity Leave, Vacation/Personal Days, Remote Work, Employee Discount, Company Laptop, Phone Bill Reimbursement, Annual Flexi Allowance, Optical/Eye-wear claims</t>
  </si>
  <si>
    <t>Web Technologies (Laravel, Node.js)</t>
  </si>
  <si>
    <t>Star Media Group</t>
  </si>
  <si>
    <t>Distributor computer hardware</t>
  </si>
  <si>
    <t>Node,react,mysql</t>
  </si>
  <si>
    <t>Shop manager, part time freelancer on webdev ,server side automate app, client interactive GUI wpf app.</t>
  </si>
  <si>
    <t>AWS Solution Architect</t>
  </si>
  <si>
    <t>Company Phones, Professional Membership Subsidy/Sponsor</t>
  </si>
  <si>
    <t>AWS</t>
  </si>
  <si>
    <t>Kaplan Higher Education Singapore</t>
  </si>
  <si>
    <t>Vacation/Personal Days, Remote Work, Transport/Parking Allowance, Phone Bill Reimbursement</t>
  </si>
  <si>
    <t>Visual Studio Code, Android Studio, Flutter, Dart</t>
  </si>
  <si>
    <t>Johor,Malaysia</t>
  </si>
  <si>
    <t>Technology</t>
  </si>
  <si>
    <t>Enterprise Information System</t>
  </si>
  <si>
    <t>.net core(Xamarin)</t>
  </si>
  <si>
    <t>Muar</t>
  </si>
  <si>
    <t>Fullstack developer-Nextacademy</t>
  </si>
  <si>
    <t>AWS Cloud Practitioner</t>
  </si>
  <si>
    <t>Dental Claim, Remote Work, Learning and Development, Company Laptop, Phone Bill Reimbursement, Electronic gadget reimbursement</t>
  </si>
  <si>
    <t>Cloud</t>
  </si>
  <si>
    <t>Diploma of Computer Science</t>
  </si>
  <si>
    <t>Health Insurance, Vacation/Personal Days, Sick Time (Unlimited), Free Snacks, Remote Work, Employee Discount, Learning and Development, Company Laptop, Immigration Assistance</t>
  </si>
  <si>
    <t>Less than a year</t>
  </si>
  <si>
    <t>Remote Work, Learning and Development, Company Laptop</t>
  </si>
  <si>
    <t>Html, Css, Js, Vue</t>
  </si>
  <si>
    <t>ITIL v4, PCNSE, ISACA CSX Fundamentals, AZ-900</t>
  </si>
  <si>
    <t>Cybersecurity</t>
  </si>
  <si>
    <t>Health Insurance, Vacation/Personal Days, Free Snacks, Remote Work, Gym/Wellness Reimbursement, Learning and Development, Transport/Parking Allowance, Company Laptop, Phone Bill Reimbursement</t>
  </si>
  <si>
    <t>Azure, Python</t>
  </si>
  <si>
    <t>1+</t>
  </si>
  <si>
    <t>Batu Maung</t>
  </si>
  <si>
    <t>Health Insurance, Dental Claim, Maternity Leave, Paternity Leave, Free Drinks, Learning and Development, Transport/Parking Allowance, Company Laptop, Phone Bill Reimbursement, Optical/Eye-wear claims</t>
  </si>
  <si>
    <t>ASP.NET CORE, JAVASCRIPT</t>
  </si>
  <si>
    <t>Mainframe</t>
  </si>
  <si>
    <t>Computer Scientist</t>
  </si>
  <si>
    <t>web</t>
  </si>
  <si>
    <t>Kuala Lumpur, cheras</t>
  </si>
  <si>
    <t>Health Insurance, Maternity Leave, Paternity Leave, Vacation/Personal Days, Sick Time (Unlimited)</t>
  </si>
  <si>
    <t>Angular, dotnet core</t>
  </si>
  <si>
    <t>Banking solution</t>
  </si>
  <si>
    <t>Coxsxlsys</t>
  </si>
  <si>
    <t>PHP, JS</t>
  </si>
  <si>
    <t>Vendor</t>
  </si>
  <si>
    <t>University Of Queensland</t>
  </si>
  <si>
    <t>NEXT Academy Fullstack Web Developer</t>
  </si>
  <si>
    <t>Health Insurance, Maternity Leave, Paternity Leave, Vacation/Personal Days, Remote Work, Broadband/Home Internet Reimbursement</t>
  </si>
  <si>
    <t>PHP, Wordpress, HTML3, CSS5</t>
  </si>
  <si>
    <t>People Systems Consultancy</t>
  </si>
  <si>
    <t>Health Insurance, Life Insurance, Maternity Leave, Paternity Leave, Vacation/Personal Days, Gym/Wellness Reimbursement, Learning and Development, Company Laptop, Annual Flexi Allowance, Professional Membership Subsidy/Sponsor</t>
  </si>
  <si>
    <t>PHP, Python</t>
  </si>
  <si>
    <t>English Language and Literature</t>
  </si>
  <si>
    <t>Amazon Web Services, Node JS Certification, React Certification</t>
  </si>
  <si>
    <t>Application Developer</t>
  </si>
  <si>
    <t>Health Insurance, Dental Claim, Maternity Leave, Paternity Leave, Vacation/Personal Days, Sick Time (Unlimited), Remote Work, Transport/Parking Allowance</t>
  </si>
  <si>
    <t>React Native, Node JS</t>
  </si>
  <si>
    <t>Health Insurance, Life Insurance, Maternity Leave, Paternity Leave, Sick Time (Unlimited), Gym/Wellness Reimbursement, Learning and Development, Transport/Parking Allowance, Company Laptop, Company Car</t>
  </si>
  <si>
    <t>old town</t>
  </si>
  <si>
    <t>e-commerce</t>
  </si>
  <si>
    <t>Missouri State university</t>
  </si>
  <si>
    <t>next academy</t>
  </si>
  <si>
    <t>klang</t>
  </si>
  <si>
    <t>Health Insurance, Dental Claim, Maternity Leave, Paternity Leave, Vacation/Personal Days, Transport/Parking Allowance, Company Laptop, Optical/Eye-wear claims</t>
  </si>
  <si>
    <t>Spring(Kotlin/Java),Angular,Git,MySQL,AWS</t>
  </si>
  <si>
    <t>Dental Claim, Employee Assistance Program, Free Snacks, Company Laptop</t>
  </si>
  <si>
    <t>Angular, Ionic, Android, Kotlin</t>
  </si>
  <si>
    <t>IXONUS SDN BHD</t>
  </si>
  <si>
    <t>Javascript,Java</t>
  </si>
  <si>
    <t>Seberang Perai</t>
  </si>
  <si>
    <t>Health Insurance, Maternity Leave, Paternity Leave, Free Snacks, Employee Discount, Learning and Development, Transport/Parking Allowance, Company Laptop</t>
  </si>
  <si>
    <t>Windows, C#, Machine Vision, Machine components &amp; controllers</t>
  </si>
  <si>
    <t>MMSV</t>
  </si>
  <si>
    <t>Health Insurance, Life Insurance, Maternity Leave, Paternity Leave, Free Snacks, Remote Work, Company Laptop, Broadband/Home Internet Reimbursement</t>
  </si>
  <si>
    <t>Node js</t>
  </si>
  <si>
    <t>Ohio state university</t>
  </si>
  <si>
    <t>TechLadies</t>
  </si>
  <si>
    <t>Health Insurance, Life Insurance, Dental Claim, Maternity Leave, Paternity Leave, Vacation/Personal Days, Sick Time (Unlimited), Remote Work, Employee Discount, Company Laptop, Phone Bill Reimbursement</t>
  </si>
  <si>
    <t>Puncak Alam</t>
  </si>
  <si>
    <t>Google</t>
  </si>
  <si>
    <t>Free Snacks, Free Drinks, Remote Work</t>
  </si>
  <si>
    <t>Typescript,Javascript,React,Express</t>
  </si>
  <si>
    <t>Tinkerve LLP</t>
  </si>
  <si>
    <t>Health Insurance, Dental Claim, Employee Assistance Program, Maternity Leave, Paternity Leave, Vacation/Personal Days, Remote Work, Company Laptop</t>
  </si>
  <si>
    <t>Laptops</t>
  </si>
  <si>
    <t>Health Insurance, Dental Claim, Free Snacks, Free Drinks, Remote Work, Gym/Wellness Reimbursement, Transport/Parking Allowance, Company Laptop, Company Phones, Optical/Eye-wear claims</t>
  </si>
  <si>
    <t>Android, Kotlin</t>
  </si>
  <si>
    <t>Terengganu</t>
  </si>
  <si>
    <t>Kuala Terengganu</t>
  </si>
  <si>
    <t>CPRE</t>
  </si>
  <si>
    <t>Health Insurance, Maternity Leave, Paternity Leave, Remote Work, Transport/Parking Allowance, Company Laptop</t>
  </si>
  <si>
    <t>Python, Typescript, AWS</t>
  </si>
  <si>
    <t>ColdFusion</t>
  </si>
  <si>
    <t>Serdang, Selangor</t>
  </si>
  <si>
    <t>Health Insurance, Life Insurance, Dental Claim, Maternity Leave, Paternity Leave, Vacation/Personal Days</t>
  </si>
  <si>
    <t>C#, ASP.NET, MSSQL</t>
  </si>
  <si>
    <t>Dental Claim, Maternity Leave, Company Laptop</t>
  </si>
  <si>
    <t>.net core, angular, c#</t>
  </si>
  <si>
    <t>Health Insurance, Life Insurance, Maternity Leave, Paternity Leave, Sick Time (Unlimited), Learning and Development, Company Laptop</t>
  </si>
  <si>
    <t>Python, React, JavaScript, HTML, CSS, Bash, Git, Linux, PostgreSQL, Nginx</t>
  </si>
  <si>
    <t>MIMOS Berhad</t>
  </si>
  <si>
    <t>Commerce</t>
  </si>
  <si>
    <t>udemy</t>
  </si>
  <si>
    <t>Health Insurance, Life Insurance, Paternity Leave, Remote Work</t>
  </si>
  <si>
    <t>node.js</t>
  </si>
  <si>
    <t>National Defence University of Malaysia</t>
  </si>
  <si>
    <t>Dental Claim, Maternity Leave, Paternity Leave, Vacation/Personal Days, Free Snacks, Free Drinks, Remote Work, Company Laptop, Company Phones, Optical/Eye-wear claims</t>
  </si>
  <si>
    <t>PHP, Vuejs, MySQL</t>
  </si>
  <si>
    <t>Quranic Studies with Multimedia</t>
  </si>
  <si>
    <t>Associate Mobile Engineer</t>
  </si>
  <si>
    <t>Health Insurance, Dental Claim, Maternity Leave, Vacation/Personal Days, Sick Time (Unlimited), Free Snacks, Free Drinks, Remote Work, Gym/Wellness Reimbursement, Learning and Development, Transport/Parking Allowance, Company Laptop, Company Phones, Phone Bill Reimbursement, Relocation Bonus, Annual Flexi Allowance, Broadband/Home Internet Reimbursement, Optical/Eye-wear claims</t>
  </si>
  <si>
    <t>AngularJs, Ionic, Cordova, Java, Spring, JasperReport</t>
  </si>
  <si>
    <t>Health Insurance, Life Insurance, Dental Claim, Maternity Leave, Paternity Leave, Vacation/Personal Days, Remote Work, Gym/Wellness Reimbursement, Transport/Parking Allowance, Company Laptop</t>
  </si>
  <si>
    <t>.Net framework and .net core, angular and react</t>
  </si>
  <si>
    <t>Setia Alam</t>
  </si>
  <si>
    <t>iSoftStone</t>
  </si>
  <si>
    <t>Sri Petaling</t>
  </si>
  <si>
    <t>Health Insurance, Life Insurance, Dental Claim, Maternity Leave, Paternity Leave, Transport/Parking Allowance, Company Laptop, Relocation Bonus, Optical/Eye-wear claims</t>
  </si>
  <si>
    <t>Java Struts, Sybase, Git, Maven</t>
  </si>
  <si>
    <t>Insurance</t>
  </si>
  <si>
    <t>Geoinformatics</t>
  </si>
  <si>
    <t>Health Insurance, Life Insurance, Dental Claim, Maternity Leave, Paternity Leave, Learning and Development, Company Laptop, Phone Bill Reimbursement, Optical/Eye-wear claims, Professional Membership Subsidy/Sponsor</t>
  </si>
  <si>
    <t>Unity3D</t>
  </si>
  <si>
    <t>Constructions</t>
  </si>
  <si>
    <t>Professional Scrum Master I</t>
  </si>
  <si>
    <t>Health Insurance, Dental Claim, Vacation/Personal Days, Sick Time (Unlimited), Free Snacks, Gym/Wellness Reimbursement, Learning and Development, Company Laptop, Annual Flexi Allowance, Optical/Eye-wear claims</t>
  </si>
  <si>
    <t>ASP.NET</t>
  </si>
  <si>
    <t>Exact ADC</t>
  </si>
  <si>
    <t>MCSD</t>
  </si>
  <si>
    <t>Health Insurance, Life Insurance, Dental Claim, Employee Assistance Program, Maternity Leave, Paternity Leave, Remote Work, Learning and Development, Company Laptop, Optical/Eye-wear claims, Parking</t>
  </si>
  <si>
    <t>USA</t>
  </si>
  <si>
    <t>Dental Claim, Maternity Leave, Paternity Leave, Gym/Wellness Reimbursement, Employee Discount, Learning and Development, Company Laptop, Car Loan Subsidy</t>
  </si>
  <si>
    <t>What is this?</t>
  </si>
  <si>
    <t>Health Insurance, Life Insurance, Dental Claim, Maternity Leave, Paternity Leave, Vacation/Personal Days, Sick Time (Unlimited), Remote Work, Gym/Wellness Reimbursement, Employee Discount, Learning and Development, Transport/Parking Allowance, Company Laptop, Broadband/Home Internet Reimbursement, Optical/Eye-wear claims</t>
  </si>
  <si>
    <t>Java, linux</t>
  </si>
  <si>
    <t>Information Systems Engineering</t>
  </si>
  <si>
    <t>ITIL v4</t>
  </si>
  <si>
    <t>Senior System Developer</t>
  </si>
  <si>
    <t>Health Insurance, Life Insurance, Dental Claim, Maternity Leave, Paternity Leave, Vacation/Personal Days, Sick Time (Unlimited), Remote Work, Gym/Wellness Reimbursement, Employee Discount, Learning and Development, Company Laptop, Relocation Bonus, Optical/Eye-wear claims</t>
  </si>
  <si>
    <t>Java, Angular 8</t>
  </si>
  <si>
    <t>Fullstack Web Development - MaGIC</t>
  </si>
  <si>
    <t>Health Insurance, Dental Claim, Maternity Leave, Paternity Leave, Employee Discount, Company Laptop</t>
  </si>
  <si>
    <t>Ruby on Rails, React, GCP</t>
  </si>
  <si>
    <t>Airasia</t>
  </si>
  <si>
    <t>Economics</t>
  </si>
  <si>
    <t>University College London</t>
  </si>
  <si>
    <t>Complete Python Bootcamp - Udemy</t>
  </si>
  <si>
    <t>Health Insurance, Dental Claim, Maternity Leave, Paternity Leave, Gym/Wellness Reimbursement, Company Laptop, Optical/Eye-wear claims</t>
  </si>
  <si>
    <t>Computer, R, Google Suite</t>
  </si>
  <si>
    <t>Materials Engineering</t>
  </si>
  <si>
    <t>Dental Claim, Maternity Leave, Paternity Leave, Remote Work, Transport/Parking Allowance, Company Laptop, Annual Flexi Allowance, Optical/Eye-wear claims</t>
  </si>
  <si>
    <t>Health Insurance, Maternity Leave, Paternity Leave, Remote Work, Learning and Development, Transport/Parking Allowance, Optical/Eye-wear claims</t>
  </si>
  <si>
    <t>Java, JavaScript</t>
  </si>
  <si>
    <t>Health Insurance, Life Insurance, Maternity Leave, Paternity Leave, Remote Work, Gym/Wellness Reimbursement, Learning and Development, Transport/Parking Allowance, Company Laptop, Broadband/Home Internet Reimbursement, Optical/Eye-wear claims</t>
  </si>
  <si>
    <t>c#</t>
  </si>
  <si>
    <t>Infosys</t>
  </si>
  <si>
    <t>CTFL,CPRE,Microsoft</t>
  </si>
  <si>
    <t>Health Insurance, Life Insurance, Dental Claim, Employee Assistance Program, Maternity Leave, Paternity Leave, Vacation/Personal Days, Sick Time (Unlimited), Remote Work, Employee Discount, Learning and Development, Tuition Reimbursement, Transport/Parking Allowance, Company Laptop, Company Phones, Phone Bill Reimbursement, Annual Flexi Allowance, Broadband/Home Internet Reimbursement, Optical/Eye-wear claims</t>
  </si>
  <si>
    <t>Nodejs,docker,angular,javascript,postgres</t>
  </si>
  <si>
    <t>Company Laptop, Phone Bill Reimbursement, Optical/Eye-wear claims</t>
  </si>
  <si>
    <t>php laravel, vuejs</t>
  </si>
  <si>
    <t>Phileo Damansara</t>
  </si>
  <si>
    <t>CCNA, CEH</t>
  </si>
  <si>
    <t>Health Insurance, Employee Assistance Program, Maternity Leave, Vacation/Personal Days, Free Dinner, Free Snacks, Company Laptop, Company Phones</t>
  </si>
  <si>
    <t>C++</t>
  </si>
  <si>
    <t>Health Insurance, Maternity Leave, Paternity Leave, Vacation/Personal Days, Free Snacks, Remote Work, Employee Discount, Company Laptop</t>
  </si>
  <si>
    <t>android kotlin</t>
  </si>
  <si>
    <t>kl, malaysia</t>
  </si>
  <si>
    <t>it</t>
  </si>
  <si>
    <t>Ruby</t>
  </si>
  <si>
    <t>Health Insurance, Life Insurance, Maternity Leave, Paternity Leave, Vacation/Personal Days, Sick Time (Unlimited), Free Snacks, Remote Work, Employee Discount, Learning and Development, Transport/Parking Allowance, Company Laptop, Company Phones, Phone Bill Reimbursement, Optical/Eye-wear claims, Professional Membership Subsidy/Sponsor</t>
  </si>
  <si>
    <t>Many</t>
  </si>
  <si>
    <t>Health Insurance, Dental Insurance, Maternity Leave, Paternity Leave, Vacation/Personal Days, Sick Time (Unlimited), Remote Work</t>
  </si>
  <si>
    <t>MoneyLion</t>
  </si>
  <si>
    <t>Health Insurance, Employee Assistance Program, Sick Time (Unlimited), Free Drinks, Learning and Development, Transport Allowance, Company Laptop</t>
  </si>
  <si>
    <t>Laravel, React, Vue</t>
  </si>
  <si>
    <t>Less than a year. This is my first job</t>
  </si>
  <si>
    <t>React framework</t>
  </si>
  <si>
    <t>WFH</t>
  </si>
  <si>
    <t>vue,angular,python,c#,js</t>
  </si>
  <si>
    <t>msia</t>
  </si>
  <si>
    <t>Health Insurance, Maternity Leave</t>
  </si>
  <si>
    <t>Selangor,malaysia</t>
  </si>
  <si>
    <t>Vacation/Personal Days, Sick Time (Unlimited), Free Snacks, Learning and Development, Company Laptop</t>
  </si>
  <si>
    <t>Kubernetes, GCP, AWS, PHP, Mariadb</t>
  </si>
  <si>
    <t>Fresh Graduate</t>
  </si>
  <si>
    <t>KWSP</t>
  </si>
  <si>
    <t>Nodejs, React, AWS</t>
  </si>
  <si>
    <t>Health Insurance, Life Insurance, Maternity Leave, Paternity Leave, Vacation/Personal Days, Sick Time (Unlimited), Remote Work, Employee Discount, Learning and Development, Company Laptop</t>
  </si>
  <si>
    <t>Linux, aws, python, js</t>
  </si>
  <si>
    <t>Nibong Tebal</t>
  </si>
  <si>
    <t>CEH, Oracle, Certified AI practocioner</t>
  </si>
  <si>
    <t>Health Insurance, Dental Insurance, Employee Assistance Program, Maternity Leave, Paternity Leave, Vacation/Personal Days, Free Lunch, Gym/Wellness Reimbursement, Learning and Development, Tuition Reimbursement, Transport Allowance, Student Load Repayment Plan, Company Laptop</t>
  </si>
  <si>
    <t>Javascript, Python, SQL, Machine Learning</t>
  </si>
  <si>
    <t>Vitrox</t>
  </si>
  <si>
    <t>Jomrun</t>
  </si>
  <si>
    <t>Android Studio, Java, Flutter</t>
  </si>
  <si>
    <t>Health Insurance, Free Snacks, Free Drinks, Remote Work, Transport Allowance, Company Laptop</t>
  </si>
  <si>
    <t>Golang, AWS, Mongodb</t>
  </si>
  <si>
    <t>Qumon Intelligence</t>
  </si>
  <si>
    <t>Geophysics</t>
  </si>
  <si>
    <t>Full stack Web development - Next Academy</t>
  </si>
  <si>
    <t>Learning and Development, Transport Allowance, Company Laptop, Medical subsidies</t>
  </si>
  <si>
    <t>VueJS</t>
  </si>
  <si>
    <t>Flutter - Udemy</t>
  </si>
  <si>
    <t>Maternity Leave, Paternity Leave, Free Snacks, Remote Work, Learning and Development, Tuition Reimbursement, Transport Allowance, Company Laptop</t>
  </si>
  <si>
    <t>C#, Azure, MSSSQL</t>
  </si>
  <si>
    <t>Software Vendor</t>
  </si>
  <si>
    <t>Health Insurance, Life Insurance, Dental Insurance, Paternity Leave, Remote Work, Learning and Development, Company Laptop</t>
  </si>
  <si>
    <t>Dental Insurance, Paternity Leave, Vacation/Personal Days, Free Snacks, Free Drinks, Remote Work, Learning and Development, Transport Allowance, Company Laptop, Company Phones</t>
  </si>
  <si>
    <t>Laravel, PHP, MySQL, JavaScript, HTML, CSS, Scss</t>
  </si>
  <si>
    <t>Health Insurance, Company Laptop, Phone Bill Reimbursement</t>
  </si>
  <si>
    <t>laravel</t>
  </si>
  <si>
    <t>pj</t>
  </si>
  <si>
    <t>Health Insurance, Life Insurance, Dental Insurance, Maternity Leave, Paternity Leave, Vacation/Personal Days, Learning and Development, Company Laptop</t>
  </si>
  <si>
    <t>Fintech</t>
  </si>
  <si>
    <t>AWS Solution Architect Associate</t>
  </si>
  <si>
    <t>Senior Analyst</t>
  </si>
  <si>
    <t>Employee Assistance Program, Maternity Leave, Paternity Leave, Vacation/Personal Days, Remote Work, Gym/Wellness Reimbursement, Employee Discount, Learning and Development, Transport Allowance, Company Laptop, Phone Bill Reimbursement, Relocation Bonus</t>
  </si>
  <si>
    <t>Azure, AWS</t>
  </si>
  <si>
    <t>Health Insurance, Dental Insurance, Learning and Development, Tuition Reimbursement, Transport Allowance, Company Laptop</t>
  </si>
  <si>
    <t>Python, Google Cloud platform</t>
  </si>
  <si>
    <t>Pajam</t>
  </si>
  <si>
    <t>Health Insurance, Life Insurance, Dental Insurance, Maternity Leave, Paternity Leave, Vacation/Personal Days, Sick Time (Unlimited), Transport Allowance, Company Laptop, Phone Bill Reimbursement</t>
  </si>
  <si>
    <t>nodejs, sitecore, .NET</t>
  </si>
  <si>
    <t>Curtin University</t>
  </si>
  <si>
    <t>Google Cloud Platform, C#, React</t>
  </si>
  <si>
    <t>Health Insurance, Dental Insurance, Sick Time (Unlimited), Free Snacks, Free Drinks, Remote Work, Learning and Development, Phone Bill Reimbursement</t>
  </si>
  <si>
    <t>Python and flutter</t>
  </si>
  <si>
    <t>Puchong, Selangor</t>
  </si>
  <si>
    <t>Dengkil</t>
  </si>
  <si>
    <t>Health Insurance, Life Insurance, Maternity Leave, Paternity Leave, Vacation/Personal Days, Sick Time (Unlimited), Remote Work, Gym/Wellness Reimbursement, Employee Discount</t>
  </si>
  <si>
    <t>Syria</t>
  </si>
  <si>
    <t>Damascus University</t>
  </si>
  <si>
    <t>Various Coursera/Udemy/YouTube courses</t>
  </si>
  <si>
    <t>Health Insurance, Employee Assistance Program, Vacation/Personal Days, Sick Time (Unlimited), Remote Work, Company Laptop, Company Phones</t>
  </si>
  <si>
    <t>Malaysia, KL</t>
  </si>
  <si>
    <t>Australian National University</t>
  </si>
  <si>
    <t>Reactjs, nextjs, python, docker, react native, nodejs, aws, alibaba cloud</t>
  </si>
  <si>
    <t>Port Dickson</t>
  </si>
  <si>
    <t>TAFE College</t>
  </si>
  <si>
    <t>Magic Academy</t>
  </si>
  <si>
    <t>Health Insurance, Paternity Leave, Free Snacks, Free Drinks, Remote Work, Company Laptop</t>
  </si>
  <si>
    <t>Swift</t>
  </si>
  <si>
    <t>Human Resource System</t>
  </si>
  <si>
    <t>Lead Backend Developer</t>
  </si>
  <si>
    <t>AWS, PHP, MySQL, etc</t>
  </si>
  <si>
    <t>HR Digitisation Specialist</t>
  </si>
  <si>
    <t>Health Insurance, Paternity Leave, Transport Allowance, Company Laptop</t>
  </si>
  <si>
    <t>Health Insurance, Life Insurance, Dental Insurance, Maternity Leave, Paternity Leave, Vacation/Personal Days, Remote Work, Learning and Development, Company Laptop</t>
  </si>
  <si>
    <t>nodejs, aws, angular js, github, buildkite</t>
  </si>
  <si>
    <t>Employment / job searching</t>
  </si>
  <si>
    <t>Jenjarom</t>
  </si>
  <si>
    <t>Paternity Leave, Free Dinner, Remote Work, Transport Allowance, Company Laptop</t>
  </si>
  <si>
    <t>Java, SQL, Talend</t>
  </si>
  <si>
    <t>Health Insurance, Life Insurance, Maternity Leave, Paternity Leave, Vacation/Personal Days, Remote Work, Employee Discount, Learning and Development, Phone Bill Reimbursement</t>
  </si>
  <si>
    <t>Python, JavaScript, GCP, Kubernetes</t>
  </si>
  <si>
    <t>Application Engineer</t>
  </si>
  <si>
    <t>Health Insurance, Paternity Leave, Free Snacks, Free Drinks, Remote Work, Phone Bill Reimbursement</t>
  </si>
  <si>
    <t>java</t>
  </si>
  <si>
    <t>Maternity Leave, Paternity Leave, Free Snacks, Company Laptop, Company Phones, Medical claims</t>
  </si>
  <si>
    <t>.</t>
  </si>
  <si>
    <t>Health Insurance, Life Insurance, Dental Insurance, Maternity Leave, Paternity Leave, Vacation/Personal Days, Sick Time (Unlimited), Remote Work, Gym/Wellness Reimbursement, Learning and Development, Company Laptop, Phone Bill Reimbursement</t>
  </si>
  <si>
    <t>Angular java</t>
  </si>
  <si>
    <t>IT COnsulatant</t>
  </si>
  <si>
    <t>Avanade</t>
  </si>
  <si>
    <t>University Malaysia Terengganu</t>
  </si>
  <si>
    <t>Health Insurance, Life Insurance, Dental Insurance, Maternity Leave, Paternity Leave, Vacation/Personal Days, Company Laptop</t>
  </si>
  <si>
    <t>spring boot</t>
  </si>
  <si>
    <t>KL,KL</t>
  </si>
  <si>
    <t>Drake University</t>
  </si>
  <si>
    <t>Health Insurance, Life Insurance, Dental Insurance, Employee Assistance Program, Maternity Leave, Paternity Leave, Vacation/Personal Days, Employee Discount, Company Laptop</t>
  </si>
  <si>
    <t>GCP, python, sql,gitlab,kubernetes</t>
  </si>
  <si>
    <t>Health Insurance, Dental Insurance, Employee Assistance Program, Maternity Leave, Paternity Leave, Vacation/Personal Days, Sick Time (Unlimited), Free Lunch, Remote Work, Gym/Wellness Reimbursement, Employee Discount, Learning and Development, Transport Allowance, Company Laptop</t>
  </si>
  <si>
    <t>Health Insurance, Life Insurance, Dental Insurance, Employee Assistance Program, Maternity Leave, Paternity Leave, Vacation/Personal Days, Remote Work, Employee Discount, Learning and Development, Tuition Reimbursement, Company Laptop</t>
  </si>
  <si>
    <t>Typescript, Javascript, NodeJS, ReactJS, MongoDB, AWS</t>
  </si>
  <si>
    <t>Kuala Lumpur, Wilayah Persekutuan</t>
  </si>
  <si>
    <t>Health Insurance, Life Insurance, Dental Insurance, Employee Assistance Program, Maternity Leave, Paternity Leave, Vacation/Personal Days, Remote Work, Employee Discount, Learning and Development, Company Laptop, Phone Bill Reimbursement</t>
  </si>
  <si>
    <t>Javascript, Graphql, node.js</t>
  </si>
  <si>
    <t>Cisco, oracle database administrator, docker administration</t>
  </si>
  <si>
    <t>Health Insurance, Life Insurance, Dental Insurance, Employee Assistance Program, Maternity Leave, Vacation/Personal Days, Free Snacks, Free Drinks, Remote Work, Gym/Wellness Reimbursement, Transport Allowance, Company Laptop, Company Phones, Phone Bill Reimbursement</t>
  </si>
  <si>
    <t>Java, Angular, Docker, Jenkins, Ansible, Oracle Sql, MongoDb</t>
  </si>
  <si>
    <t>Health Insurance, Life Insurance, Dental Insurance, Free Snacks, Gym/Wellness Reimbursement, Learning and Development, Company Laptop, Phone Bill Reimbursement</t>
  </si>
  <si>
    <t>University Aix Marseille</t>
  </si>
  <si>
    <t>Full Stack web development - next academy</t>
  </si>
  <si>
    <t>ruby on rails, node, react</t>
  </si>
  <si>
    <t>delaware, united states</t>
  </si>
  <si>
    <t>Health Insurance, Life Insurance, Dental Insurance, Employee Assistance Program, Maternity Leave, Paternity Leave, Vacation/Personal Days, Sick Time (Unlimited), Remote Work, Employee Discount, Learning and Development, Company Laptop, Phone Bill Reimbursement</t>
  </si>
  <si>
    <t>React Native, Xcode, Android Studio, NodeJS /Express, Bitrise, Codefresh, Firebase, SegmentIO, Pusher, Embrace, Jira, Git, AWS Secrets</t>
  </si>
  <si>
    <t>NY, USA</t>
  </si>
  <si>
    <t>Health Insurance, Dental Insurance, Sick Time (Unlimited), Remote Work, Gym/Wellness Reimbursement, Learning and Development, Company Laptop</t>
  </si>
  <si>
    <t>Java, Python, nodejs, angular</t>
  </si>
  <si>
    <t>Music</t>
  </si>
  <si>
    <t>Nusajaya</t>
  </si>
  <si>
    <t>Health Insurance, Life Insurance, Dental Insurance, Employee Assistance Program, Maternity Leave, Vacation/Personal Days, Sick Time (Unlimited), Free Snacks, Remote Work, Learning and Development, Company Laptop</t>
  </si>
  <si>
    <t>Manager, Software Engineer</t>
  </si>
  <si>
    <t>Health Insurance, Life Insurance, Dental Insurance, Employee Assistance Program, Paternity Leave, Vacation/Personal Days, Sick Time (Unlimited), Remote Work, Gym/Wellness Reimbursement, Employee Discount, Learning and Development, Tuition Reimbursement, Transport Allowance, Company Laptop, Company Phones, Phone Bill Reimbursement, Relocation Bonus</t>
  </si>
  <si>
    <t>Golang, Reactjs, Python, CI/CD, Kubernates, Redis, EC2, Lambda, Terraform, Jenkins</t>
  </si>
  <si>
    <t>Bandar Utama</t>
  </si>
  <si>
    <t>Southern University College</t>
  </si>
  <si>
    <t>AWS ACE, GCP ACE</t>
  </si>
  <si>
    <t>Health Insurance, Maternity Leave, Paternity Leave, Vacation/Personal Days, Free Lunch, Remote Work, Learning and Development, Transport Allowance, Company Laptop</t>
  </si>
  <si>
    <t>Coingecko</t>
  </si>
  <si>
    <t>Royal Melbourne Institute of Technology</t>
  </si>
  <si>
    <t>Health Insurance, Gym/Wellness Reimbursement, Transport Allowance, Phone Bill Reimbursement</t>
  </si>
  <si>
    <t>Java, aungular</t>
  </si>
  <si>
    <t>Nilai University</t>
  </si>
  <si>
    <t>Health Insurance, Maternity Leave, Paternity Leave, Free Snacks, Free Drinks, Company Laptop, Company Phones</t>
  </si>
  <si>
    <t>Swift, Objective C, Kotlin, Java</t>
  </si>
  <si>
    <t>Australia</t>
  </si>
  <si>
    <t>New South Wales</t>
  </si>
  <si>
    <t>Sydney</t>
  </si>
  <si>
    <t>ACCA</t>
  </si>
  <si>
    <t>Certificate IV in Programming from local Australian college</t>
  </si>
  <si>
    <t>Salesforce JavaScript Developer I</t>
  </si>
  <si>
    <t>Maternity Leave, Paternity Leave, Vacation/Personal Days, Remote Work, Employee Discount, Learning and Development, Company Laptop</t>
  </si>
  <si>
    <t>React, Next, Gatsby, Bootstrap, Wordpress</t>
  </si>
  <si>
    <t>Sydney, New South Wales</t>
  </si>
  <si>
    <t>Redsbaby Australia</t>
  </si>
  <si>
    <t>AWS SA, ITIL v4</t>
  </si>
  <si>
    <t>Sick Time (Unlimited), Free Drinks, Learning and Development, Company Laptop, Phone Bill Reimbursement</t>
  </si>
  <si>
    <t>Terminal, Zendesk, slack</t>
  </si>
  <si>
    <t>California, United States</t>
  </si>
  <si>
    <t>Health Insurance, Life Insurance, Free Snacks</t>
  </si>
  <si>
    <t>Pakistani</t>
  </si>
  <si>
    <t>Health Insurance, Free Snacks, Company Laptop, Immigration Assistance</t>
  </si>
  <si>
    <t>Java, Spring, MySQL, Docker</t>
  </si>
  <si>
    <t>Software Solutions</t>
  </si>
  <si>
    <t>Data Star - ADAX</t>
  </si>
  <si>
    <t>UiPath Advanced RPA Developer v1.0 (UiARD), Blue Prism Accredited Developer</t>
  </si>
  <si>
    <t>IOT Engineer</t>
  </si>
  <si>
    <t>Health Insurance, Dental Claim, Employee Assistance Program, Maternity Leave, Paternity Leave, Vacation/Personal Days, Employee Discount, Learning and Development, Student Loan Repayment Plan, Company Laptop, Optical/Eye-wear claims, Professional Membership Subsidy/Sponsor</t>
  </si>
  <si>
    <t>UiPath (RPA tech)</t>
  </si>
  <si>
    <t>Shared services</t>
  </si>
  <si>
    <t>Sunway IT Shared Services Centre</t>
  </si>
  <si>
    <t>Health Insurance, Dental Claim, Vacation/Personal Days, Remote Work, Gym/Wellness Reimbursement, Transport/Parking Allowance, Company Laptop, Phone Bill Reimbursement, Optical/Eye-wear claims</t>
  </si>
  <si>
    <t>Java, Spring Boot, Microservices</t>
  </si>
  <si>
    <t>Sick Time (Unlimited), Free Snacks, Company Laptop</t>
  </si>
  <si>
    <t>Java, Spring Boot, Play Framework</t>
  </si>
  <si>
    <t>StrongByte Studio</t>
  </si>
  <si>
    <t>Dental Claim, Maternity Leave, Vacation/Personal Days, Free Dinner, Gym/Wellness Reimbursement, Company Laptop, Optical/Eye-wear claims</t>
  </si>
  <si>
    <t>MEAN, ASP .Net, PHP Laravel, AngularJs, Javascript, MySql, SQL Server</t>
  </si>
  <si>
    <t>Fusionex</t>
  </si>
  <si>
    <t>Health Insurance, Life Insurance, Dental Claim, Employee Assistance Program, Maternity Leave, Paternity Leave, Vacation/Personal Days, Learning and Development, Company Laptop, Company Phones, Optical/Eye-wear claims</t>
  </si>
  <si>
    <t>Swift, Objective C, Java, Jira, Bitbucket</t>
  </si>
  <si>
    <t>Health Insurance, Maternity Leave, Paternity Leave, Free Snacks, Free Drinks, Company Laptop</t>
  </si>
  <si>
    <t>Purdue University</t>
  </si>
  <si>
    <t>(Data) Platform Engineer</t>
  </si>
  <si>
    <t>Health Insurance, Life Insurance, Dental Claim, Employee Assistance Program, Maternity Leave, Paternity Leave, Vacation/Personal Days, Sick Time (Unlimited), Remote Work, Gym/Wellness Reimbursement, Employee Discount, Learning and Development, Company Laptop, Company Phones, Phone Bill Reimbursement, Broadband/Home Internet Reimbursement, Optical/Eye-wear claims</t>
  </si>
  <si>
    <t>Python, Kubernetes, Azure, Docker</t>
  </si>
  <si>
    <t>Kampung Kerinchi, KL</t>
  </si>
  <si>
    <t>Cloud Data Platform Engineer</t>
  </si>
  <si>
    <t>Health Insurance, Life Insurance, Dental Claim, Maternity Leave, Paternity Leave, Vacation/Personal Days, Sick Time (Unlimited), Remote Work, Employee Discount, Learning and Development, Company Laptop, Company Phones, Phone Bill Reimbursement, Broadband/Home Internet Reimbursement, Optical/Eye-wear claims, Professional Membership Subsidy/Sponsor</t>
  </si>
  <si>
    <t>Kubernetes, Python, Docker, Nifi, Kafka, Azure</t>
  </si>
  <si>
    <t>Health Insurance, Dental Insurance, Maternity Leave, Paternity Leave, Free Dinner, Free Snacks, Free Drinks, Gym/Wellness Reimbursement, Employee Discount, Learning and Development, Company Laptop</t>
  </si>
  <si>
    <t>VUEJS, DOCKER, EXPRESSJS, MONGO, MYSQL, PYTHON, KUBENETES, ASP.NET CORE, JENKINS</t>
  </si>
  <si>
    <t>FUSIONEX</t>
  </si>
  <si>
    <t>Node Js, React Js, MySQL, AWS, Firebase</t>
  </si>
  <si>
    <t>Forward School, Datastar</t>
  </si>
  <si>
    <t>Health Insurance, Dental Claim, Maternity Leave, Vacation/Personal Days, Company Laptop, Optical/Eye-wear claims</t>
  </si>
  <si>
    <t>Power BI</t>
  </si>
  <si>
    <t>&lt;1</t>
  </si>
  <si>
    <t>Nodejs, VueJs, MongoDB</t>
  </si>
  <si>
    <t>Software Development Consultants</t>
  </si>
  <si>
    <t>Health Insurance, Dental Claim, Maternity Leave, Paternity Leave, Free Dinner, Free Snacks, Remote Work, Gym/Wellness Reimbursement, Learning and Development, Transport/Parking Allowance, Company Laptop, Optical/Eye-wear claims</t>
  </si>
  <si>
    <t>Java, Spring Boot, MongoDB</t>
  </si>
  <si>
    <t>Health Insurance, Life Insurance, Dental Claim, Employee Assistance Program, Maternity Leave, Paternity Leave, Remote Work, Employee Discount, Learning and Development, Tuition Reimbursement, Company Laptop, Company Phones, Broadband/Home Internet Reimbursement, Optical/Eye-wear claims, Car interest subsidy</t>
  </si>
  <si>
    <t>UIPath</t>
  </si>
  <si>
    <t>Intel</t>
  </si>
  <si>
    <t>.NET SQLSERVER</t>
  </si>
  <si>
    <t>Health Insurance, Maternity Leave, Paternity Leave, Vacation/Personal Days, Gym/Wellness Reimbursement, Company Laptop</t>
  </si>
  <si>
    <t>Technical Lead, Software Engineer</t>
  </si>
  <si>
    <t>Java, Python, Angular, Spring Boot, Flask, C#</t>
  </si>
  <si>
    <t>Sophic Automation</t>
  </si>
  <si>
    <t>Health Insurance, Dental Claim, Maternity Leave, Paternity Leave, Vacation/Personal Days, Remote Work, Company Laptop, Optical/Eye-wear claims</t>
  </si>
  <si>
    <t>python, tensorflow, django, postgresql, vuejs</t>
  </si>
  <si>
    <t>University of Auckland</t>
  </si>
  <si>
    <t>Health Insurance, Life Insurance, Dental Claim, Maternity Leave, Paternity Leave, Vacation/Personal Days, Sick Time (Unlimited), Free Snacks, Remote Work, Company Laptop, Optical/Eye-wear claims</t>
  </si>
  <si>
    <t>Angular, Java, Bash Script, Node Js</t>
  </si>
  <si>
    <t>Computer Software</t>
  </si>
  <si>
    <t>Health Insurance, Life Insurance, Dental Claim, Employee Assistance Program, Maternity Leave, Paternity Leave, Vacation/Personal Days, Sick Time (Unlimited), Free Snacks, Remote Work, Learning and Development, Transport/Parking Allowance, Student Loan Repayment Plan, Company Laptop, Company Phones, Phone Bill Reimbursement, Relocation Bonus, Broadband/Home Internet Reimbursement, Optical/Eye-wear claims</t>
  </si>
  <si>
    <t>Java, javascript</t>
  </si>
  <si>
    <t>Scrum PSM 1 (non tech related)</t>
  </si>
  <si>
    <t>Health Insurance, Life Insurance, Dental Claim, Maternity Leave, Paternity Leave, Free Snacks, Remote Work, Transport/Parking Allowance, Company Laptop, Phone Bill Reimbursement, Broadband/Home Internet Reimbursement, Optical/Eye-wear claims, Professional Membership Subsidy/Sponsor, Foodpanda partner</t>
  </si>
  <si>
    <t>React, TypeScript, JavaScript, SCSS, AWS Cloud</t>
  </si>
  <si>
    <t>Health Insurance, Dental Insurance, Maternity Leave, Paternity Leave, Vacation/Personal Days, Free Snacks, Remote Work, Gym/Wellness Reimbursement, Company Laptop</t>
  </si>
  <si>
    <t>C#,Angular</t>
  </si>
  <si>
    <t>AWS DVA-C01</t>
  </si>
  <si>
    <t>Health Insurance, Remote Work, Flexible time</t>
  </si>
  <si>
    <t>AWS Serverless stack, Nodejs, Reactjs</t>
  </si>
  <si>
    <t>Recruitment</t>
  </si>
  <si>
    <t>University of London</t>
  </si>
  <si>
    <t>AWS Solutions Architect</t>
  </si>
  <si>
    <t>Health Insurance, Vacation/Personal Days, Learning and Development, Transport Allowance, Company Laptop</t>
  </si>
  <si>
    <t>Python, Docker, Spark, Jupyter, Excel, Jira, Confluence</t>
  </si>
  <si>
    <t>Health Insurance, Life Insurance, Dental Insurance, Maternity Leave, Paternity Leave, Vacation/Personal Days, Free Snacks, Free Drinks, Remote Work, Gym/Wellness Reimbursement, Transport Allowance, Company Laptop</t>
  </si>
  <si>
    <t>Not sure of question.</t>
  </si>
  <si>
    <t>BPO</t>
  </si>
  <si>
    <t>Zchwantech Sdn Bhd</t>
  </si>
  <si>
    <t>Professional Paper</t>
  </si>
  <si>
    <t>Javascript React</t>
  </si>
  <si>
    <t>Ohio State University</t>
  </si>
  <si>
    <t>Software Engineering Conversion Program</t>
  </si>
  <si>
    <t>Remote Work, Transport Allowance</t>
  </si>
  <si>
    <t>Javascript, React, HTML, CSS, GraphQL, MongoDB, Nodejs</t>
  </si>
  <si>
    <t>Health Insurance, Dental Insurance, Employee Assistance Program, Maternity Leave, Paternity Leave, Sick Time (Unlimited), Employee Discount, Learning and Development, Company Laptop</t>
  </si>
  <si>
    <t>C#,HTML,JS</t>
  </si>
  <si>
    <t>Health Insurance, Dental Insurance, Maternity Leave, Paternity Leave, Vacation/Personal Days, Remote Work, Gym/Wellness Reimbursement, Learning and Development, Company Laptop</t>
  </si>
  <si>
    <t>Javascript, PHP</t>
  </si>
  <si>
    <t>Job Board</t>
  </si>
  <si>
    <t>SEEK Asia</t>
  </si>
  <si>
    <t>Health Insurance, Paternity Leave, Vacation/Personal Days, Gym/Wellness Reimbursement, Employee Discount, Learning and Development, Transport Allowance, Company Laptop</t>
  </si>
  <si>
    <t>Python, Django, Flask, Vue, Quasar, AWS</t>
  </si>
  <si>
    <t>Health Insurance, Dental Insurance, Maternity Leave, Paternity Leave, Remote Work, Learning and Development, Phone Bill Reimbursement</t>
  </si>
  <si>
    <t>Typescript, Reactjs, Nodejs, MongoDB</t>
  </si>
  <si>
    <t>Ara Damansara</t>
  </si>
  <si>
    <t>Health Insurance, Employee Assistance Program, Maternity Leave, Paternity Leave, Vacation/Personal Days, Remote Work, Learning and Development, Company Laptop</t>
  </si>
  <si>
    <t>Java, python</t>
  </si>
  <si>
    <t>Full stack web development - NEXT Academy</t>
  </si>
  <si>
    <t>RM1200</t>
  </si>
  <si>
    <t>Health Insurance, Maternity Leave, Remote Work, Phone Bill Reimbursement</t>
  </si>
  <si>
    <t>Health Insurance, Maternity Leave, Paternity Leave, Vacation/Personal Days, Remote Work, Learning and Development</t>
  </si>
  <si>
    <t>python, mysql, mssql, shell</t>
  </si>
  <si>
    <t>Health Insurance, Dental Insurance, Employee Assistance Program, Maternity Leave, Paternity Leave, Vacation/Personal Days, Remote Work, Gym/Wellness Reimbursement, Employee Discount, Learning and Development, Transport Allowance, Student Load Repayment Plan, Company Laptop, Relocation Bonus</t>
  </si>
  <si>
    <t>Maybank</t>
  </si>
  <si>
    <t>Health Insurance, Dental Insurance, Maternity Leave, Paternity Leave, Vacation/Personal Days, Sick Time (Unlimited), Remote Work, Gym/Wellness Reimbursement, Employee Discount, Learning and Development, Transport Allowance, Company Laptop, Company Phones, Phone Bill Reimbursement, House Allowance/Subsidi</t>
  </si>
  <si>
    <t>.NET, Angular, Mssql, Firebase, Aws, Windows Server, Team Foundation Server, GitLab</t>
  </si>
  <si>
    <t>Employee Provident Fund</t>
  </si>
  <si>
    <t>Health Insurance, Maternity Leave, Remote Work, Company Laptop</t>
  </si>
  <si>
    <t>Java, Spring, Hibernate, Obj-C, Swift.</t>
  </si>
  <si>
    <t>Kemaman</t>
  </si>
  <si>
    <t>SAP Consultant</t>
  </si>
  <si>
    <t>Health Insurance, Life Insurance, Dental Insurance, Employee Assistance Program, Maternity Leave, Paternity Leave, Vacation/Personal Days, Sick Time (Unlimited), Remote Work, Employee Discount, Learning and Development, Transport Allowance, Company Laptop, Immigration Assistance</t>
  </si>
  <si>
    <t>1 month</t>
  </si>
  <si>
    <t>Network Security Engineer</t>
  </si>
  <si>
    <t>Health Insurance, Life Insurance, Dental Claim, Maternity Leave, Paternity Leave, Transport/Parking Allowance, Company Laptop, Broadband/Home Internet Reimbursement, Optical/Eye-wear claims</t>
  </si>
  <si>
    <t>SIEM, FW, IDS, IPS</t>
  </si>
  <si>
    <t>Batu Pahat</t>
  </si>
  <si>
    <t>Free Snacks, Remote Work, Learning and Development</t>
  </si>
  <si>
    <t>MEAN stack, Python, Golang, SQL, tensorflow, Kubernetes, Docker, AWS, Google Cloud</t>
  </si>
  <si>
    <t>Kendo</t>
  </si>
  <si>
    <t>Kuala Lumpur, Wilayah Persekutuan Kuala Lumpur</t>
  </si>
  <si>
    <t>Data Star - Centre of Applied Data Science</t>
  </si>
  <si>
    <t>Health Insurance, Life Insurance, Dental Claim, Free Snacks, Remote Work, Employee Discount, Company Laptop, Optical/Eye-wear claims</t>
  </si>
  <si>
    <t>Python, Docker</t>
  </si>
  <si>
    <t>Penang, Bayan Lepas</t>
  </si>
  <si>
    <t>Thundersoft</t>
  </si>
  <si>
    <t>Dental Claim, Maternity Leave, Vacation/Personal Days, Sick Time (Unlimited), Remote Work, Company Laptop, Optical/Eye-wear claims</t>
  </si>
  <si>
    <t>EDA tools software engineer</t>
  </si>
  <si>
    <t>Health Insurance, Life Insurance, Vacation/Personal Days, Free Lunch, Remote Work</t>
  </si>
  <si>
    <t>Linux, lynx</t>
  </si>
  <si>
    <t>Semiconductor</t>
  </si>
  <si>
    <t>Remote Work, Company Laptop, Phone Bill Reimbursement, Annual Flexi Allowance, Optical/Eye-wear claims</t>
  </si>
  <si>
    <t>Consultancy</t>
  </si>
  <si>
    <t>Accenture</t>
  </si>
  <si>
    <t>Health Insurance, Dental Claim, Maternity Leave, Paternity Leave, Gym/Wellness Reimbursement, Transport/Parking Allowance</t>
  </si>
  <si>
    <t>Laptop, desktop</t>
  </si>
  <si>
    <t>2 1/2</t>
  </si>
  <si>
    <t>Data Science - Forward School</t>
  </si>
  <si>
    <t>Health Insurance, Life Insurance, Dental Claim, Employee Assistance Program, Maternity Leave, Paternity Leave, Vacation/Personal Days, Free Snacks, Free Drinks, Remote Work, Employee Discount, Learning and Development, Tuition Reimbursement, Transport/Parking Allowance, Company Laptop, Broadband/Home Internet Reimbursement, Optical/Eye-wear claims</t>
  </si>
  <si>
    <t>JMP, Python</t>
  </si>
  <si>
    <t>DevOps Engineer</t>
  </si>
  <si>
    <t>Health Insurance, Dental Claim, Employee Assistance Program, Maternity Leave, Paternity Leave, Vacation/Personal Days, Free Lunch, Remote Work, Gym/Wellness Reimbursement, Employee Discount, Learning and Development, Company Laptop, Optical/Eye-wear claims</t>
  </si>
  <si>
    <t>Microsoft Power BI, Jenkins, Docker</t>
  </si>
  <si>
    <t>Health Insurance, Dental Claim, Sick Time (Unlimited), Free Snacks, Free Drinks, Transport/Parking Allowance, Company Laptop, Company Phones, Optical/Eye-wear claims</t>
  </si>
  <si>
    <t>Objc, Swift, Java, Kotlin</t>
  </si>
  <si>
    <t>Kuala Lumpur Sentral, Malaysia</t>
  </si>
  <si>
    <t>Soft Space Sdn Bhd</t>
  </si>
  <si>
    <t>Toyohashi University of Technology</t>
  </si>
  <si>
    <t>AWS Cloud Practitioner, GCP Cloud Architect</t>
  </si>
  <si>
    <t>Dental Claim, Remote Work, Relocation Bonus</t>
  </si>
  <si>
    <t>Golang, GCP, Docker</t>
  </si>
  <si>
    <t>Audio Technology</t>
  </si>
  <si>
    <t>Health Insurance, Dental Claim, Vacation/Personal Days, Free Snacks, Free Drinks, Remote Work, Employee Discount, Learning and Development, Company Laptop, Relocation Bonus, Optical/Eye-wear claims</t>
  </si>
  <si>
    <t>Python, AWS</t>
  </si>
  <si>
    <t>Test Engineer</t>
  </si>
  <si>
    <t>Health Insurance, Employee Assistance Program, Maternity Leave, Gym/Wellness Reimbursement, Company Laptop, Relocation Bonus</t>
  </si>
  <si>
    <t>Cybersecurity Engineer / Penetration Tester</t>
  </si>
  <si>
    <t>Health Insurance, Dental Claim, Sick Time (Unlimited), Remote Work, Gym/Wellness Reimbursement, Transport/Parking Allowance, Company Laptop, Optical/Eye-wear claims</t>
  </si>
  <si>
    <t>Burp Suite</t>
  </si>
  <si>
    <t>Subang</t>
  </si>
  <si>
    <t>Worcester Polytechnic Institute</t>
  </si>
  <si>
    <t>Health Insurance, Maternity Leave, Vacation/Personal Days, Company Laptop</t>
  </si>
  <si>
    <t>Hh</t>
  </si>
  <si>
    <t>Health Insurance, Dental Claim, Employee Assistance Program, Maternity Leave, Paternity Leave, Free Breakfast, Free Drinks, Remote Work, Employee Discount, Learning and Development, Transport/Parking Allowance, Company Laptop, Phone Bill Reimbursement, Optical/Eye-wear claims</t>
  </si>
  <si>
    <t>Spring,MySQL,Java,Gradle</t>
  </si>
  <si>
    <t>The University of Manchester</t>
  </si>
  <si>
    <t>RPA Developer</t>
  </si>
  <si>
    <t>Health Insurance, Dental Claim, Maternity Leave, Vacation/Personal Days, Sick Time (Unlimited), Learning and Development, Company Laptop</t>
  </si>
  <si>
    <t>Robotic Process Automation</t>
  </si>
  <si>
    <t>Health Insurance, Sick Time (Unlimited), Transport Allowance, Company Laptop</t>
  </si>
  <si>
    <t>Smart Home &amp; security</t>
  </si>
  <si>
    <t>10 months</t>
  </si>
  <si>
    <t>Health Insurance, Dental Insurance, Free Snacks, Free Drinks, Remote Work</t>
  </si>
  <si>
    <t>Laravel,Vuejs,TailwindCSS</t>
  </si>
  <si>
    <t>Paternity Leave, Vacation/Personal Days, Company Laptop</t>
  </si>
  <si>
    <t>Computer Vision, .Net, Deep learning, machine learning</t>
  </si>
  <si>
    <t>Microsoft Azure DevOps</t>
  </si>
  <si>
    <t>Health Insurance, Life Insurance, Dental Insurance, Maternity Leave, Paternity Leave, Vacation/Personal Days, Sick Time (Unlimited), Employee Discount, Learning and Development, Company Laptop</t>
  </si>
  <si>
    <t>Java, Cloud, ReactJS, Angular</t>
  </si>
  <si>
    <t>Instrument Engineering</t>
  </si>
  <si>
    <t>Polytechnic Shah Alam</t>
  </si>
  <si>
    <t>Employee Assistance Program, Remote Work</t>
  </si>
  <si>
    <t>React, Nodejs, Typescript, Graphql, Ros, PostgreSQL, mongoDb, three.js</t>
  </si>
  <si>
    <t>Robotic</t>
  </si>
  <si>
    <t>MovelAI</t>
  </si>
  <si>
    <t>Health Insurance, Vacation/Personal Days, Company Laptop</t>
  </si>
  <si>
    <t>J2EE</t>
  </si>
  <si>
    <t>Health Insurance, Life Insurance, Dental Insurance, Free Lunch, Learning and Development, Tuition Reimbursement, Transport Allowance, Student Load Repayment Plan, Company Laptop, Relocation Bonus</t>
  </si>
  <si>
    <t>Laptop, PLC, ARM embedded hardware</t>
  </si>
  <si>
    <t>National University of Singapore</t>
  </si>
  <si>
    <t>Health Insurance, Life Insurance, Dental Insurance, Paternity Leave, Remote Work, Company Laptop</t>
  </si>
  <si>
    <t>C#, .Net, .Net Core, SQL Server</t>
  </si>
  <si>
    <t>Health Insurance, Life Insurance, Dental Insurance, Vacation/Personal Days, Remote Work, Learning and Development, Company Laptop</t>
  </si>
  <si>
    <t>GCP Fast API Vuejs (Nuxt) Express</t>
  </si>
  <si>
    <t>Health Insurance, Life Insurance, Dental Insurance, Employee Assistance Program, Maternity Leave, Paternity Leave, Vacation/Personal Days, Sick Time (Unlimited), Remote Work, Employee Discount, Learning and Development, Company Laptop</t>
  </si>
  <si>
    <t>vb.net, asp.net, c#, hyper-v</t>
  </si>
  <si>
    <t>Junior Data Scientist</t>
  </si>
  <si>
    <t>Health Insurance, Dental Insurance, Employee Assistance Program, Paternity Leave, Vacation/Personal Days, Sick Time (Unlimited), Free Snacks, Free Drinks, Remote Work, Employee Discount, Learning and Development, Tuition Reimbursement, Company Laptop</t>
  </si>
  <si>
    <t>Python, SQL</t>
  </si>
  <si>
    <t>University of South Australia</t>
  </si>
  <si>
    <t>Next academy</t>
  </si>
  <si>
    <t>React, typescript, rails</t>
  </si>
  <si>
    <t>KL malaysia</t>
  </si>
  <si>
    <t>Accounting &amp; Finance</t>
  </si>
  <si>
    <t>Birmingham City University</t>
  </si>
  <si>
    <t>Health Insurance, Maternity Leave, Paternity Leave, Remote Work, Company Laptop</t>
  </si>
  <si>
    <t>New York State</t>
  </si>
  <si>
    <t>Vacation/Personal Days, Sick Time (Unlimited), Remote Work</t>
  </si>
  <si>
    <t>React, React Native</t>
  </si>
  <si>
    <t>New York, US</t>
  </si>
  <si>
    <t>Health Insurance, Life Insurance, Dental Claim, Vacation/Personal Days, Remote Work, Company Laptop, Annual Flexi Allowance, Broadband/Home Internet Reimbursement, Optical/Eye-wear claims</t>
  </si>
  <si>
    <t>Java, Bash, Python</t>
  </si>
  <si>
    <t>Less than 1</t>
  </si>
  <si>
    <t>Health Insurance, Maternity Leave, Paternity Leave, Vacation/Personal Days, Sick Time (Unlimited), Remote Work, Employee Discount, Learning and Development, Transport/Parking Allowance, Company Laptop, Annual Flexi Allowance, Professional Membership Subsidy/Sponsor</t>
  </si>
  <si>
    <t>Gym/Wellness Reimbursement, Employee Discount, Transport Allowance</t>
  </si>
  <si>
    <t>Python, AWS, ML, DL</t>
  </si>
  <si>
    <t>Health Insurance, Dental Insurance, Paternity Leave, Free Lunch, Company Laptop, Parking rebate</t>
  </si>
  <si>
    <t>React JS</t>
  </si>
  <si>
    <t>Art &amp; Design</t>
  </si>
  <si>
    <t>Life Insurance, Maternity Leave, Gym/Wellness Reimbursement, Employee Discount, Learning and Development, Transport Allowance, Company Laptop</t>
  </si>
  <si>
    <t>RPA, Django, Bootstrap, AWS</t>
  </si>
  <si>
    <t>Imperial College London</t>
  </si>
  <si>
    <t>AWS Solutions Architect - Associate</t>
  </si>
  <si>
    <t>Health Insurance, Life Insurance, Dental Insurance, Maternity Leave, Paternity Leave, Vacation/Personal Days, Gym/Wellness Reimbursement, Learning and Development, Company Laptop, Phone Bill Reimbursement</t>
  </si>
  <si>
    <t>Vue.js, Python, multiple GCP services</t>
  </si>
  <si>
    <t>Health Insurance, Dental Claim, Maternity Leave, Paternity Leave, Remote Work, Gym/Wellness Reimbursement, Employee Discount, Transport/Parking Allowance, Company Laptop, Optical/Eye-wear claims</t>
  </si>
  <si>
    <t>Django, VueJS, GCP, CloudFlare</t>
  </si>
  <si>
    <t>Health Insurance, Life Insurance, Vacation/Personal Days, Remote Work</t>
  </si>
  <si>
    <t>Dental Claim, Transport/Parking Allowance</t>
  </si>
  <si>
    <t>C#, C++, Python, Web Dev, Backend, Data Distributed System, AI infusion, Desktop App dev</t>
  </si>
  <si>
    <t>Dental Claim, Sick Time (Unlimited), Remote Work, Company Laptop, Annual Flexi Allowance, Optical/Eye-wear claims</t>
  </si>
  <si>
    <t>React, Javascript, AWS, CSS, Sass, JSX</t>
  </si>
  <si>
    <t>Axrail Pte Ltd</t>
  </si>
  <si>
    <t>&gt;1</t>
  </si>
  <si>
    <t>Field Engineer</t>
  </si>
  <si>
    <t>AWS, NextJS, typescript, javascript, python</t>
  </si>
  <si>
    <t>Sabah, MY</t>
  </si>
  <si>
    <t>6 months</t>
  </si>
  <si>
    <t>Health Insurance, Vacation/Personal Days, Sick Time (Unlimited), Free Breakfast, Free Lunch, Free Snacks, Remote Work, Transport/Parking Allowance, Company Laptop</t>
  </si>
  <si>
    <t>react js, laravel, redux, typescript, nginx, react native, linux hosting</t>
  </si>
  <si>
    <t>mid valley</t>
  </si>
  <si>
    <t>SQL, vb.net, MSSQL</t>
  </si>
  <si>
    <t>Health Insurance, Remote Work, Transport/Parking Allowance, Company Laptop</t>
  </si>
  <si>
    <t>Angular, PHP Laravel, MySQL</t>
  </si>
  <si>
    <t>Maternity Leave, Paternity Leave, Vacation/Personal Days, Free Lunch, Remote Work, Gym/Wellness Reimbursement, Employee Discount, Learning and Development, Company Laptop</t>
  </si>
  <si>
    <t>C#, SQL Server</t>
  </si>
  <si>
    <t>Software Tester</t>
  </si>
  <si>
    <t>Health Insurance, Life Insurance, Remote Work, Transport/Parking Allowance</t>
  </si>
  <si>
    <t>Cypress, Typescript, Graph QL, Jmeter, Taurus, Docker</t>
  </si>
  <si>
    <t>CEH</t>
  </si>
  <si>
    <t>Cloud Developer</t>
  </si>
  <si>
    <t>Health Insurance, Paternity Leave, Free Snacks, Learning and Development, Company Laptop</t>
  </si>
  <si>
    <t>cloud</t>
  </si>
  <si>
    <t>selangor, malaysia</t>
  </si>
  <si>
    <t>Employee Discount, Company Laptop</t>
  </si>
  <si>
    <t>Health Insurance, Dental Claim, Paternity Leave, Free Snacks, Free Drinks, Transport/Parking Allowance, Company Laptop</t>
  </si>
  <si>
    <t>Selangor, Malayisa</t>
  </si>
  <si>
    <t>Kazakhstan</t>
  </si>
  <si>
    <t>Health Insurance, Dental Claim, Maternity Leave, Free Lunch, Free Snacks, Free Drinks, Remote Work, Gym/Wellness Reimbursement, Learning and Development, Company Laptop, Immigration Assistance, Optical/Eye-wear claims, Professional Membership Subsidy/Sponsor</t>
  </si>
  <si>
    <t>Ruby on Rails, Docker, SQL</t>
  </si>
  <si>
    <t>IT consultatcy</t>
  </si>
  <si>
    <t>Lincoln University College</t>
  </si>
  <si>
    <t>freeCodeCamp</t>
  </si>
  <si>
    <t>In process</t>
  </si>
  <si>
    <t>ASP.NET, CSS3, HTML5, FIGMA, CODEPEN, GIT BASH, GITHUB</t>
  </si>
  <si>
    <t>.Net Core, MySql</t>
  </si>
  <si>
    <t>WORDPRESS, PARDOT, HUBSPOT, GOOGLE ANALYTIC, GOOGLE TAG MANAGER</t>
  </si>
  <si>
    <t>Simpang Ampat</t>
  </si>
  <si>
    <t>Health Insurance, Dental Claim, Maternity Leave, Paternity Leave, Vacation/Personal Days, Free Lunch, Learning and Development, Student Loan Repayment Plan, Company Laptop, Optical/Eye-wear claims</t>
  </si>
  <si>
    <t>Java, C++</t>
  </si>
  <si>
    <t>Health Insurance, Life Insurance, Dental Claim, Paternity Leave, Vacation/Personal Days, Remote Work, Gym/Wellness Reimbursement, Employee Discount, Learning and Development, Transport/Parking Allowance, Company Laptop, Company Phones, Phone Bill Reimbursement, Broadband/Home Internet Reimbursement, Optical/Eye-wear claims, Professional Membership Subsidy/Sponsor</t>
  </si>
  <si>
    <t>Mac, swift, objective c, java, kotlin, flutter</t>
  </si>
  <si>
    <t>Health Insurance, Life Insurance, Dental Claim, Remote Work, Employee Discount, Annual Flexi Allowance, Optical/Eye-wear claims</t>
  </si>
  <si>
    <t>Nodejs,react</t>
  </si>
  <si>
    <t>Bukit jalil</t>
  </si>
  <si>
    <t>ISACA CSX-P</t>
  </si>
  <si>
    <t>QA, Software Engineer</t>
  </si>
  <si>
    <t>Health Insurance, Dental Claim, Maternity Leave, Vacation/Personal Days, Remote Work, Gym/Wellness Reimbursement, Transport/Parking Allowance, Company Laptop, Optical/Eye-wear claims</t>
  </si>
  <si>
    <t>GCP, Postman, Bamboo, Jira, MongoDB</t>
  </si>
  <si>
    <t>Service Provider: Software</t>
  </si>
  <si>
    <t>US Based. Tech house in Malaysia</t>
  </si>
  <si>
    <t>Health Insurance, Life Insurance, Employee Assistance Program, Paternity Leave, Vacation/Personal Days, Sick Time (Unlimited), Remote Work, Gym/Wellness Reimbursement, Employee Discount, Company Laptop</t>
  </si>
  <si>
    <t>Python, airflow</t>
  </si>
  <si>
    <t>Bukit damansara, KL</t>
  </si>
  <si>
    <t>National Kaohsiung University of Science and Technology</t>
  </si>
  <si>
    <t>Health Insurance, Life Insurance, Maternity Leave, Paternity Leave, Vacation/Personal Days, Transport/Parking Allowance, Phone Bill Reimbursement</t>
  </si>
  <si>
    <t>Golang, Angular, Mysql</t>
  </si>
  <si>
    <t>Greenpacket</t>
  </si>
  <si>
    <t>Practitioner in Deep Learning for Java</t>
  </si>
  <si>
    <t>Vacation/Personal Days, Remote Work, Learning and Development, Company Laptop</t>
  </si>
  <si>
    <t>React, Nextjs, Express, MongoDB, GCP, Nodejs</t>
  </si>
  <si>
    <t>Bjak.com</t>
  </si>
  <si>
    <t>Health Insurance, Life Insurance, Dental Insurance, Vacation/Personal Days, Sick Time (Unlimited), Company Laptop</t>
  </si>
  <si>
    <t>Health Insurance, Life Insurance, Maternity Leave, Paternity Leave, Free Snacks, Free Drinks, Remote Work, Learning and Development, Company Laptop</t>
  </si>
  <si>
    <t>Kubernetes, Docker, Linux, Spark, Python, Git</t>
  </si>
  <si>
    <t>Health Insurance, Life Insurance, Free Snacks, Free Drinks</t>
  </si>
  <si>
    <t>Health Insurance, Life Insurance, Dental Insurance, Maternity Leave, Paternity Leave, Sick Time (Unlimited), Free Snacks, Free Drinks, Remote Work, Learning and Development, Company Laptop</t>
  </si>
  <si>
    <t>NodeJS</t>
  </si>
  <si>
    <t>WeWork</t>
  </si>
  <si>
    <t>Health Insurance, Maternity Leave, Paternity Leave, Sick Time (Unlimited), Free Snacks, Free Drinks, Remote Work</t>
  </si>
  <si>
    <t>PHP, MySQL, PowerBI</t>
  </si>
  <si>
    <t>Health Insurance, Free Snacks, Remote Work, Employee Discount, Learning and Development, Company Laptop</t>
  </si>
  <si>
    <t>Ruby on Rails, Laravel, Vue.js, MySQL, AWS, Slack</t>
  </si>
  <si>
    <t>Health Insurance, Dental Insurance, Maternity Leave, Free Snacks, Free Drinks, Transport Allowance, Broadband and meal allowance</t>
  </si>
  <si>
    <t>Java, Vuejs, python</t>
  </si>
  <si>
    <t>Health Insurance, Dental Insurance, Vacation/Personal Days, Sick Time (Unlimited), Remote Work, Company Laptop</t>
  </si>
  <si>
    <t>Software Develoepr</t>
  </si>
  <si>
    <t>Health Insurance, Maternity Leave, Paternity Leave, Remote Work</t>
  </si>
  <si>
    <t>Blockchain</t>
  </si>
  <si>
    <t>Health Insurance, Free Lunch, Free Snacks, Free Drinks, Remote Work, Transport Allowance, Company Laptop</t>
  </si>
  <si>
    <t>Slack, Trello</t>
  </si>
  <si>
    <t>Robotics Engineering</t>
  </si>
  <si>
    <t>Laptop, Mobile phone</t>
  </si>
  <si>
    <t>Selangor, PJ</t>
  </si>
  <si>
    <t>.NET, .NET Core, Redis, Azure DevOps, MSSQL</t>
  </si>
  <si>
    <t>Health Insurance, Vacation/Personal Days, Free Snacks, Free Drinks, Learning and Development, Company Laptop</t>
  </si>
  <si>
    <t>Gym/Wellness Reimbursement, Company Laptop</t>
  </si>
  <si>
    <t>ASP .NET, Vue.js</t>
  </si>
  <si>
    <t>Health Insurance, Dental Insurance, Gym/Wellness Reimbursement, Transport Allowance, Company Laptop</t>
  </si>
  <si>
    <t>Qumon Intelligencd</t>
  </si>
  <si>
    <t>Health Insurance, Life Insurance, Dental Insurance, Employee Assistance Program, Maternity Leave, Paternity Leave, Vacation/Personal Days, Gym/Wellness Reimbursement, Employee Discount, Learning and Development, Tuition Reimbursement, Transport Allowance, Company Laptop, Phone Bill Reimbursement, Relocation Bonus</t>
  </si>
  <si>
    <t>Python, Perl, Java, C++</t>
  </si>
  <si>
    <t>Delphi,.net,nodejs,php</t>
  </si>
  <si>
    <t>KL,malaysia</t>
  </si>
  <si>
    <t>Health Insurance, Remote Work, Transport Allowance, Company Laptop, Company Phones, Phone Bill Reimbursement</t>
  </si>
  <si>
    <t>Web, mobile, database, cloud infrastructure</t>
  </si>
  <si>
    <t>Health Insurance, Life Insurance, Dental Insurance, Employee Assistance Program, Maternity Leave, Paternity Leave, Vacation/Personal Days, Sick Time (Unlimited), Remote Work, Gym/Wellness Reimbursement, Employee Discount, Learning and Development, Company Laptop, Phone Bill Reimbursement</t>
  </si>
  <si>
    <t>Back-End Web Development Course (JavaScript on Node.js) – MaGIC Academy</t>
  </si>
  <si>
    <t>CCNA, CEH, AWS Solutions Architect Associated, Microsoft Azure Administrator</t>
  </si>
  <si>
    <t>Senior Technology Consultant</t>
  </si>
  <si>
    <t>Java, PHP, JS, HTML5</t>
  </si>
  <si>
    <t>Digital Agency</t>
  </si>
  <si>
    <t>Health Insurance, Life Insurance, Dental Insurance, Maternity Leave, Paternity Leave, Sick Time (Unlimited), Free Breakfast, Remote Work, Gym/Wellness Reimbursement, Employee Discount, Transport Allowance, Company Laptop</t>
  </si>
  <si>
    <t>C#, .NET, Javascript, JQuery</t>
  </si>
  <si>
    <t>Damansara Perdana</t>
  </si>
  <si>
    <t>AWS - Solution Architect Associate</t>
  </si>
  <si>
    <t>Health Insurance, Dental Insurance, Paternity Leave, Vacation/Personal Days, Remote Work, Learning and Development, Transport Allowance, Company Laptop, Phone Bill Reimbursement, Relocation Bonus</t>
  </si>
  <si>
    <t>React, Nodejs, Java, Python</t>
  </si>
  <si>
    <t>Alegion</t>
  </si>
  <si>
    <t>1 year 6 month</t>
  </si>
  <si>
    <t>Health Insurance, Life Insurance, Maternity Leave, Paternity Leave, Free Snacks, Free Drinks, Remote Work, Company Laptop, Electric bill subsidy</t>
  </si>
  <si>
    <t>C#, ASP.NET, Azure DevOps, CI/CD pipelines, .NET Core, Docker</t>
  </si>
  <si>
    <t>Serdang</t>
  </si>
  <si>
    <t>Health Insurance, Life Insurance, Dental Insurance, Paternity Leave, Vacation/Personal Days, Free Snacks, Transport Allowance, Company Laptop, Phone Bill Reimbursement</t>
  </si>
  <si>
    <t>Ruby, rails, coldfusion, html, css, javascript, sql</t>
  </si>
  <si>
    <t>Health Insurance, Maternity Leave, Paternity Leave, Learning and Development, Company Laptop, Phone Bill Reimbursement</t>
  </si>
  <si>
    <t>Sick Time (Unlimited), Remote Work, Learning and Development, Transport Allowance</t>
  </si>
  <si>
    <t>Node js, Django, React, Python</t>
  </si>
  <si>
    <t>Health Insurance, Maternity Leave, Paternity Leave, Vacation/Personal Days, Remote Work, Gym/Wellness Reimbursement, Transport Allowance, Company Laptop</t>
  </si>
  <si>
    <t>C#, Js, Ts</t>
  </si>
  <si>
    <t>Biomedical Electronics Engineering</t>
  </si>
  <si>
    <t>Health Insurance, Dental Insurance, Employee Assistance Program, Paternity Leave, Vacation/Personal Days, Free Snacks, Remote Work, Gym/Wellness Reimbursement, Learning and Development, Company Laptop</t>
  </si>
  <si>
    <t>Fast Moving Consumer Goods (FMCG)</t>
  </si>
  <si>
    <t>Tobacco</t>
  </si>
  <si>
    <t>Docker Basics - Docker</t>
  </si>
  <si>
    <t>HashiCorp Certified Terraform Associate</t>
  </si>
  <si>
    <t>R&amp;D Software Engineer (DevOps)</t>
  </si>
  <si>
    <t>Health Insurance, Maternity Leave, Paternity Leave, Company Laptop, Company Phones</t>
  </si>
  <si>
    <t>Jenkins, AWS</t>
  </si>
  <si>
    <t>Dental Claim, Sick Time (Unlimited), Company Laptop, Optical/Eye-wear claims</t>
  </si>
  <si>
    <t>Angular, C#, Api</t>
  </si>
  <si>
    <t>Penang, bayan baru</t>
  </si>
  <si>
    <t>New</t>
  </si>
  <si>
    <t>Dental Claim, Vacation/Personal Days, Free Snacks, Free Drinks, Company Laptop, Optical/Eye-wear claims</t>
  </si>
  <si>
    <t>python, node.js, javascripts, mysql, etc</t>
  </si>
  <si>
    <t>Health Insurance, Dental Claim, Maternity Leave, Remote Work, Learning and Development, Transport/Parking Allowance, Company Laptop</t>
  </si>
  <si>
    <t>Laravel, Angular</t>
  </si>
  <si>
    <t>JS, Node.Js, React.Js, AWS</t>
  </si>
  <si>
    <t>Free Breakfast, Free Lunch, Free Dinner, Free Snacks, Free Drinks</t>
  </si>
  <si>
    <t>Life Insurance, Dental Claim, Maternity Leave, Paternity Leave, Company Laptop</t>
  </si>
  <si>
    <t>Java, Spring</t>
  </si>
  <si>
    <t>Health Insurance, Life Insurance, Dental Claim, Employee Assistance Program, Maternity Leave, Paternity Leave, Vacation/Personal Days, Free Snacks, Free Drinks, Remote Work, Gym/Wellness Reimbursement, Learning and Development, Company Laptop, Immigration Assistance, Phone Bill Reimbursement, Annual Flexi Allowance, Broadband/Home Internet Reimbursement, Professional Membership Subsidy/Sponsor</t>
  </si>
  <si>
    <t>Java, Javascript</t>
  </si>
  <si>
    <t>Aws associate certifications</t>
  </si>
  <si>
    <t>Health Insurance, Life Insurance, Maternity Leave, Paternity Leave, Learning and Development, Company Laptop, Company Phones</t>
  </si>
  <si>
    <t>CPRE, CTFL</t>
  </si>
  <si>
    <t>Reactjs, MySQL, Postgresql, Elasticsearch, docker, Message queue</t>
  </si>
  <si>
    <t>Salesforce</t>
  </si>
  <si>
    <t>Technology Consultant (SalesForce)</t>
  </si>
  <si>
    <t>Health Insurance, Life Insurance, Dental Insurance, Vacation/Personal Days, Remote Work, Learning and Development, Tuition Reimbursement, Company Laptop, Phone Bill Reimbursement</t>
  </si>
  <si>
    <t>Salesforce, slack, tableau, workday</t>
  </si>
  <si>
    <t>Sri Rampai</t>
  </si>
  <si>
    <t>Python, Aliyun, Airflow, Superset, Postgres</t>
  </si>
  <si>
    <t>Software Engineer Specialist</t>
  </si>
  <si>
    <t>Health Insurance, Maternity Leave, Paternity Leave, Vacation/Personal Days, Free Snacks, Free Drinks, Remote Work</t>
  </si>
  <si>
    <t>Quill (Quintiq Logic Language)</t>
  </si>
  <si>
    <t>CTFL, CTAL, Scrum Developer</t>
  </si>
  <si>
    <t>Health Insurance, Dental Insurance, Employee Assistance Program, Paternity Leave, Vacation/Personal Days, Free Snacks, Free Drinks, Remote Work, Gym/Wellness Reimbursement, Learning and Development, Company Laptop, Company Phones, Immigration Assistance, Phone Bill Reimbursement</t>
  </si>
  <si>
    <t>Groovy, .Net</t>
  </si>
  <si>
    <t>Health Insurance, Maternity Leave, Paternity Leave, Free Breakfast, Free Snacks, Free Drinks, Remote Work, Gym/Wellness Reimbursement, Learning and Development, Company Laptop, Phone Bill Reimbursement</t>
  </si>
  <si>
    <t>Java, Spring, Angular</t>
  </si>
  <si>
    <t>Applied Statistics</t>
  </si>
  <si>
    <t>Health Insurance, Life Insurance, Dental Claim, Employee Assistance Program, Maternity Leave, Paternity Leave, Vacation/Personal Days, Sick Time (Unlimited), Free Drinks, Remote Work, Gym/Wellness Reimbursement, Employee Discount, Learning and Development, Tuition Reimbursement, Company Laptop, Company Phones, Phone Bill Reimbursement, Broadband/Home Internet Reimbursement, Optical/Eye-wear claims</t>
  </si>
  <si>
    <t>Python, SQL, google cloud, git, docker</t>
  </si>
  <si>
    <t>CCNA, Microsoft Azure Developer, Professional Scrum Master 1</t>
  </si>
  <si>
    <t>Software Development Engineer</t>
  </si>
  <si>
    <t>Health Insurance, Dental Insurance, Paternity Leave, Free Snacks, Free Drinks, Remote Work, Transport Allowance, Company Laptop</t>
  </si>
  <si>
    <t>Dotnet, AngularJs, NodeJs, GCP, MySQL</t>
  </si>
  <si>
    <t>Health Insurance, Maternity Leave, Remote Work, Employee Discount, Learning and Development, Company Laptop</t>
  </si>
  <si>
    <t>4 month</t>
  </si>
  <si>
    <t>Health Insurance, Life Insurance, Maternity Leave, Paternity Leave, Vacation/Personal Days, Free Snacks, Free Drinks, Learning and Development, Company Laptop, Phone Bill Reimbursement</t>
  </si>
  <si>
    <t>Java, Javascript, Spring Framework</t>
  </si>
  <si>
    <t>Less Than 1 Year</t>
  </si>
  <si>
    <t>Java, Vue.js</t>
  </si>
  <si>
    <t>Golang</t>
  </si>
  <si>
    <t>Health Insurance, Dental Claim, Company Laptop</t>
  </si>
  <si>
    <t>React.js</t>
  </si>
  <si>
    <t>SELANGOR, Malaysia</t>
  </si>
  <si>
    <t>Bandar Sri damansara</t>
  </si>
  <si>
    <t>Health Insurance, Vacation/Personal Days, Sick Time (Unlimited), Remote Work, Transport Allowance</t>
  </si>
  <si>
    <t>MERN stack</t>
  </si>
  <si>
    <t>Health Insurance, Dental Insurance, Free Snacks, Remote Work, Learning and Development, Company Laptop, Performance bonus</t>
  </si>
  <si>
    <t>Golang, javascript, React, Mysql, elastic search</t>
  </si>
  <si>
    <t>Maternity Leave</t>
  </si>
  <si>
    <t>Kubernetes,Alicloud,MS Team</t>
  </si>
  <si>
    <t>Revenue Monster Sdn Bhd</t>
  </si>
  <si>
    <t>San José State University</t>
  </si>
  <si>
    <t>Aviatrix Certified Engineer, Microsoft Azure Associate</t>
  </si>
  <si>
    <t>Remote Work, Learning and Development, Company Laptop, Claim on health related spending</t>
  </si>
  <si>
    <t>MEVN, Javascript, BI Tool</t>
  </si>
  <si>
    <t>Health Insurance, Dental Insurance, Transport Allowance, Company Laptop</t>
  </si>
  <si>
    <t>Java, React Native</t>
  </si>
  <si>
    <t>Health Insurance, Dental Insurance</t>
  </si>
  <si>
    <t>WAS, Angular,Spring</t>
  </si>
  <si>
    <t>Damansara,Selangor</t>
  </si>
  <si>
    <t>Cyber Village Sdn Bhd</t>
  </si>
  <si>
    <t>5 month</t>
  </si>
  <si>
    <t>kedah</t>
  </si>
  <si>
    <t>Health Insurance, Life Insurance, Dental Insurance, Maternity Leave, Paternity Leave, Company Laptop</t>
  </si>
  <si>
    <t>a lot</t>
  </si>
  <si>
    <t>Health Insurance, Life Insurance</t>
  </si>
  <si>
    <t>C#.Net, Jquery</t>
  </si>
  <si>
    <t>Lead Frontend Engineer</t>
  </si>
  <si>
    <t>Health Insurance, Life Insurance, Dental Insurance, Maternity Leave, Paternity Leave, Learning and Development, Company Laptop, Company Phones, Company Car</t>
  </si>
  <si>
    <t>React</t>
  </si>
  <si>
    <t>Health Insurance, Life Insurance, Dental Claim, Maternity Leave, Paternity Leave, Employee Discount, Learning and Development, Company Laptop, Optical/Eye-wear claims, Professional Membership Subsidy/Sponsor, health screening, compassionate leave</t>
  </si>
  <si>
    <t>.NET, React, Angular, Nodejs, MSSQL, MySQL, Azure, AWS</t>
  </si>
  <si>
    <t>W.P. Kuala Lumpur, Malaysia</t>
  </si>
  <si>
    <t>University of Michigan</t>
  </si>
  <si>
    <t>Health Insurance, Life Insurance, Employee Assistance Program, Maternity Leave, Vacation/Personal Days, Gym/Wellness Reimbursement, Employee Discount, Learning and Development, Company Laptop, Company Phones</t>
  </si>
  <si>
    <t>Python, R, Javascript, SQL, Elasticsearch, Postgres, MySQL</t>
  </si>
  <si>
    <t>Health Insurance, Company Laptop, Setel Credit</t>
  </si>
  <si>
    <t>Aws, Holistics, Hex</t>
  </si>
  <si>
    <t>Setel</t>
  </si>
  <si>
    <t>Health Insurance, Life Insurance, Dental Insurance, Maternity Leave, Vacation/Personal Days, Remote Work, Transport Allowance, Company Laptop, Phone Bill Reimbursement</t>
  </si>
  <si>
    <t>SQL, Excel, R</t>
  </si>
  <si>
    <t>Computer Network Engineering</t>
  </si>
  <si>
    <t>CDLE - Certifai</t>
  </si>
  <si>
    <t>AI Engineer</t>
  </si>
  <si>
    <t>Free Snacks, Remote Work, Learning and Development, Company Laptop</t>
  </si>
  <si>
    <t>Pytorch</t>
  </si>
  <si>
    <t>Information Technology &amp; Services</t>
  </si>
  <si>
    <t>Skymind Holdings Berhad</t>
  </si>
  <si>
    <t>8 Months</t>
  </si>
  <si>
    <t>Health Insurance, Life Insurance, Maternity Leave, Vacation/Personal Days, Free Lunch, Company Laptop</t>
  </si>
  <si>
    <t>Laptop, wifi</t>
  </si>
  <si>
    <t>MyPR</t>
  </si>
  <si>
    <t>Sekolah Menengah Pantai</t>
  </si>
  <si>
    <t>Node.js, typescript, aws</t>
  </si>
  <si>
    <t>Maternity Leave, Paternity Leave, Vacation/Personal Days, Transport/Parking Allowance</t>
  </si>
  <si>
    <t>Laravel, vue</t>
  </si>
  <si>
    <t>INtellij</t>
  </si>
  <si>
    <t>University of Macau</t>
  </si>
  <si>
    <t>Health Insurance, Life Insurance, Paternity Leave, Vacation/Personal Days, Sick Time (Unlimited), Remote Work</t>
  </si>
  <si>
    <t>HTML, JavaScript, React, Typescript, Redis</t>
  </si>
  <si>
    <t>Vacation/Personal Days, Remote Work, Learning and Development, Company Laptop, Company Phones</t>
  </si>
  <si>
    <t>flutter, elixir, phoenix, react</t>
  </si>
  <si>
    <t>University of Birmingham</t>
  </si>
  <si>
    <t>Assistant Electrical Superintendent</t>
  </si>
  <si>
    <t>Health Insurance, Life Insurance, Dental Claim, Maternity Leave, Paternity Leave, Vacation/Personal Days, Sick Time (Unlimited), Gym/Wellness Reimbursement, Learning and Development, Transport/Parking Allowance, Company Laptop, Phone Bill Reimbursement, Relocation Bonus, Annual Flexi Allowance, Optical/Eye-wear claims, Professional Membership Subsidy/Sponsor</t>
  </si>
  <si>
    <t>python web-framework plc uiux</t>
  </si>
  <si>
    <t>Construction</t>
  </si>
  <si>
    <t>Gamuda sdn.bhd</t>
  </si>
  <si>
    <t>Health Insurance, Life Insurance, Dental Claim, Employee Assistance Program, Maternity Leave, Paternity Leave, Sick Time (Unlimited), Remote Work, Gym/Wellness Reimbursement, Employee Discount, Learning and Development, Company Laptop, Annual Flexi Allowance, Optical/Eye-wear claims</t>
  </si>
  <si>
    <t>React, Golang</t>
  </si>
  <si>
    <t>Health Insurance, Maternity Leave, Paternity Leave, Free Lunch, Free Snacks, Remote Work, Learning and Development, Company Laptop, Phone Bill Reimbursement</t>
  </si>
  <si>
    <t>Python, AWS Stack, Pyspark, SQL, Tableau, MS Excel</t>
  </si>
  <si>
    <t>WP KL, MY</t>
  </si>
  <si>
    <t>Marketing</t>
  </si>
  <si>
    <t>not sure</t>
  </si>
  <si>
    <t>Dental Claim, Employee Assistance Program, Maternity Leave, Paternity Leave, Remote Work, Employee Discount, Learning and Development, Company Laptop, Optical/Eye-wear claims</t>
  </si>
  <si>
    <t>Health Insurance, Life Insurance, Dental Claim, Maternity Leave, Paternity Leave, Remote Work, Transport/Parking Allowance, Company Laptop, Optical/Eye-wear claims</t>
  </si>
  <si>
    <t>Vuejs, Nuxt</t>
  </si>
  <si>
    <t>Health Insurance, Dental Claim, Remote Work, Transport/Parking Allowance, Company Laptop, Phone Bill Reimbursement, Annual Flexi Allowance, Broadband/Home Internet Reimbursement, Optical/Eye-wear claims</t>
  </si>
  <si>
    <t>Swift, Xcode</t>
  </si>
  <si>
    <t>Health Insurance, Life Insurance, Dental Claim, Maternity Leave, Paternity Leave, Learning and Development, Company Laptop, Professional Membership Subsidy/Sponsor</t>
  </si>
  <si>
    <t>Excel</t>
  </si>
  <si>
    <t>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t>
  </si>
  <si>
    <t>GCP, Java, Ruby</t>
  </si>
  <si>
    <t>CDLE</t>
  </si>
  <si>
    <t>Junior Machine Learning Engineer</t>
  </si>
  <si>
    <t>Health Insurance, Vacation/Personal Days, Transport Allowance</t>
  </si>
  <si>
    <t>Georgetown, Penang</t>
  </si>
  <si>
    <t>Robotic software</t>
  </si>
  <si>
    <t>Movel Ai</t>
  </si>
  <si>
    <t>machine learning engineer</t>
  </si>
  <si>
    <t>Python, Nodejs</t>
  </si>
  <si>
    <t>React Native, Nodejs, AWS</t>
  </si>
  <si>
    <t>Software Consultancy</t>
  </si>
  <si>
    <t>Health Insurance, Life Insurance, Dental Insurance, Maternity Leave, Paternity Leave, Free Snacks, Free Drinks, Remote Work, Gym/Wellness Reimbursement, Company Laptop, Phone Bill Reimbursement</t>
  </si>
  <si>
    <t>Js, python</t>
  </si>
  <si>
    <t>Free Snacks, Remote Work, Company Laptop</t>
  </si>
  <si>
    <t>Java MySQL</t>
  </si>
  <si>
    <t>Ayer Itam</t>
  </si>
  <si>
    <t>Health Insurance, Employee Assistance Program, Maternity Leave, Paternity Leave, Free Lunch, Learning and Development, Company Laptop, Tol Subsidy</t>
  </si>
  <si>
    <t>Python, Pytorch.</t>
  </si>
  <si>
    <t>Electronics</t>
  </si>
  <si>
    <t>Life Insurance, Company Laptop</t>
  </si>
  <si>
    <t>Health Insurance, Maternity Leave, Paternity Leave, Free Drinks, Learning and Development, Transport Allowance, Company Laptop, Phone Bill Reimbursement</t>
  </si>
  <si>
    <t>Python, JavaScript, Jquery, Bootstrap, HTML, CSS, Selenium</t>
  </si>
  <si>
    <t>Huawei Technologies (Malaysia)</t>
  </si>
  <si>
    <t>Human resource</t>
  </si>
  <si>
    <t>MCPD, MCTS, SAFe 4 Scrum Master, PRINCE2</t>
  </si>
  <si>
    <t>Health Insurance, Life Insurance, Paternity Leave, Vacation/Personal Days, Company Laptop</t>
  </si>
  <si>
    <t>.NET Core, C#, SQL Server, Kubernetes, Docker, Azure Devops</t>
  </si>
  <si>
    <t>Health Insurance, Life Insurance, Dental Insurance, Maternity Leave, Paternity Leave, Vacation/Personal Days, Free Breakfast, Free Snacks, Free Drinks, Remote Work, Gym/Wellness Reimbursement, Learning and Development, Tuition Reimbursement, Company Laptop</t>
  </si>
  <si>
    <t>C#, ReactJs</t>
  </si>
  <si>
    <t>Bachelor of xxx</t>
  </si>
  <si>
    <t>Health Insurance, Life Insurance, Dental Insurance, Employee Assistance Program, Maternity Leave, Paternity Leave, Vacation/Personal Days</t>
  </si>
  <si>
    <t>Golang, React</t>
  </si>
  <si>
    <t>Health Insurance, Maternity Leave, Vacation/Personal Days, Sick Time (Unlimited), Remote Work, Gym/Wellness Reimbursement, Learning and Development, Transport Allowance, Company Laptop, Company Phones</t>
  </si>
  <si>
    <t>Android, iOS</t>
  </si>
  <si>
    <t>Health Insurance, Dental Insurance, Maternity Leave, Vacation/Personal Days, Sick Time (Unlimited), Gym/Wellness Reimbursement, Company Laptop, Company Phones, Immigration Assistance, Relocation Bonus</t>
  </si>
  <si>
    <t>Macbook Pro 16", iPhone 11</t>
  </si>
  <si>
    <t>JavaScript, Python</t>
  </si>
  <si>
    <t>johor</t>
  </si>
  <si>
    <t>SAS Big Data Professional</t>
  </si>
  <si>
    <t>Health Insurance, Dental Claim, Sick Time (Unlimited), Free Snacks, Remote Work, Employee Discount, Learning and Development, Transport/Parking Allowance, Company Laptop, Phone Bill Reimbursement, Broadband/Home Internet Reimbursement</t>
  </si>
  <si>
    <t>Health Insurance, Life Insurance, Employee Assistance Program, Maternity Leave, Paternity Leave, Vacation/Personal Days, Remote Work, Gym/Wellness Reimbursement, Learning and Development, Company Laptop, Company Phones, Phone Bill Reimbursement</t>
  </si>
  <si>
    <t>Financial Engineering</t>
  </si>
  <si>
    <t>Consultant - Business Analyst</t>
  </si>
  <si>
    <t>Health Insurance, Life Insurance, Dental Claim, Employee Assistance Program, Maternity Leave, Paternity Leave, Vacation/Personal Days, Sick Time (Unlimited), Remote Work, Company Laptop, Company Phones, Relocation Bonus</t>
  </si>
  <si>
    <t>Jira, Conflence, Mircrosoft Office</t>
  </si>
  <si>
    <t>Mulesoft Certified Developer course, GCP coursera course</t>
  </si>
  <si>
    <t>Mulesoft Certified Developer level 1</t>
  </si>
  <si>
    <t>Consulting Development Analyst</t>
  </si>
  <si>
    <t>Health Insurance, Life Insurance, Employee Assistance Program, Maternity Leave, Paternity Leave, Vacation/Personal Days, Remote Work, Company Laptop</t>
  </si>
  <si>
    <t>API- Muelsoft, Apigee and SAP API manager</t>
  </si>
  <si>
    <t>Health Insurance, Dental Claim, Maternity Leave, Paternity Leave, Free Snacks, Free Drinks, Remote Work, Learning and Development, Transport/Parking Allowance, Company Laptop, Phone Bill Reimbursement, Optical/Eye-wear claims</t>
  </si>
  <si>
    <t>.NET, .NET Core, C#, MySQL, VueJs, Quasar, Typescript, Git</t>
  </si>
  <si>
    <t>Putrajaya, Malaysia</t>
  </si>
  <si>
    <t>aws,microsoft azure certified, google ad sense</t>
  </si>
  <si>
    <t>Dental Claim, Vacation/Personal Days, Remote Work, Employee Discount, Learning and Development, Company Laptop, Phone Bill Reimbursement, Annual Flexi Allowance, Optical/Eye-wear claims</t>
  </si>
  <si>
    <t>python,C#,java,mssql</t>
  </si>
  <si>
    <t>Singpore University of Technology and Design</t>
  </si>
  <si>
    <t>Health Insurance, Life Insurance, Vacation/Personal Days, Free Dinner, Free Snacks, Free Drinks, Remote Work, Company Laptop, Optical/Eye-wear claims</t>
  </si>
  <si>
    <t>Go, Java, Spark, Flink</t>
  </si>
  <si>
    <t>Microsoft Cert</t>
  </si>
  <si>
    <t>Health Insurance, Dental Claim, Employee Assistance Program, Maternity Leave, Paternity Leave, Vacation/Personal Days, Gym/Wellness Reimbursement, Employee Discount, Phone Bill Reimbursement, Annual Flexi Allowance, Optical/Eye-wear claims</t>
  </si>
  <si>
    <t>SQL</t>
  </si>
  <si>
    <t>Health Insurance, Life Insurance, Learning and Development, Transport Allowance, Company Laptop</t>
  </si>
  <si>
    <t>Vue, Javascript</t>
  </si>
  <si>
    <t>Bietigheim-Bissingen, Germany</t>
  </si>
  <si>
    <t>Duerr Dental</t>
  </si>
  <si>
    <t>Health Insurance, Life Insurance, Dental Insurance, Maternity Leave, Paternity Leave, Sick Time (Unlimited), Gym/Wellness Reimbursement</t>
  </si>
  <si>
    <t>Health Insurance, Maternity Leave, Paternity Leave, Gym/Wellness Reimbursement, Employee Discount, Company Laptop</t>
  </si>
  <si>
    <t>Business &amp; Integration Specialist</t>
  </si>
  <si>
    <t>Health Insurance, Dental Claim, Maternity Leave, Paternity Leave, Vacation/Personal Days, Sick Time (Unlimited), Remote Work, Learning and Development, Company Laptop, Phone Bill Reimbursement, Annual Flexi Allowance, Broadband/Home Internet Reimbursement, Optical/Eye-wear claims</t>
  </si>
  <si>
    <t>Spring boot</t>
  </si>
  <si>
    <t>Expat</t>
  </si>
  <si>
    <t>Health Insurance, Vacation/Personal Days, Sick Time (Unlimited), Free Breakfast, Free Snacks, Free Drinks, Remote Work, Learning and Development, Transport/Parking Allowance, Company Laptop, Immigration Assistance</t>
  </si>
  <si>
    <t>Rust/C++</t>
  </si>
  <si>
    <t>&lt; 1year</t>
  </si>
  <si>
    <t>2-3 internships + research/teaching assistant</t>
  </si>
  <si>
    <t>Named-Data Networking Setup : Deployment</t>
  </si>
  <si>
    <t>HCNA, CCNA, AlibabaCloud, GCP</t>
  </si>
  <si>
    <t>Chief Project Engineer</t>
  </si>
  <si>
    <t>Health Insurance, Life Insurance, Dental Claim, Employee Assistance Program, Maternity Leave, Paternity Leave, Vacation/Personal Days, Sick Time (Unlimited), Free Snacks, Free Drinks, Remote Work, Gym/Wellness Reimbursement, Transport/Parking Allowance, Company Laptop, Company Phones, Immigration Assistance, Phone Bill Reimbursement, Relocation Bonus, Annual Flexi Allowance, Optical/Eye-wear claims, Professional Membership Subsidy/Sponsor, Company Car</t>
  </si>
  <si>
    <t>Telco infra, networking infra, CMS architecture, IIoT Solution</t>
  </si>
  <si>
    <t>Health Insurance, Dental Claim, Maternity Leave, Paternity Leave, Vacation/Personal Days, Learning and Development, Company Laptop, Professional Membership Subsidy/Sponsor</t>
  </si>
  <si>
    <t>Python, R, SAS, SQL</t>
  </si>
  <si>
    <t>Galway Mayo Institute of Technology</t>
  </si>
  <si>
    <t>Apple Developer Academy</t>
  </si>
  <si>
    <t>Learning and Development, Company Laptop</t>
  </si>
  <si>
    <t>Smart Home and alarms</t>
  </si>
  <si>
    <t>Health Insurance, Remote Work, Transport Allowance, Company Laptop, Phone Bill Reimbursement</t>
  </si>
  <si>
    <t>Linux, Shell, Python, SQL</t>
  </si>
  <si>
    <t>Forensice &amp; Investigation Science</t>
  </si>
  <si>
    <t>West Virginia University</t>
  </si>
  <si>
    <t>Health Insurance, Vacation/Personal Days, Sick Time (Unlimited), Learning and Development, Company Laptop</t>
  </si>
  <si>
    <t>ReactJS, React Native, Go, PostgreSQL, NodeJs, Docker</t>
  </si>
  <si>
    <t>Hong Kong, PRC</t>
  </si>
  <si>
    <t>Angular Spring Boot Docker Kubernetes</t>
  </si>
  <si>
    <t>Selangor , Malaysia</t>
  </si>
  <si>
    <t>Microsoft certified programmer C#</t>
  </si>
  <si>
    <t>Health Insurance, Life Insurance, Dental Insurance, Maternity Leave, Paternity Leave, Free Snacks, Free Drinks, Learning and Development, Company Laptop, Company Phones, Optical, Health Screening</t>
  </si>
  <si>
    <t>Asp.net (c# and vb.net), angular</t>
  </si>
  <si>
    <t>MTDC UPM</t>
  </si>
  <si>
    <t>Viewpoint Research Corporation SDN Bhd</t>
  </si>
  <si>
    <t>Bachelor of XXX</t>
  </si>
  <si>
    <t>Health Insurance, Dental Insurance, Maternity Leave, Paternity Leave, Free Snacks, Gym/Wellness Reimbursement, Company Laptop, Relocation Bonus</t>
  </si>
  <si>
    <t>React.js + typescript, golang, serverless, lambda, dynamodb, SQS, SNS, api gateway, hexagonal architecture(more like how we build those)</t>
  </si>
  <si>
    <t>Berlin, Germany</t>
  </si>
  <si>
    <t>Tampin</t>
  </si>
  <si>
    <t>Lead Frontend Developer</t>
  </si>
  <si>
    <t>Angular, NestJS, Laravel, WordPress, NextJS</t>
  </si>
  <si>
    <t>Health Insurance, Life Insurance, Dental Insurance, Employee Assistance Program, Maternity Leave, Paternity Leave, Vacation/Personal Days, Free Breakfast, Free Snacks, Free Drinks, Remote Work, Gym/Wellness Reimbursement, Employee Discount, Learning and Development, Tuition Reimbursement, Transport Allowance, Company Laptop</t>
  </si>
  <si>
    <t>.NET, Python, Power BI</t>
  </si>
  <si>
    <t>University of Wisconsin-Madison</t>
  </si>
  <si>
    <t>Health Insurance, Life Insurance, Free Snacks, Free Drinks, Remote Work, Employee Discount, Learning and Development, Company Laptop, Annual Flexi Allowance</t>
  </si>
  <si>
    <t>Vue, Azure, AWS, Bit</t>
  </si>
  <si>
    <t>XAMPP, PHPStorm, Bitbucket, Git, Postman</t>
  </si>
  <si>
    <t>TalentCloud.AI</t>
  </si>
  <si>
    <t>Pharmacy</t>
  </si>
  <si>
    <t>University of Portsmouth</t>
  </si>
  <si>
    <t>Full Stack Web Development Bootcamp - Next Academy</t>
  </si>
  <si>
    <t>Health Insurance, Maternity Leave, Paternity Leave, Vacation/Personal Days, Sick Time (Unlimited), Gym/Wellness Reimbursement, Employee Discount, Company Laptop</t>
  </si>
  <si>
    <t>Solutions Architect</t>
  </si>
  <si>
    <t>Health Insurance, Dental Claim, Employee Assistance Program, Vacation/Personal Days, Sick Time (Unlimited), Free Lunch, Remote Work, Employee Discount, Learning and Development, Transport/Parking Allowance, Company Laptop, Phone Bill Reimbursement, Broadband/Home Internet Reimbursement, Professional Membership Subsidy/Sponsor</t>
  </si>
  <si>
    <t>AWS, Kubernetes, Vue,React,AI/ML</t>
  </si>
  <si>
    <t>Golang,NodeJS,Postgres,GCP,k8s</t>
  </si>
  <si>
    <t>Tokyo, Japan</t>
  </si>
  <si>
    <t>AWS Certified Solutions Architect, IBM Data Science Professional Certificate</t>
  </si>
  <si>
    <t>Product Specialist</t>
  </si>
  <si>
    <t>Vacation/Personal Days, Free Snacks, Remote Work, Employee Discount, Learning and Development, Company Laptop, Immigration Assistance, Broadband/Home Internet Reimbursement</t>
  </si>
  <si>
    <t>Amazon Web Services</t>
  </si>
  <si>
    <t>Health Insurance, Remote Work, Learning and Development, Company Laptop</t>
  </si>
  <si>
    <t>Angular, C#, Azure Web Services</t>
  </si>
  <si>
    <t>Kuala Lumpur, Kuala Lumpur</t>
  </si>
  <si>
    <t>Business Management &amp; Public Policy</t>
  </si>
  <si>
    <t>Health Insurance, Maternity Leave, Vacation/Personal Days, Gym/Wellness Reimbursement, Company Laptop</t>
  </si>
  <si>
    <t>ASP.net Core, React, Laravel</t>
  </si>
  <si>
    <t>Real Estate</t>
  </si>
  <si>
    <t>Health Insurance, Life Insurance, Dental Claim, Vacation/Personal Days, Remote Work, Optical/Eye-wear claims</t>
  </si>
  <si>
    <t>GoLang, Python, Javascript</t>
  </si>
  <si>
    <t>syrian</t>
  </si>
  <si>
    <t>Health Insurance, Life Insurance, Dental Claim, Free Lunch, Free Dinner, Free Snacks, Free Drinks, Remote Work, Company Phones</t>
  </si>
  <si>
    <t>AZ900, ServiceNow CSA</t>
  </si>
  <si>
    <t>Health Insurance, Dental Claim, Employee Assistance Program, Maternity Leave, Vacation/Personal Days, Free Snacks, Free Drinks, Remote Work, Gym/Wellness Reimbursement, Employee Discount, Learning and Development, Company Laptop, Annual Flexi Allowance, Optical/Eye-wear claims, Professional Membership Subsidy/Sponsor</t>
  </si>
  <si>
    <t>Typescript, JavaScript, Python, React, NestJS, Azure</t>
  </si>
  <si>
    <t>Health Insurance, Dental Claim, Maternity Leave, Paternity Leave, Vacation/Personal Days, Sick Time (Unlimited), Remote Work, Learning and Development, Transport/Parking Allowance, Company Laptop, Optical/Eye-wear claims</t>
  </si>
  <si>
    <t>java, docker, codefresh, kubernetes, github, newrelic, postgres, mongodb, kafka, sqs, jira</t>
  </si>
  <si>
    <t>Maldives</t>
  </si>
  <si>
    <t>Health Insurance, Dental Claim, Maternity Leave, Paternity Leave, Vacation/Personal Days, Sick Time (Unlimited), Remote Work, Gym/Wellness Reimbursement, Learning and Development, Company Laptop, Immigration Assistance, Phone Bill Reimbursement, Optical/Eye-wear claims</t>
  </si>
  <si>
    <t>Microsoft Platform, Power BI, Slate, Salesforce</t>
  </si>
  <si>
    <t>Nestjs,Vuejs,Google Cloud,PostgreSQL</t>
  </si>
  <si>
    <t>Agency</t>
  </si>
  <si>
    <t>Health Insurance, Life Insurance, Paternity Leave, Vacation/Personal Days, Gym/Wellness Reimbursement, Company Laptop</t>
  </si>
  <si>
    <t>Configura Magic</t>
  </si>
  <si>
    <t>Space planning</t>
  </si>
  <si>
    <t>Configura</t>
  </si>
  <si>
    <t>4000 MYR</t>
  </si>
  <si>
    <t>Health Insurance, Life Insurance, Dental Claim, Employee Assistance Program, Maternity Leave, Paternity Leave, Vacation/Personal Days, Free Snacks, Gym/Wellness Reimbursement, Employee Discount, Learning and Development, Transport/Parking Allowance, Company Laptop, Annual Flexi Allowance, Optical/Eye-wear claims</t>
  </si>
  <si>
    <t>Golang , AWS, Terraform</t>
  </si>
  <si>
    <t>Health Insurance, Life Insurance, Dental Claim, Employee Assistance Program, Maternity Leave, Paternity Leave, Vacation/Personal Days, Free Snacks, Free Drinks, Remote Work, Gym/Wellness Reimbursement, Learning and Development, Transport/Parking Allowance, Company Laptop, Annual Flexi Allowance, Broadband/Home Internet Reimbursement</t>
  </si>
  <si>
    <t>Golang, AWS</t>
  </si>
  <si>
    <t>Sri Lankan</t>
  </si>
  <si>
    <t>Microsoft Certified Azure Fundamentals</t>
  </si>
  <si>
    <t>Health Insurance, Employee Assistance Program, Paternity Leave, Vacation/Personal Days, Remote Work, Learning and Development, Company Laptop, Immigration Assistance, Phone Bill Reimbursement</t>
  </si>
  <si>
    <t>Slack, VS Code, Microsoft Azure, PowerShell, Azure DevOps</t>
  </si>
  <si>
    <t>Sea Park</t>
  </si>
  <si>
    <t>Angular, asp.net</t>
  </si>
  <si>
    <t>University of Bath</t>
  </si>
  <si>
    <t>Health Insurance, Dental Claim, Employee Assistance Program, Free Snacks, Free Drinks, Transport/Parking Allowance, Student Loan Repayment Plan, Company Laptop, Immigration Assistance, Optical/Eye-wear claims</t>
  </si>
  <si>
    <t>React, JS/Typescript, CSS-in-JS, SCSS, Websocket, REST API, GraphQL</t>
  </si>
  <si>
    <t>&lt;1 year relevant experience</t>
  </si>
  <si>
    <t>1 excluding internships</t>
  </si>
  <si>
    <t>Health Insurance, Life Insurance, Dental Insurance, Employee Assistance Program, Maternity Leave, Paternity Leave, Vacation/Personal Days, Sick Time (Unlimited), Remote Work, Employee Discount, Learning and Development, Company Laptop, Company Phones</t>
  </si>
  <si>
    <t>ENSA</t>
  </si>
  <si>
    <t>any</t>
  </si>
  <si>
    <t>Health Insurance, Life Insurance, Dental Insurance, Employee Assistance Program, Maternity Leave, Paternity Leave, Vacation/Personal Days, Sick Time (Unlimited), Free Lunch, Remote Work, Employee Discount, Learning and Development, Company Laptop, Phone Bill Reimbursement</t>
  </si>
  <si>
    <t>Python, AWS, Docker, Apache Airflow, MLflow, DVC, Arize.ai</t>
  </si>
  <si>
    <t>Health Insurance, Life Insurance, Sick Time (Unlimited), Free Snacks, Free Drinks, Remote Work, Employee Discount, Learning and Development, Company Laptop, Optical/Eye-wear claims</t>
  </si>
  <si>
    <t>PHP,NodeJs,MySql,MongoDB,Redis</t>
  </si>
  <si>
    <t>Senior Mobile Developer</t>
  </si>
  <si>
    <t>Iranian</t>
  </si>
  <si>
    <t>Health Insurance, Remote Work, Company Laptop, Relocation Bonus</t>
  </si>
  <si>
    <t>TypeScript, Angular, JavaScript, RxJS, Redux/NgRX, AWS, Firebase, MongoDB, ElectronJS</t>
  </si>
  <si>
    <t>Manipal International University</t>
  </si>
  <si>
    <t>Devops engineer</t>
  </si>
  <si>
    <t>Health Insurance, Dental Insurance, Maternity Leave, Vacation/Personal Days, Free Snacks, Tuition Reimbursement, Company Laptop, Immigration Assistance</t>
  </si>
  <si>
    <t>Aws, gcp, metatrader, Linux</t>
  </si>
  <si>
    <t>Deriv.com</t>
  </si>
  <si>
    <t>Maternity Leave, Paternity Leave, Free Snacks, Remote Work, Transport Allowance, Company Laptop</t>
  </si>
  <si>
    <t>JB, Johor</t>
  </si>
  <si>
    <t>Vacation/Personal Days, Sick Time (Unlimited), Company Laptop</t>
  </si>
  <si>
    <t>Washington D.C.</t>
  </si>
  <si>
    <t>Seattle</t>
  </si>
  <si>
    <t>University of Minnesota</t>
  </si>
  <si>
    <t>Health Insurance, Life Insurance, Dental Insurance, Employee Assistance Program, Maternity Leave, Paternity Leave, Vacation/Personal Days, Sick Time (Unlimited), Remote Work, Employee Discount, Learning and Development, Transport Allowance, Company Laptop, Company Phones, Immigration Assistance, Relocation Bonus</t>
  </si>
  <si>
    <t>Washington, US</t>
  </si>
  <si>
    <t>Ruby on Rails, javascript, Jquery</t>
  </si>
  <si>
    <t>Health Insurance, Life Insurance, Dental Claim, Employee Assistance Program, Maternity Leave, Paternity Leave, Vacation/Personal Days, Sick Time (Unlimited), Remote Work, Employee Discount, Learning and Development, Company Laptop</t>
  </si>
  <si>
    <t>Go, gRPC, AWS, MYSQL, Redis</t>
  </si>
  <si>
    <t>Superapp</t>
  </si>
  <si>
    <t>Maternity Leave, Paternity Leave, Vacation/Personal Days, Remote Work, Company Laptop</t>
  </si>
  <si>
    <t>Go, php, javascript</t>
  </si>
  <si>
    <t>IT Services</t>
  </si>
  <si>
    <t>Canada</t>
  </si>
  <si>
    <t>British Columbia</t>
  </si>
  <si>
    <t>Vancouver</t>
  </si>
  <si>
    <t>University of Alberta</t>
  </si>
  <si>
    <t>CAD</t>
  </si>
  <si>
    <t>Health Insurance, Life Insurance, Dental Claim, Employee Assistance Program, Maternity Leave, Paternity Leave, Vacation/Personal Days, Free Snacks, Remote Work, Learning and Development, Tuition Reimbursement, Company Laptop, Broadband/Home Internet Reimbursement, Optical/Eye-wear claims</t>
  </si>
  <si>
    <t>Elixir, Elm, Rust, Postgresql, AWS</t>
  </si>
  <si>
    <t>British Columbia, Canada</t>
  </si>
  <si>
    <t>Generac Grid Services</t>
  </si>
  <si>
    <t>Software Analyst</t>
  </si>
  <si>
    <t>Maternity Leave, Company Laptop</t>
  </si>
  <si>
    <t>C#, qt qml, php, python, django, .net</t>
  </si>
  <si>
    <t>Security system provider</t>
  </si>
  <si>
    <t>Health Insurance, Life Insurance, Maternity Leave, Paternity Leave, Vacation/Personal Days, Remote Work, Optical/Eye-wear claims</t>
  </si>
  <si>
    <t>Node, go, react, next, angular</t>
  </si>
  <si>
    <t>Lebanon</t>
  </si>
  <si>
    <t>American University of Beirut</t>
  </si>
  <si>
    <t>Java, Spring Boot, Hibernate, MySQL, Kubernetes</t>
  </si>
  <si>
    <t>Nanyang Technological University Singapore</t>
  </si>
  <si>
    <t>Health Insurance, Life Insurance, Dental Insurance, Employee Assistance Program, Maternity Leave, Paternity Leave, Vacation/Personal Days, Free Lunch, Free Dinner, Free Snacks, Free Drinks, Remote Work, Gym/Wellness Reimbursement, Employee Discount, Learning and Development, Company Laptop</t>
  </si>
  <si>
    <t>Golang and some in house framework</t>
  </si>
  <si>
    <t>English</t>
  </si>
  <si>
    <t>Nutritional Biochemistry</t>
  </si>
  <si>
    <t>Health Insurance, Paternity Leave, Sick Time (Unlimited), Remote Work, Employee Discount, Learning and Development, Tuition Reimbursement, Company Laptop, Immigration Assistance</t>
  </si>
  <si>
    <t>GCP,vuejs,nuxtjs</t>
  </si>
  <si>
    <t>Bangsar</t>
  </si>
  <si>
    <t>Mindvalley</t>
  </si>
  <si>
    <t>Wichita State University</t>
  </si>
  <si>
    <t>Health Insurance, Life Insurance, Remote Work, Phone Bill Reimbursement</t>
  </si>
  <si>
    <t>LAMP Stack</t>
  </si>
  <si>
    <t>Health Insurance, Life Insurance, Dental Claim, Maternity Leave, Paternity Leave, Sick Time (Unlimited), Free Snacks, Free Drinks, Gym/Wellness Reimbursement, Employee Discount, Learning and Development, Tuition Reimbursement, Company Laptop, Broadband/Home Internet Reimbursement, Optical/Eye-wear claims</t>
  </si>
  <si>
    <t>angular,.net,html,css,js,ts,tsql,python,react</t>
  </si>
  <si>
    <t>Site Reliability Engineer</t>
  </si>
  <si>
    <t>Health Insurance, Sick Time (Unlimited), Remote Work, Transport Allowance, Company Laptop</t>
  </si>
  <si>
    <t>Kubernetes, AWS</t>
  </si>
  <si>
    <t>Health Insurance, Life Insurance, Dental Claim, Maternity Leave, Paternity Leave, Gym/Wellness Reimbursement, Employee Discount, Company Laptop, Company Phones</t>
  </si>
  <si>
    <t>.net, c#</t>
  </si>
  <si>
    <t>Programmer finishing school by MaGIC</t>
  </si>
  <si>
    <t>Ruby on rails</t>
  </si>
  <si>
    <t>Health Insurance, Dental Claim, Employee Assistance Program, Maternity Leave, Paternity Leave, Vacation/Personal Days, Sick Time (Unlimited), Remote Work, Gym/Wellness Reimbursement, Learning and Development, Transport/Parking Allowance, Company Laptop, Phone Bill Reimbursement, Annual Flexi Allowance, Broadband/Home Internet Reimbursement, Optical/Eye-wear claims, Professional Membership Subsidy/Sponsor</t>
  </si>
  <si>
    <t>Mulesoft, cloud</t>
  </si>
  <si>
    <t>Mayaia</t>
  </si>
  <si>
    <t>Maktab Rendah Sains Mara</t>
  </si>
  <si>
    <t>GCP, Apache Big Data Stack</t>
  </si>
  <si>
    <t>Fave</t>
  </si>
  <si>
    <t>Health Insurance, Life Insurance, Maternity Leave, Paternity Leave, Vacation/Personal Days, Sick Time (Unlimited), Remote Work, Gym/Wellness Reimbursement, Employee Discount, Learning and Development, Transport Allowance, Company Laptop, Relocation Bonus</t>
  </si>
  <si>
    <t>Native mob dev, spring boot</t>
  </si>
  <si>
    <t>Kuala Lumpur, Malaysiam</t>
  </si>
  <si>
    <t>Health Insurance, Life Insurance, Vacation/Personal Days, Remote Work, Employee Discount</t>
  </si>
  <si>
    <t>big data</t>
  </si>
  <si>
    <t>Bangsar South</t>
  </si>
  <si>
    <t>Health Insurance, Life Insurance, Vacation/Personal Days, Sick Time (Unlimited), Remote Work</t>
  </si>
  <si>
    <t>NodeJs, Typescript, AWS</t>
  </si>
  <si>
    <t>Bangladeshi</t>
  </si>
  <si>
    <t>Website Design - BITM, Web Development- LICT</t>
  </si>
  <si>
    <t>Certified scrum developer CSD</t>
  </si>
  <si>
    <t>MERN STACK</t>
  </si>
  <si>
    <t>Penang Malaysia</t>
  </si>
  <si>
    <t>Delivery service</t>
  </si>
  <si>
    <t>1. Website designer, 2. Web developer</t>
  </si>
  <si>
    <t>BDT</t>
  </si>
  <si>
    <t>DataCamp</t>
  </si>
  <si>
    <t>Health Insurance, Dental Claim, Maternity Leave, Paternity Leave, Vacation/Personal Days, Sick Time (Unlimited), Free Breakfast, Free Lunch, Free Dinner, Free Snacks, Free Drinks, Remote Work, Gym/Wellness Reimbursement, Employee Discount, Learning and Development, Transport/Parking Allowance, Company Laptop, Company Phones, Optical/Eye-wear claims</t>
  </si>
  <si>
    <t>Python, unix</t>
  </si>
  <si>
    <t>Sekolah Menengah Islam Hira’</t>
  </si>
  <si>
    <t>Paternity Leave, Vacation/Personal Days, Sick Time (Unlimited), Remote Work, Employee Discount, Learning and Development, Company Laptop, Annual Flexi Allowance</t>
  </si>
  <si>
    <t>AWS, Python, PHP</t>
  </si>
  <si>
    <t>UPSR</t>
  </si>
  <si>
    <t>Free Drinks, Remote Work</t>
  </si>
  <si>
    <t>San Francisco</t>
  </si>
  <si>
    <t>San Francisco State University</t>
  </si>
  <si>
    <t>Health Insurance, Life Insurance, Dental Insurance, Vacation/Personal Days, Free Breakfast, Free Lunch, Free Dinner, Free Snacks, Free Drinks, Remote Work, Company Laptop, Company Phones</t>
  </si>
  <si>
    <t>Hack (PHP), Python, JavaScript(React), GraphQL</t>
  </si>
  <si>
    <t>Facebook (Contractor position)</t>
  </si>
  <si>
    <t>9 months</t>
  </si>
  <si>
    <t>2 internships</t>
  </si>
  <si>
    <t>Selangor, petaling jaya</t>
  </si>
  <si>
    <t>Aerospace</t>
  </si>
  <si>
    <t>Health Insurance, Life Insurance, Dental Claim, Employee Assistance Program, Maternity Leave, Paternity Leave, Free Snacks, Free Drinks, Remote Work, Gym/Wellness Reimbursement, Learning and Development, Company Laptop, Company Phones, Optical/Eye-wear claims</t>
  </si>
  <si>
    <t>Swift, Objective-C, Ruby, Bash</t>
  </si>
  <si>
    <t>Life Insurance</t>
  </si>
  <si>
    <t>Health Insurance, Life Insurance, Dental Insurance, Employee Assistance Program, Maternity Leave, Paternity Leave, Free Snacks, Free Drinks, Remote Work, Gym/Wellness Reimbursement, Employee Discount, Learning and Development, Tuition Reimbursement, Company Laptop, Company Phones, Immigration Assistance, Phone Bill Reimbursement, Relocation Bonus</t>
  </si>
  <si>
    <t>Health Insurance, Dental Claim, Maternity Leave, Paternity Leave, Sick Time (Unlimited), Free Drinks, Remote Work, Learning and Development, Company Laptop, Optical/Eye-wear claims</t>
  </si>
  <si>
    <t>kl, my</t>
  </si>
  <si>
    <t>Kalinga Institute of Industrial Technology</t>
  </si>
  <si>
    <t>DevOps Team Lead</t>
  </si>
  <si>
    <t>Health Insurance, Life Insurance, Dental Claim, Maternity Leave, Free Breakfast, Free Drinks, Tuition Reimbursement, Company Laptop, Broadband/Home Internet Reimbursement</t>
  </si>
  <si>
    <t>AWS, DOCKER, KUBERNETES</t>
  </si>
  <si>
    <t>Cyberjaya, Selangor</t>
  </si>
  <si>
    <t>Health Insurance, Life Insurance, Dental Claim, Paternity Leave, Vacation/Personal Days, Sick Time (Unlimited), Remote Work, Learning and Development, Company Laptop, Phone Bill Reimbursement, Annual Flexi Allowance, Optical/Eye-wear claims</t>
  </si>
  <si>
    <t>C#, .Net</t>
  </si>
  <si>
    <t>Sitecore</t>
  </si>
  <si>
    <t>10 years</t>
  </si>
  <si>
    <t>Aberystwyth University</t>
  </si>
  <si>
    <t>Health Insurance, Vacation/Personal Days, Sick Time (Unlimited), Remote Work, Employee Discount, Learning and Development, Tuition Reimbursement</t>
  </si>
  <si>
    <t>Go,rabbitmq,nodejs,kafka,docker,python,typescript</t>
  </si>
  <si>
    <t>University of Southern California</t>
  </si>
  <si>
    <t>Health Insurance, Life Insurance, Dental Insurance, Employee Assistance Program, Maternity Leave, Paternity Leave, Vacation/Personal Days, Sick Time (Unlimited), Free Breakfast, Free Lunch, Free Dinner, Free Snacks, Free Drinks, Remote Work, Gym/Wellness Reimbursement, Employee Discount, Learning and Development, Company Laptop, Company Phones, Immigration Assistance, Relocation Bonus</t>
  </si>
  <si>
    <t>CA, US</t>
  </si>
  <si>
    <t>Health Insurance, Life Insurance, Maternity Leave, Paternity Leave, Vacation/Personal Days, Sick Time (Unlimited), Free Snacks, Learning and Development, Company Laptop</t>
  </si>
  <si>
    <t>Health Insurance, Life Insurance, Dental Claim, Maternity Leave, Paternity Leave, Vacation/Personal Days, Sick Time (Unlimited), Free Snacks, Free Drinks, Remote Work, Learning and Development, Tuition Reimbursement, Transport/Parking Allowance, Company Laptop, Relocation Bonus, Optical/Eye-wear claims, Donation matching</t>
  </si>
  <si>
    <t>C, Linux, Python, Networking</t>
  </si>
  <si>
    <t>California, US</t>
  </si>
  <si>
    <t>Actuarial Mathematics</t>
  </si>
  <si>
    <t>Maternity Leave, Paternity Leave, Vacation/Personal Days, Sick Time (Unlimited), Remote Work, Learning and Development, Company Laptop</t>
  </si>
  <si>
    <t>Haskell, Rescript</t>
  </si>
  <si>
    <t>OKC, USA</t>
  </si>
  <si>
    <t>Health Insurance, Life Insurance, Dental Claim, Maternity Leave, Paternity Leave, Sick Time (Unlimited), Free Breakfast, Free Lunch, Free Dinner, Free Snacks, Free Drinks, Remote Work, Gym/Wellness Reimbursement, Employee Discount, Company Laptop, Optical/Eye-wear claims</t>
  </si>
  <si>
    <t>Python, Go</t>
  </si>
  <si>
    <t>CA, United States</t>
  </si>
  <si>
    <t>IOT</t>
  </si>
  <si>
    <t>Apple</t>
  </si>
  <si>
    <t>asp.net</t>
  </si>
  <si>
    <t>taiwan,taipei</t>
  </si>
  <si>
    <t>Massachusetts Institute of Technology</t>
  </si>
  <si>
    <t>Red Hat</t>
  </si>
  <si>
    <t>Security Researcher / Red Team</t>
  </si>
  <si>
    <t>Health Insurance, Life Insurance, Dental Claim, Employee Assistance Program, Paternity Leave, Vacation/Personal Days, Sick Time (Unlimited), Remote Work, Gym/Wellness Reimbursement, Employee Discount, Learning and Development, Tuition Reimbursement, Transport/Parking Allowance, Student Loan Repayment Plan, Company Laptop, Company Phones, Immigration Assistance, Phone Bill Reimbursement, Relocation Bonus, Annual Flexi Allowance, Broadband/Home Internet Reimbursement, Optical/Eye-wear claims, Professional Membership Subsidy/Sponsor</t>
  </si>
  <si>
    <t>Alot. MEAN or MERN</t>
  </si>
  <si>
    <t>Biomedical Engineering</t>
  </si>
  <si>
    <t>Hack Reactor Software Engineering Immersive</t>
  </si>
  <si>
    <t>Engineering Manager</t>
  </si>
  <si>
    <t>Health Insurance, Dental Claim, Maternity Leave, Paternity Leave, Vacation/Personal Days, Remote Work, Company Laptop</t>
  </si>
  <si>
    <t>Japan</t>
  </si>
  <si>
    <t>Tokyo</t>
  </si>
  <si>
    <t>JPY</t>
  </si>
  <si>
    <t>Health Insurance, Free Drinks, Remote Work, Transport Allowance, Company Laptop, Company Phones</t>
  </si>
  <si>
    <t>JS, electron, nodejs, react, angular</t>
  </si>
  <si>
    <t>Is your degree tech related?</t>
  </si>
  <si>
    <t xml:space="preserve">Name of Bootcamp Course </t>
  </si>
  <si>
    <t xml:space="preserve">What is the size of your tech team? </t>
  </si>
  <si>
    <t>Masters of Computer Science</t>
  </si>
  <si>
    <t>CMU</t>
  </si>
  <si>
    <t>Taruc</t>
  </si>
  <si>
    <t>Front end team lead</t>
  </si>
  <si>
    <t>Bachelor of Computer Science</t>
  </si>
  <si>
    <t xml:space="preserve">Monash University </t>
  </si>
  <si>
    <t>Associate Developer</t>
  </si>
  <si>
    <t xml:space="preserve">Configura </t>
  </si>
  <si>
    <t>Supporr Engineer</t>
  </si>
  <si>
    <t>Bachelor of Software System Development</t>
  </si>
  <si>
    <t>Tunku Abdul Rahman University College (TAR UC)</t>
  </si>
  <si>
    <t xml:space="preserve">.NET </t>
  </si>
  <si>
    <t>University Tunku Abdul Rahman</t>
  </si>
  <si>
    <t>Tech Lead</t>
  </si>
  <si>
    <t>Bachelor of Computer Sciene</t>
  </si>
  <si>
    <t>UTeM</t>
  </si>
  <si>
    <t>Masters of mechatronics engineering</t>
  </si>
  <si>
    <t>University of Malaya</t>
  </si>
  <si>
    <t>R&amp;D engineer</t>
  </si>
  <si>
    <t>Computer Vision,  .Net, Deep learning,  machine learning</t>
  </si>
  <si>
    <t>Bachelor of Mechanical Engineering</t>
  </si>
  <si>
    <t>Universiti Teknologi Malaysia</t>
  </si>
  <si>
    <t>George Town</t>
  </si>
  <si>
    <t>University Technical Malaysia Melaka</t>
  </si>
  <si>
    <t xml:space="preserve">Bachelor of Computer Science </t>
  </si>
  <si>
    <t>UTAR</t>
  </si>
  <si>
    <t xml:space="preserve">KL, Malaysia </t>
  </si>
  <si>
    <t>Employment pass</t>
  </si>
  <si>
    <t>BSC (HONS) IN SOFTWARE ENGINEERING</t>
  </si>
  <si>
    <t>APU(APIIT)</t>
  </si>
  <si>
    <t>Systems Analyst Programmer</t>
  </si>
  <si>
    <t>Master in computer science</t>
  </si>
  <si>
    <t>Adelaide university</t>
  </si>
  <si>
    <t>Senior AI engineer</t>
  </si>
  <si>
    <t>Adv Diploma</t>
  </si>
  <si>
    <t>NCC UK</t>
  </si>
  <si>
    <t>Senior Web Engineer</t>
  </si>
  <si>
    <t>Bachelor of information technology</t>
  </si>
  <si>
    <t>Mmu</t>
  </si>
  <si>
    <t>Full Stack developer</t>
  </si>
  <si>
    <t>Employment Pass</t>
  </si>
  <si>
    <t>Bachelor of Electrical and Computer Systems Engineering</t>
  </si>
  <si>
    <t>Monash University Malaysia</t>
  </si>
  <si>
    <t>Graduate DevOps Engineer</t>
  </si>
  <si>
    <t>Bachelor (Hons) of Computer Science</t>
  </si>
  <si>
    <t>W.P</t>
  </si>
  <si>
    <t>Bachelor of Chemical Engineering</t>
  </si>
  <si>
    <t>Monash</t>
  </si>
  <si>
    <t>Programmer Analyst</t>
  </si>
  <si>
    <t>Bachelor of Software Engineering</t>
  </si>
  <si>
    <t>Bachelor of Internet Technology</t>
  </si>
  <si>
    <t>TARUC (Tunku abdul rahman university college)</t>
  </si>
  <si>
    <t>Junior Mobile App Developer (flutter/native)</t>
  </si>
  <si>
    <t>petaling jaya</t>
  </si>
  <si>
    <t>diploma of computer science</t>
  </si>
  <si>
    <t>uitm</t>
  </si>
  <si>
    <t>programmer</t>
  </si>
  <si>
    <t>Multimedia University</t>
  </si>
  <si>
    <t xml:space="preserve">Software development Engineer </t>
  </si>
  <si>
    <t xml:space="preserve">Bukit Mertajam </t>
  </si>
  <si>
    <t xml:space="preserve">Bachelor Of Computer Science (Information Security) </t>
  </si>
  <si>
    <t xml:space="preserve">University Tun Hussein Onn Malaysia (UTHM) </t>
  </si>
  <si>
    <t>Application Developer II</t>
  </si>
  <si>
    <t xml:space="preserve">Penang, Malaysia </t>
  </si>
  <si>
    <t>Degree halfway, dropout</t>
  </si>
  <si>
    <t>Full Stack Software Engineer</t>
  </si>
  <si>
    <t xml:space="preserve">Selangor </t>
  </si>
  <si>
    <t xml:space="preserve">Jenjarom </t>
  </si>
  <si>
    <t xml:space="preserve">Bachelors in computer engineering </t>
  </si>
  <si>
    <t xml:space="preserve">Manipal International University nilai </t>
  </si>
  <si>
    <t xml:space="preserve">Aws, gcp, metatrader, Linux </t>
  </si>
  <si>
    <t xml:space="preserve">Cyberjaya, Malaysia </t>
  </si>
  <si>
    <t xml:space="preserve">Deriv.com </t>
  </si>
  <si>
    <t>Bachelor Degree of Software Engineering</t>
  </si>
  <si>
    <t>Web Developer</t>
  </si>
  <si>
    <t xml:space="preserve">Seri Kembangan </t>
  </si>
  <si>
    <t xml:space="preserve">Senior Software Engineer, Full Stack </t>
  </si>
  <si>
    <t xml:space="preserve">Health Insurance, Dental Insurance, Free Snacks, Remote Work, Learning and Development, Company Laptop, Performance bonus </t>
  </si>
  <si>
    <t>Bachelor of computer science</t>
  </si>
  <si>
    <t>Utar</t>
  </si>
  <si>
    <t>MMU</t>
  </si>
  <si>
    <t xml:space="preserve">Mobile developer </t>
  </si>
  <si>
    <t>Bachelor of computer science major in software engineering</t>
  </si>
  <si>
    <t>Actuarial Studies</t>
  </si>
  <si>
    <t>Sunway Uni</t>
  </si>
  <si>
    <t xml:space="preserve">Bachelor's of computer science </t>
  </si>
  <si>
    <t xml:space="preserve">KDU University College </t>
  </si>
  <si>
    <t xml:space="preserve">Front End Developer </t>
  </si>
  <si>
    <t xml:space="preserve">Petaling Jaya, Selangor </t>
  </si>
  <si>
    <t>Computer science</t>
  </si>
  <si>
    <t>Pulau pinang</t>
  </si>
  <si>
    <t>Universit Sains Malaysia</t>
  </si>
  <si>
    <t>SOFTWARE ENGINEER</t>
  </si>
  <si>
    <t xml:space="preserve">Petaling Jaya </t>
  </si>
  <si>
    <t xml:space="preserve">Bachelor of software engineering </t>
  </si>
  <si>
    <t xml:space="preserve">Asia pacific university </t>
  </si>
  <si>
    <t xml:space="preserve">Android developer </t>
  </si>
  <si>
    <t xml:space="preserve">Android studio </t>
  </si>
  <si>
    <t xml:space="preserve">Selangor , malaysia  </t>
  </si>
  <si>
    <t xml:space="preserve">ATX (M) Sdn Bhd </t>
  </si>
  <si>
    <t>APU</t>
  </si>
  <si>
    <t xml:space="preserve">Software engineer </t>
  </si>
  <si>
    <t xml:space="preserve">Kuala Lumpur, Malaysia </t>
  </si>
  <si>
    <t>Bachelor of Information Technology</t>
  </si>
  <si>
    <t>Shaah alam</t>
  </si>
  <si>
    <t xml:space="preserve">Universiti Tunku Adbul Rahman </t>
  </si>
  <si>
    <t>Android App Developer</t>
  </si>
  <si>
    <t>Bachelor of IT</t>
  </si>
  <si>
    <t>IIUM</t>
  </si>
  <si>
    <t>It exec</t>
  </si>
  <si>
    <t>BIT</t>
  </si>
  <si>
    <t>Full Stack Dev</t>
  </si>
  <si>
    <t xml:space="preserve">Damascus University </t>
  </si>
  <si>
    <t>Mobile Applications Develoepr</t>
  </si>
  <si>
    <t>University of Wollongong</t>
  </si>
  <si>
    <t>Full Stack Developer</t>
  </si>
  <si>
    <t>INTI</t>
  </si>
  <si>
    <t>Apiit</t>
  </si>
  <si>
    <t>Senior Programmer</t>
  </si>
  <si>
    <t>Batang kali</t>
  </si>
  <si>
    <t xml:space="preserve">Bach of information system engineering </t>
  </si>
  <si>
    <t xml:space="preserve">Software developer </t>
  </si>
  <si>
    <t xml:space="preserve">Software Engineer </t>
  </si>
  <si>
    <t xml:space="preserve">Angular Spring Boot Docker Kubernetes </t>
  </si>
  <si>
    <t xml:space="preserve">Information Technology &amp; Services </t>
  </si>
  <si>
    <t>actuarial science</t>
  </si>
  <si>
    <t>UKM</t>
  </si>
  <si>
    <t>Azure 105,500,303,304</t>
  </si>
  <si>
    <t>Front end Software developer</t>
  </si>
  <si>
    <t>Master in electronic and computer system</t>
  </si>
  <si>
    <t>Web application engineer</t>
  </si>
  <si>
    <t>Bachelor of computer engineering</t>
  </si>
  <si>
    <t>Ukm</t>
  </si>
  <si>
    <t>Mobile Engineer</t>
  </si>
  <si>
    <t>xxx</t>
  </si>
  <si>
    <t xml:space="preserve">Bch of Software Engineer </t>
  </si>
  <si>
    <t xml:space="preserve">HR Digitisation Specialist </t>
  </si>
  <si>
    <t>Northern region</t>
  </si>
  <si>
    <t>CS</t>
  </si>
  <si>
    <t xml:space="preserve">University Sains Malaysia </t>
  </si>
  <si>
    <t xml:space="preserve">AWA Developer Associate </t>
  </si>
  <si>
    <t>0.1 percent company total share</t>
  </si>
  <si>
    <t xml:space="preserve">Vacation/Personal Days, Sick Time (Unlimited), Technology reimbursement </t>
  </si>
  <si>
    <t xml:space="preserve">Typescript, Python, React </t>
  </si>
  <si>
    <t xml:space="preserve">Silicon valley </t>
  </si>
  <si>
    <t xml:space="preserve">Negeri Sembilan </t>
  </si>
  <si>
    <t>Bachelor of Computer Science in software engineering</t>
  </si>
  <si>
    <t>Software engineer (remote)</t>
  </si>
  <si>
    <t>Bachelor Science Computer Major Computer System</t>
  </si>
  <si>
    <t>Universiti Putra Malaysia (UPM)</t>
  </si>
  <si>
    <t>Bachelor of Computer Science major in Network Security</t>
  </si>
  <si>
    <t>INTI International University/Coventry University</t>
  </si>
  <si>
    <t>Presales Technical Consultant</t>
  </si>
  <si>
    <t xml:space="preserve">KUALA LUMPUR </t>
  </si>
  <si>
    <t xml:space="preserve">CHERAS </t>
  </si>
  <si>
    <t xml:space="preserve">Degree in Electrical and Electronic Engineering (Electronics) </t>
  </si>
  <si>
    <t>FIRMWARE ENGINEER/SOFTWARE TEST ENGINEER</t>
  </si>
  <si>
    <t xml:space="preserve">MYR </t>
  </si>
  <si>
    <t xml:space="preserve">Python(Appium &amp; Selenium) , Embedded C, National Instruments (NI-DAQ) </t>
  </si>
  <si>
    <t>Diploma of IT</t>
  </si>
  <si>
    <t>Help University Damansara</t>
  </si>
  <si>
    <t>Bandar Tasik Permaisuri, Cheras</t>
  </si>
  <si>
    <t>Bachelor of Technology (Hons) Information Communication &amp; Technology</t>
  </si>
  <si>
    <t>Universiti Teknologi PETRONAS</t>
  </si>
  <si>
    <t>3-8 Months Performance Bonus</t>
  </si>
  <si>
    <t xml:space="preserve">Bachelor of Computer Science (Software Development) </t>
  </si>
  <si>
    <t>Bachelor of Computer Science (Honours)</t>
  </si>
  <si>
    <t>Monash university malaysia</t>
  </si>
  <si>
    <t>Universiti Putra Malaysia</t>
  </si>
  <si>
    <t>Software developer</t>
  </si>
  <si>
    <t>George town</t>
  </si>
  <si>
    <t>Bachelor in Business Computing</t>
  </si>
  <si>
    <t>Management and Science university college</t>
  </si>
  <si>
    <t>Bachelor (Hons) of Information Technology</t>
  </si>
  <si>
    <t>Java Developer</t>
  </si>
  <si>
    <t>BSc. (Hons) Economics &amp; Management</t>
  </si>
  <si>
    <t xml:space="preserve">Python, Docker, Spark, Jupyter, Excel, Jira, Confluence </t>
  </si>
  <si>
    <t>BSc in Computer Science (Software Engineering)</t>
  </si>
  <si>
    <t>Bachelor's in Business Information Systems</t>
  </si>
  <si>
    <t>iOS Developer</t>
  </si>
  <si>
    <t xml:space="preserve">Kuala Lumpur </t>
  </si>
  <si>
    <t xml:space="preserve">MSc in Chemical Engineering </t>
  </si>
  <si>
    <t xml:space="preserve">University of Nottingham </t>
  </si>
  <si>
    <t xml:space="preserve">Full stack developer </t>
  </si>
  <si>
    <t xml:space="preserve">Selangor, Malaysia </t>
  </si>
  <si>
    <t xml:space="preserve">Insurance </t>
  </si>
  <si>
    <t>Wilayah Persekutuan KL</t>
  </si>
  <si>
    <t>UNIMAS</t>
  </si>
  <si>
    <t>Senior Application Developer</t>
  </si>
  <si>
    <t>Junior Deep Learning Engineer</t>
  </si>
  <si>
    <t xml:space="preserve">Python </t>
  </si>
  <si>
    <t xml:space="preserve">Computer science </t>
  </si>
  <si>
    <t xml:space="preserve">Full Stack developers </t>
  </si>
  <si>
    <t>BSc in software engineering</t>
  </si>
  <si>
    <t>IT Specialist</t>
  </si>
  <si>
    <t>WPKL</t>
  </si>
  <si>
    <t>Unitar</t>
  </si>
  <si>
    <t xml:space="preserve">WPKL, Malaysia </t>
  </si>
  <si>
    <t>Bsc of Compute Science</t>
  </si>
  <si>
    <t>Universiti Malaysia Pahang</t>
  </si>
  <si>
    <t xml:space="preserve">RMIT University </t>
  </si>
  <si>
    <t>Bachelor of Engineering</t>
  </si>
  <si>
    <t>UPM</t>
  </si>
  <si>
    <t xml:space="preserve">MoneyLion </t>
  </si>
  <si>
    <t>Bachelor of Economics</t>
  </si>
  <si>
    <t>NTU</t>
  </si>
  <si>
    <t>University of Nottingham Malaysia Campus</t>
  </si>
  <si>
    <t>Product Lead</t>
  </si>
  <si>
    <t>Bachelor of Computer Science (Hons)</t>
  </si>
  <si>
    <t>Universiti Tunku Abdul Rahman (UTAR)</t>
  </si>
  <si>
    <t>Network Technology Engineer</t>
  </si>
  <si>
    <t>Senior software engineer</t>
  </si>
  <si>
    <t xml:space="preserve">aws, javascript, graphql, PostgreSQL </t>
  </si>
  <si>
    <t>Software Delivery</t>
  </si>
  <si>
    <t xml:space="preserve">Bachelor of Electrical engineering </t>
  </si>
  <si>
    <t>Institut teknologi sepuluh november</t>
  </si>
  <si>
    <t>USD1348</t>
  </si>
  <si>
    <t xml:space="preserve">Consultant </t>
  </si>
  <si>
    <t>Bachelor of Computer Science (Software Engineering)</t>
  </si>
  <si>
    <t>UNITEN</t>
  </si>
  <si>
    <t>Junior software developer</t>
  </si>
  <si>
    <t>Bachelor of Computer Science major in Data Science</t>
  </si>
  <si>
    <t xml:space="preserve">Data Scientist </t>
  </si>
  <si>
    <t>Sheffield</t>
  </si>
  <si>
    <t>Solution architect</t>
  </si>
  <si>
    <t xml:space="preserve">BS Computer science </t>
  </si>
  <si>
    <t>USC</t>
  </si>
  <si>
    <t>Master of Engineering for Electromechanical Engineer</t>
  </si>
  <si>
    <t>Bachelor of Mechatronics Engineering</t>
  </si>
  <si>
    <t xml:space="preserve">AWS, Azure, Elastic, Python. </t>
  </si>
  <si>
    <t>Bachelor honors computational science</t>
  </si>
  <si>
    <t>Unimas</t>
  </si>
  <si>
    <t>BSc. Computer Graphic And Multimedia Software</t>
  </si>
  <si>
    <t>Backend Engineer</t>
  </si>
  <si>
    <t>KDU University College</t>
  </si>
  <si>
    <t xml:space="preserve">C# </t>
  </si>
  <si>
    <t>Bachelor's of Computer Science</t>
  </si>
  <si>
    <t>Frontend Engineer</t>
  </si>
  <si>
    <t>USM</t>
  </si>
  <si>
    <t>Senior Application Consultant</t>
  </si>
  <si>
    <t xml:space="preserve"> Bachelor of Computer Science</t>
  </si>
  <si>
    <t>BSc (Hons) Information Systems (Business Analytics)</t>
  </si>
  <si>
    <t xml:space="preserve">Cyberjaya </t>
  </si>
  <si>
    <t xml:space="preserve">Bachelor of Mathematics </t>
  </si>
  <si>
    <t xml:space="preserve">Universiti Sains Malaysia </t>
  </si>
  <si>
    <t>Technical Lead</t>
  </si>
  <si>
    <t xml:space="preserve">Information Security </t>
  </si>
  <si>
    <t>Bachelor of Computer Science in AI</t>
  </si>
  <si>
    <t>JOHOR</t>
  </si>
  <si>
    <t>SKUDAI</t>
  </si>
  <si>
    <t xml:space="preserve">Diploma </t>
  </si>
  <si>
    <t>Senior Software Engineer, System Architect</t>
  </si>
  <si>
    <t xml:space="preserve">Bacherlor in Electronics </t>
  </si>
  <si>
    <t xml:space="preserve">University of Hertfordshire </t>
  </si>
  <si>
    <t xml:space="preserve">Lead Developer </t>
  </si>
  <si>
    <t xml:space="preserve">Software house </t>
  </si>
  <si>
    <t>Batu caves</t>
  </si>
  <si>
    <t xml:space="preserve">Bachelor of Computer science </t>
  </si>
  <si>
    <t xml:space="preserve">University of Malaya </t>
  </si>
  <si>
    <t xml:space="preserve">Senior Software engineer </t>
  </si>
  <si>
    <t>Technical Team Lead</t>
  </si>
  <si>
    <t xml:space="preserve">Georgetown </t>
  </si>
  <si>
    <t xml:space="preserve">Bachelor of Software Engineering </t>
  </si>
  <si>
    <t>TARUC</t>
  </si>
  <si>
    <t xml:space="preserve">Consultant Technology </t>
  </si>
  <si>
    <t xml:space="preserve">Virtusa </t>
  </si>
  <si>
    <t>Master of Data Science</t>
  </si>
  <si>
    <t>UM</t>
  </si>
  <si>
    <t>backed developer</t>
  </si>
  <si>
    <t xml:space="preserve">Bachelor of software engineering (education software) </t>
  </si>
  <si>
    <t>Upsi</t>
  </si>
  <si>
    <t xml:space="preserve">Shah Alam, Malaysia </t>
  </si>
  <si>
    <t>Software engineering</t>
  </si>
  <si>
    <t>Junior Full Stack developer</t>
  </si>
  <si>
    <t>Bachelor of Science hon software engineering</t>
  </si>
  <si>
    <t>Java developer</t>
  </si>
  <si>
    <t xml:space="preserve">Software engineering </t>
  </si>
  <si>
    <t>Full stack engineer</t>
  </si>
  <si>
    <t xml:space="preserve">MERN stack </t>
  </si>
  <si>
    <t>Multimedia University (Cyberjaya)</t>
  </si>
  <si>
    <t>R&amp;D Software Engineer 2</t>
  </si>
  <si>
    <t>Kuala Lunpur</t>
  </si>
  <si>
    <t>Bachelor of Degree in Information System Engineering</t>
  </si>
  <si>
    <t>Tech Team Lead</t>
  </si>
  <si>
    <t xml:space="preserve">Software House </t>
  </si>
  <si>
    <t>Wilayah Persekutuan</t>
  </si>
  <si>
    <t>Bachelor of Science in Electrical Engineering</t>
  </si>
  <si>
    <t xml:space="preserve">Puchong </t>
  </si>
  <si>
    <t xml:space="preserve">Diploma in mechatronic engineering </t>
  </si>
  <si>
    <t>Polytechnic nilai</t>
  </si>
  <si>
    <t xml:space="preserve">Control automation engineer </t>
  </si>
  <si>
    <t>bachelor computer sciene</t>
  </si>
  <si>
    <t>uthm</t>
  </si>
  <si>
    <t>senior system analyst</t>
  </si>
  <si>
    <t>Diploma in Information Technology</t>
  </si>
  <si>
    <t>Inti College Subang Jaya</t>
  </si>
  <si>
    <t xml:space="preserve">React,Javascript,CSS,Frontend </t>
  </si>
  <si>
    <t>Senior Technology Engineer</t>
  </si>
  <si>
    <t>Seri kembangan</t>
  </si>
  <si>
    <t>Degree in IT</t>
  </si>
  <si>
    <t>ukm</t>
  </si>
  <si>
    <t>Master of Data Science and Analytics</t>
  </si>
  <si>
    <t>Universiti Sains Malaysia</t>
  </si>
  <si>
    <t xml:space="preserve">Python, Pytorch. </t>
  </si>
  <si>
    <t>Full Stack Web Developer</t>
  </si>
  <si>
    <t xml:space="preserve">ASP .NET, Vue.js </t>
  </si>
  <si>
    <t>Bachelor of software engineering</t>
  </si>
  <si>
    <t>inti college</t>
  </si>
  <si>
    <t>UTAR Kampar</t>
  </si>
  <si>
    <t xml:space="preserve">Design Engineer </t>
  </si>
  <si>
    <t>Bachelor of Mechanical Enginnering</t>
  </si>
  <si>
    <t>UTM</t>
  </si>
  <si>
    <t>Enginner</t>
  </si>
  <si>
    <t>Bachelors of Science</t>
  </si>
  <si>
    <t>Bachelor of Science</t>
  </si>
  <si>
    <t>bandar utama</t>
  </si>
  <si>
    <t>Universiti Teknologi Petronas</t>
  </si>
  <si>
    <t>Front End Developer</t>
  </si>
  <si>
    <t xml:space="preserve">Product manager </t>
  </si>
  <si>
    <t>Universiti Tenaga Nasional</t>
  </si>
  <si>
    <t>Bachelor of Computer Science (Artificial Intelligence)</t>
  </si>
  <si>
    <t>Universiti Malaya</t>
  </si>
  <si>
    <t xml:space="preserve">Sunway University </t>
  </si>
  <si>
    <t>SARAWAK</t>
  </si>
  <si>
    <t>MIRI</t>
  </si>
  <si>
    <t>BACHELOR OF COMPUTER SCIENCE</t>
  </si>
  <si>
    <t>UNIVERSITI MALAYSIA SARAWAK</t>
  </si>
  <si>
    <t>IT EXECUTIVE</t>
  </si>
  <si>
    <t>Curtin Uni in WA, Perth</t>
  </si>
  <si>
    <t>Tech Project Lead</t>
  </si>
  <si>
    <t>Masters Degrees in Engineering</t>
  </si>
  <si>
    <t>UPS 3 Toulouse</t>
  </si>
  <si>
    <t>Manager, Tech Lead</t>
  </si>
  <si>
    <t>Salesforce Consultant</t>
  </si>
  <si>
    <t>Bachelor of Science (HONS) Actuarial Science</t>
  </si>
  <si>
    <t>Universiti Tunku Abdul Rahman</t>
  </si>
  <si>
    <t>Junior NodeJS Developer</t>
  </si>
  <si>
    <t>Bachelor of Software Engineer</t>
  </si>
  <si>
    <t xml:space="preserve">DePaul University, Chicago </t>
  </si>
  <si>
    <t xml:space="preserve">Full Stack Engineer </t>
  </si>
  <si>
    <t xml:space="preserve">University of Greenwich </t>
  </si>
  <si>
    <t xml:space="preserve">Vue, Net core, Tensorflow </t>
  </si>
  <si>
    <t>Bachelor of Computer Science (Network and Security)</t>
  </si>
  <si>
    <t>MEng electrical and electronic engineering</t>
  </si>
  <si>
    <t>R&amp;D Engineer</t>
  </si>
  <si>
    <t xml:space="preserve">Shah Alam </t>
  </si>
  <si>
    <t xml:space="preserve">Diploma in Electronic Engineering </t>
  </si>
  <si>
    <t xml:space="preserve">Uitm </t>
  </si>
  <si>
    <t xml:space="preserve">Next Academy </t>
  </si>
  <si>
    <t xml:space="preserve">iOS Developer </t>
  </si>
  <si>
    <t>Penang Island</t>
  </si>
  <si>
    <t>Diploma in Computer Science</t>
  </si>
  <si>
    <t>Bachelor of Engineering (Chemical)</t>
  </si>
  <si>
    <t>Masters if Computer Science</t>
  </si>
  <si>
    <t>Malacca</t>
  </si>
  <si>
    <t>Bachelor of Computer science</t>
  </si>
  <si>
    <t xml:space="preserve"> </t>
  </si>
  <si>
    <t>Bachelor in science, information system engineering</t>
  </si>
  <si>
    <t>Uitm</t>
  </si>
  <si>
    <t>Full Stack engineer</t>
  </si>
  <si>
    <t xml:space="preserve">Swift </t>
  </si>
  <si>
    <t>Bachelor in Software Engineering</t>
  </si>
  <si>
    <t>Software Engineering Manager</t>
  </si>
  <si>
    <t>BSc in Computer Science (Data Analytics)</t>
  </si>
  <si>
    <t>Manager</t>
  </si>
  <si>
    <t xml:space="preserve">Iranian </t>
  </si>
  <si>
    <t xml:space="preserve">Bachelor of computer software engineering </t>
  </si>
  <si>
    <t>PUN</t>
  </si>
  <si>
    <t>Tech lead Frontend software engineer</t>
  </si>
  <si>
    <t xml:space="preserve">Bachelor of Engineering in Computer Engineering </t>
  </si>
  <si>
    <t xml:space="preserve">Nanyang Technological University Singapore </t>
  </si>
  <si>
    <t>Bsc (Hons) Computer Science</t>
  </si>
  <si>
    <t>Asia Pacific University of Technology &amp; Innovation</t>
  </si>
  <si>
    <t>KDU</t>
  </si>
  <si>
    <t xml:space="preserve">Penang </t>
  </si>
  <si>
    <t xml:space="preserve">CTO </t>
  </si>
  <si>
    <t>Bachelor of Clinical Laboratory Science</t>
  </si>
  <si>
    <t>UniKL MESTECH</t>
  </si>
  <si>
    <t>Backend developer</t>
  </si>
  <si>
    <t>Diploma in IT</t>
  </si>
  <si>
    <t>RM24,000</t>
  </si>
  <si>
    <t>Ba commerce</t>
  </si>
  <si>
    <t>Unisa</t>
  </si>
  <si>
    <t>Bachelor of science</t>
  </si>
  <si>
    <t>Bachelor of Computer Science (Data Science)</t>
  </si>
  <si>
    <t>Bachelor of Computer Engineering</t>
  </si>
  <si>
    <t>SJSU, California</t>
  </si>
  <si>
    <t>0.25% @ US$15000</t>
  </si>
  <si>
    <t>BA (Hon) Web &amp; Digital Media</t>
  </si>
  <si>
    <t>UI/Ux Developer</t>
  </si>
  <si>
    <t>Bachelor Of Engineering (Mechatronics)</t>
  </si>
  <si>
    <t>Mobile Developer</t>
  </si>
  <si>
    <t>BSc Business Management (e-Business)</t>
  </si>
  <si>
    <t>Swansea University</t>
  </si>
  <si>
    <t xml:space="preserve">Bachelor of computer science </t>
  </si>
  <si>
    <t>UIAM</t>
  </si>
  <si>
    <t xml:space="preserve">Cisco, oracle database administrator, docker administration </t>
  </si>
  <si>
    <t xml:space="preserve">Sarawak </t>
  </si>
  <si>
    <t xml:space="preserve">Programmer </t>
  </si>
  <si>
    <t xml:space="preserve">Selangor Malaysia </t>
  </si>
  <si>
    <t>Bachelor in Engineering</t>
  </si>
  <si>
    <t xml:space="preserve">.NET, jQuery, SQL Server, Oracle, Azure </t>
  </si>
  <si>
    <t>BEng (Electrical)</t>
  </si>
  <si>
    <t>Lead System Engineer/CTO</t>
  </si>
  <si>
    <t xml:space="preserve">instrumentation engineer </t>
  </si>
  <si>
    <t xml:space="preserve">Senior software engineer </t>
  </si>
  <si>
    <t>Master of Multimedia Computing</t>
  </si>
  <si>
    <t>UNVERSITI ISLAM ANTARABANGSA MALAYSIA</t>
  </si>
  <si>
    <t>Electronics Engineering</t>
  </si>
  <si>
    <t>Web Programmer</t>
  </si>
  <si>
    <t>Tech lead</t>
  </si>
  <si>
    <t>Professional paper</t>
  </si>
  <si>
    <t>Frontend developer</t>
  </si>
  <si>
    <t>Principal Engineer</t>
  </si>
  <si>
    <t>UNIKL MIIT</t>
  </si>
  <si>
    <t>Jr Software Developer</t>
  </si>
  <si>
    <t>Foundation in Science</t>
  </si>
  <si>
    <t>Sunway</t>
  </si>
  <si>
    <t>Junior Full-stack Developer</t>
  </si>
  <si>
    <t>Bachelor of IT with Mgmt</t>
  </si>
  <si>
    <t>Aimst university</t>
  </si>
  <si>
    <t>Tech Manager</t>
  </si>
  <si>
    <t xml:space="preserve"> Jira, Bitbucket, Deploybot, </t>
  </si>
  <si>
    <t>Bachelor in Intelligent Systems Engineering</t>
  </si>
  <si>
    <t>MARA UT</t>
  </si>
  <si>
    <t>Web App Developer</t>
  </si>
  <si>
    <t>KD</t>
  </si>
  <si>
    <t xml:space="preserve">AWS Solution Architect Associate </t>
  </si>
  <si>
    <t>Student</t>
  </si>
  <si>
    <t>Cs</t>
  </si>
  <si>
    <t>DE</t>
  </si>
  <si>
    <t>Uow Malaysia kdu</t>
  </si>
  <si>
    <t>UTHM</t>
  </si>
  <si>
    <t>JOHOR BAHRU</t>
  </si>
  <si>
    <t>UNIVERSITI TEKNOLOGI MARA</t>
  </si>
  <si>
    <t>STUDENT</t>
  </si>
  <si>
    <t>It in software system development</t>
  </si>
  <si>
    <t>Tarc</t>
  </si>
  <si>
    <t>Android developer</t>
  </si>
  <si>
    <t>JB</t>
  </si>
  <si>
    <t>Bachelor of Cognitive Sciences</t>
  </si>
  <si>
    <t xml:space="preserve"> Bachelor of Software Engineering</t>
  </si>
  <si>
    <t>Web Application Developer</t>
  </si>
  <si>
    <t>UOW KDU Penang Malaysia</t>
  </si>
  <si>
    <t>Solutions Engineer/Data Analyst</t>
  </si>
  <si>
    <t>Annual, Corporate, Performance</t>
  </si>
  <si>
    <t xml:space="preserve">Bachelor of Information Technology (Honours) in Software Systems Development </t>
  </si>
  <si>
    <t>MYR 3800</t>
  </si>
  <si>
    <t>Oj</t>
  </si>
  <si>
    <t xml:space="preserve">Bschelor of comouter science </t>
  </si>
  <si>
    <t>Backend dev</t>
  </si>
  <si>
    <t>Half month</t>
  </si>
  <si>
    <t>kL</t>
  </si>
  <si>
    <t>Bachelor of Information technology (multimedia)</t>
  </si>
  <si>
    <t>Software Developer (mobile app)</t>
  </si>
  <si>
    <t>Depends</t>
  </si>
  <si>
    <t xml:space="preserve">3/ android dev for first 2, mobile dev (iOS, android , react native) for current </t>
  </si>
  <si>
    <t xml:space="preserve">Bachelor of Analytical Economics </t>
  </si>
  <si>
    <t xml:space="preserve">MMU </t>
  </si>
  <si>
    <t xml:space="preserve">Tableau, power bi, GCP, </t>
  </si>
  <si>
    <t xml:space="preserve">Senior Data Analyst </t>
  </si>
  <si>
    <t xml:space="preserve">Redshift, Holistics </t>
  </si>
  <si>
    <t xml:space="preserve">Damansara </t>
  </si>
  <si>
    <t xml:space="preserve">A fintech company </t>
  </si>
  <si>
    <t>Singaporep</t>
  </si>
  <si>
    <t>Bachelor of computer science hons</t>
  </si>
  <si>
    <t>Usm</t>
  </si>
  <si>
    <t>Analyst</t>
  </si>
  <si>
    <t>UiTM</t>
  </si>
  <si>
    <t>Head of IT / Web Developer</t>
  </si>
  <si>
    <t xml:space="preserve">Shah alam </t>
  </si>
  <si>
    <t xml:space="preserve">Bachelor of Robotics Engineering </t>
  </si>
  <si>
    <t>Full stack developer</t>
  </si>
  <si>
    <t xml:space="preserve">Laptop, Mobile phone </t>
  </si>
  <si>
    <t>Programmer</t>
  </si>
  <si>
    <t xml:space="preserve">Ampang </t>
  </si>
  <si>
    <t xml:space="preserve">Aws associate certifications </t>
  </si>
  <si>
    <t>Electronic</t>
  </si>
  <si>
    <t>UTM JB</t>
  </si>
  <si>
    <t>RO</t>
  </si>
  <si>
    <t>Bachelor of Software Development</t>
  </si>
  <si>
    <t>Universiti Selangor</t>
  </si>
  <si>
    <t>Bachelor of computer network</t>
  </si>
  <si>
    <t>Upm</t>
  </si>
  <si>
    <t>Senior developer</t>
  </si>
  <si>
    <t>Bachelor of Science in Geophysics</t>
  </si>
  <si>
    <t xml:space="preserve">Front end web developer </t>
  </si>
  <si>
    <t>Python Developer</t>
  </si>
  <si>
    <t xml:space="preserve">Software Engineering </t>
  </si>
  <si>
    <t xml:space="preserve">Java Developer </t>
  </si>
  <si>
    <t>Bachelor(Hons) of software engineering</t>
  </si>
  <si>
    <t>Research Engineer</t>
  </si>
  <si>
    <t>Permanent (spouse visa)</t>
  </si>
  <si>
    <t>Bachelor of Nutritional Biochemistry</t>
  </si>
  <si>
    <t>Team Lead</t>
  </si>
  <si>
    <t>Based on company profit</t>
  </si>
  <si>
    <t>Bachelor of Arts</t>
  </si>
  <si>
    <t>Bachelor of information systems</t>
  </si>
  <si>
    <t>Utp</t>
  </si>
  <si>
    <t>Management associate</t>
  </si>
  <si>
    <t>Bachelor Of information Technology in Computer Engineering</t>
  </si>
  <si>
    <t>Product Engineer</t>
  </si>
  <si>
    <t xml:space="preserve">Wangsa maju </t>
  </si>
  <si>
    <t xml:space="preserve">Bachelor in Information Technology </t>
  </si>
  <si>
    <t xml:space="preserve">Universiti Selangor </t>
  </si>
  <si>
    <t xml:space="preserve">IT Assistant Manager </t>
  </si>
  <si>
    <t xml:space="preserve">C#, Angular, React </t>
  </si>
  <si>
    <t>Dev</t>
  </si>
  <si>
    <t xml:space="preserve"> .net</t>
  </si>
  <si>
    <t>Master of Science, Mathematics</t>
  </si>
  <si>
    <t>Washington</t>
  </si>
  <si>
    <t>BCS</t>
  </si>
  <si>
    <t>Taylor University</t>
  </si>
  <si>
    <t>Bachelor in Information System (HONS)</t>
  </si>
  <si>
    <t>MJII</t>
  </si>
  <si>
    <t>jb</t>
  </si>
  <si>
    <t>system engineer</t>
  </si>
  <si>
    <t>bachelor of IT</t>
  </si>
  <si>
    <t>help university</t>
  </si>
  <si>
    <t>software developer</t>
  </si>
  <si>
    <t>Bachelor Of Networking System</t>
  </si>
  <si>
    <t>Unikl MIIT</t>
  </si>
  <si>
    <t>Developer</t>
  </si>
  <si>
    <t>MRSM</t>
  </si>
  <si>
    <t>Bachelor in Electronic Engineering major in computer</t>
  </si>
  <si>
    <t>Electrical Enginering Major Information System</t>
  </si>
  <si>
    <t xml:space="preserve">Basic .Net programming - Minister of Human Resource </t>
  </si>
  <si>
    <t>Senior Specialist Web Application</t>
  </si>
  <si>
    <t>Bachelor of Sciences (bioinformatics)</t>
  </si>
  <si>
    <t xml:space="preserve">Bachelor of Mechanical Engineering </t>
  </si>
  <si>
    <t>Unikl</t>
  </si>
  <si>
    <t xml:space="preserve">Sr. Web developer </t>
  </si>
  <si>
    <t>Data Scien Intern</t>
  </si>
  <si>
    <t>International Islamic University of Malaysia (IIUM)</t>
  </si>
  <si>
    <t xml:space="preserve">Computer Science </t>
  </si>
  <si>
    <t>UMT</t>
  </si>
  <si>
    <t xml:space="preserve">Developer </t>
  </si>
  <si>
    <t>Post grad</t>
  </si>
  <si>
    <t>Post grad of computing</t>
  </si>
  <si>
    <t xml:space="preserve">Australian National University </t>
  </si>
  <si>
    <t xml:space="preserve">IT Specialist </t>
  </si>
  <si>
    <t xml:space="preserve">Terengganu </t>
  </si>
  <si>
    <t xml:space="preserve">Kemaman </t>
  </si>
  <si>
    <t xml:space="preserve">Bachelor of Information Technology </t>
  </si>
  <si>
    <t xml:space="preserve">International Islamic University Malaysia </t>
  </si>
  <si>
    <t xml:space="preserve">SAP Consultant </t>
  </si>
  <si>
    <t xml:space="preserve">Laptop </t>
  </si>
  <si>
    <t>Backend Lead</t>
  </si>
  <si>
    <t>Mobile App Developer</t>
  </si>
  <si>
    <t>shah alam</t>
  </si>
  <si>
    <t>software engineering</t>
  </si>
  <si>
    <t>RM</t>
  </si>
  <si>
    <t>UCTS</t>
  </si>
  <si>
    <t>kajang</t>
  </si>
  <si>
    <t>mechanical engineering</t>
  </si>
  <si>
    <t>university aix marseille</t>
  </si>
  <si>
    <t>A Level</t>
  </si>
  <si>
    <t>Sunway College</t>
  </si>
  <si>
    <t xml:space="preserve">    </t>
  </si>
  <si>
    <t>Selangor / KL</t>
  </si>
  <si>
    <t xml:space="preserve">Java EE, SQL and JSP </t>
  </si>
  <si>
    <t xml:space="preserve">Petaling Jaya, Malaysia </t>
  </si>
  <si>
    <t>INTI Nilai University</t>
  </si>
  <si>
    <t>MPharm (HONS) Pharmacy</t>
  </si>
  <si>
    <t>Senior Mobile Engineer</t>
  </si>
  <si>
    <t>Master in Data Analytics</t>
  </si>
  <si>
    <t>Senior Architect</t>
  </si>
  <si>
    <t xml:space="preserve">Bachelor of Mechatronic Engineering </t>
  </si>
  <si>
    <t xml:space="preserve">Semiconductor </t>
  </si>
  <si>
    <t>Lead developer</t>
  </si>
  <si>
    <t>Myr</t>
  </si>
  <si>
    <t>SELANGOR</t>
  </si>
  <si>
    <t>PETALING JAYA</t>
  </si>
  <si>
    <t>UNIVERSITI SAINS MALAYSIA</t>
  </si>
  <si>
    <t>SOFTWARE DEVELOPER</t>
  </si>
  <si>
    <t>Industrial Intern</t>
  </si>
  <si>
    <t xml:space="preserve">Negeri sembilan </t>
  </si>
  <si>
    <t xml:space="preserve">Port dickson </t>
  </si>
  <si>
    <t xml:space="preserve">Bachelor degree of software engineering </t>
  </si>
  <si>
    <t xml:space="preserve">Junior backend software developer </t>
  </si>
  <si>
    <t>Bachelor of Computer Science Hons. Information System</t>
  </si>
  <si>
    <t>Master of Enginneering  E&amp;E</t>
  </si>
  <si>
    <t>Junior Java Developer</t>
  </si>
  <si>
    <t>Bachelor of Computing and Information System</t>
  </si>
  <si>
    <t>LJMU</t>
  </si>
  <si>
    <t>Jr Software Engineer</t>
  </si>
  <si>
    <t>Bachelor in IT</t>
  </si>
  <si>
    <t>SWE</t>
  </si>
  <si>
    <t>MRY</t>
  </si>
  <si>
    <t>Bachelor of Information Communication and Technology</t>
  </si>
  <si>
    <t>UTP</t>
  </si>
  <si>
    <t>FullStack Engineer + ML Engineer</t>
  </si>
  <si>
    <t>Sea park</t>
  </si>
  <si>
    <t>Bachelor of IT in Software System Development</t>
  </si>
  <si>
    <t>Advanced software developer</t>
  </si>
  <si>
    <t>No idea yet</t>
  </si>
  <si>
    <t>Selangor Darul Ehsan</t>
  </si>
  <si>
    <t>Bachelor of Actuarial Science</t>
  </si>
  <si>
    <t>Asia pacific university of technology and innovation</t>
  </si>
  <si>
    <t>Telok panglima garang</t>
  </si>
  <si>
    <t>B.sc. of Aerospace Engineering</t>
  </si>
  <si>
    <t>Uia</t>
  </si>
  <si>
    <t>KL City</t>
  </si>
  <si>
    <t>​​​​​​​​​​​​​​​​​​​​​​​​​​​​​​​​​​​​BS in Computer Science</t>
  </si>
  <si>
    <t>KUALA LUMPUr</t>
  </si>
  <si>
    <t>Bachelor of Information systems</t>
  </si>
  <si>
    <t xml:space="preserve">Android </t>
  </si>
  <si>
    <t>WP</t>
  </si>
  <si>
    <t>Bachelor in Information Technology (Internet Engineering and Cloud Computing)</t>
  </si>
  <si>
    <t>Software Engineer L1</t>
  </si>
  <si>
    <t>Subang Jaya / Puchong</t>
  </si>
  <si>
    <t>Bachelor of Engineering (Hons) Biomedical Electronics Engineering</t>
  </si>
  <si>
    <t>Universiti Malaysia Perlis (UniMAP)</t>
  </si>
  <si>
    <t>Software Engineer I</t>
  </si>
  <si>
    <t>Bachelor of Multimedia</t>
  </si>
  <si>
    <t>Bc Computer Science</t>
  </si>
  <si>
    <t>Master of Forensic and Investigative Science</t>
  </si>
  <si>
    <t>West Virginia University, USA</t>
  </si>
  <si>
    <t>MYR3000</t>
  </si>
  <si>
    <t xml:space="preserve">IT Developer </t>
  </si>
  <si>
    <t xml:space="preserve">Macbook Pro 16", iPhone 11 </t>
  </si>
  <si>
    <t>PHP Developer</t>
  </si>
  <si>
    <t>is Udemy a bootcamp?</t>
  </si>
  <si>
    <t>Software Engineer(R&amp;D)</t>
  </si>
  <si>
    <t>Taylors University</t>
  </si>
  <si>
    <t>Lead Developer</t>
  </si>
  <si>
    <t>Diploma Digital Technology</t>
  </si>
  <si>
    <t>Politeknik Kuching Sarawak</t>
  </si>
  <si>
    <t>Jr dev</t>
  </si>
  <si>
    <t>Taylor’s University</t>
  </si>
  <si>
    <t>Diploma in Electrical &amp; Communication</t>
  </si>
  <si>
    <t>Tafe College</t>
  </si>
  <si>
    <t>Backend Intern</t>
  </si>
  <si>
    <t>University of Nottingham</t>
  </si>
  <si>
    <t>Bachelor of Degree</t>
  </si>
  <si>
    <t>TARC</t>
  </si>
  <si>
    <t>software engineer</t>
  </si>
  <si>
    <t>Electrical and Electronic Engineering</t>
  </si>
  <si>
    <t>PR</t>
  </si>
  <si>
    <t>BS Bachelor of Science</t>
  </si>
  <si>
    <t>Bachelor of Science (Hons) Software Engineering</t>
  </si>
  <si>
    <t>React Native, Xcode, Android Studio, NodeJS /Express,  Bitrise, Codefresh, Firebase, SegmentIO, Pusher, Embrace, Jira, Git, AWS Secrets</t>
  </si>
  <si>
    <t>Bachelor of Electronic &amp; Computer Engineering</t>
  </si>
  <si>
    <t>Software Development Lead</t>
  </si>
  <si>
    <t>MCSD,MCSA.</t>
  </si>
  <si>
    <t xml:space="preserve">Software Developer </t>
  </si>
  <si>
    <t xml:space="preserve">New South Wales </t>
  </si>
  <si>
    <t xml:space="preserve">Certificate IV in Programming from local Australian college </t>
  </si>
  <si>
    <t>10% of Annual Salary</t>
  </si>
  <si>
    <t xml:space="preserve">React, Next, Gatsby, Bootstrap, Wordpress </t>
  </si>
  <si>
    <t xml:space="preserve">Redsbaby Australia </t>
  </si>
  <si>
    <t>Bachelor of Information System Management</t>
  </si>
  <si>
    <t>UITM</t>
  </si>
  <si>
    <t>Back Software Engineering</t>
  </si>
  <si>
    <t>A. P. U</t>
  </si>
  <si>
    <t>Sr. Software Developer</t>
  </si>
  <si>
    <t>Bachelor of Computer Science (Hons.) Artificial Intelligence</t>
  </si>
  <si>
    <t xml:space="preserve">Johor Bahru </t>
  </si>
  <si>
    <t xml:space="preserve">Bachelor of computer engineering </t>
  </si>
  <si>
    <t>Unimap</t>
  </si>
  <si>
    <t xml:space="preserve">Johor, Malaysia </t>
  </si>
  <si>
    <t xml:space="preserve">Manufacturing </t>
  </si>
  <si>
    <t>Bachelor in engineering (hons) electronics</t>
  </si>
  <si>
    <t>Bachelor of Computer Science and Information Technology</t>
  </si>
  <si>
    <t>Android Engineer</t>
  </si>
  <si>
    <t>Universiti Tunku Abduh Rahman</t>
  </si>
  <si>
    <t xml:space="preserve">Politeknik </t>
  </si>
  <si>
    <t xml:space="preserve">Data Scientists </t>
  </si>
  <si>
    <t>MYR 25000</t>
  </si>
  <si>
    <t xml:space="preserve">Python, spark, </t>
  </si>
  <si>
    <t>IT Data Analysis</t>
  </si>
  <si>
    <t>Bachelor of CS</t>
  </si>
  <si>
    <t xml:space="preserve">python, tensorflow, django, postgresql, vuejs </t>
  </si>
  <si>
    <t>Information technology</t>
  </si>
  <si>
    <t xml:space="preserve">Architect </t>
  </si>
  <si>
    <t xml:space="preserve">JavaScript </t>
  </si>
  <si>
    <t xml:space="preserve">Bachelor Information System </t>
  </si>
  <si>
    <t>WP KL</t>
  </si>
  <si>
    <t>BSc Economics (Hons)</t>
  </si>
  <si>
    <t xml:space="preserve">MSc business analytics Consulting </t>
  </si>
  <si>
    <t xml:space="preserve">Loughborough university </t>
  </si>
  <si>
    <t>Senior data analyst</t>
  </si>
  <si>
    <t>Negeri sembilan</t>
  </si>
  <si>
    <t xml:space="preserve">Multimedia university </t>
  </si>
  <si>
    <t xml:space="preserve">Lead mobile engineer </t>
  </si>
  <si>
    <t>KDU Penang University College</t>
  </si>
  <si>
    <t>kuala lumpur</t>
  </si>
  <si>
    <t>mont kiara</t>
  </si>
  <si>
    <t>bachelor of computer science (hons)</t>
  </si>
  <si>
    <t>jr fullstack developer</t>
  </si>
  <si>
    <t>myr</t>
  </si>
  <si>
    <t xml:space="preserve">Bachelor in Business IT </t>
  </si>
  <si>
    <t>Bachelor of Electrical and Electronic Engineering</t>
  </si>
  <si>
    <t xml:space="preserve">Kuala lumpur </t>
  </si>
  <si>
    <t xml:space="preserve">Bachelor degree </t>
  </si>
  <si>
    <t xml:space="preserve">Bachelor of Software engineering </t>
  </si>
  <si>
    <t xml:space="preserve">Head of Engineering </t>
  </si>
  <si>
    <t xml:space="preserve">Health Insurance, Life Insurance, Dental Claim, Maternity Leave, Paternity Leave, Vacation/Personal Days, Free Snacks, Employee Discount, Learning and Development, Transport/Parking Allowance, Company Laptop, Company Phones, Immigration Assistance, Phone Bill Reimbursement, Annual Flexi Allowance, Broadband/Home Internet Reimbursement, Optical/Eye-wear claims, Housing allowance </t>
  </si>
  <si>
    <t xml:space="preserve">GCP, Java, Ruby </t>
  </si>
  <si>
    <t xml:space="preserve">N. Sembilan </t>
  </si>
  <si>
    <t xml:space="preserve">Lenggeng </t>
  </si>
  <si>
    <t xml:space="preserve">Bachelor of science </t>
  </si>
  <si>
    <t xml:space="preserve">Backend Developer (Laravel) </t>
  </si>
  <si>
    <t xml:space="preserve">Cyberjaya, Selangor, Malaysia </t>
  </si>
  <si>
    <t>Bachelor of Financial Engineering</t>
  </si>
  <si>
    <t xml:space="preserve">Consultant - Business Analyst </t>
  </si>
  <si>
    <t xml:space="preserve">Bachelor of Business Information Technology </t>
  </si>
  <si>
    <t>Web developer</t>
  </si>
  <si>
    <t xml:space="preserve">Laptop, desktop </t>
  </si>
  <si>
    <t>BSc (Hons) in Software Engineering</t>
  </si>
  <si>
    <t>Asia Pacific University of Technology and Innovation</t>
  </si>
  <si>
    <t>Bachelor of Software Engineering (Hons)</t>
  </si>
  <si>
    <t>KDU University</t>
  </si>
  <si>
    <t>Software Quality Assurance Engineer</t>
  </si>
  <si>
    <t>8% Annual</t>
  </si>
  <si>
    <t>BSc in Software Engineering</t>
  </si>
  <si>
    <t xml:space="preserve">Asia Pacific University </t>
  </si>
  <si>
    <t>Front-end Developer</t>
  </si>
  <si>
    <t>Master of Computer Science</t>
  </si>
  <si>
    <t>Degree of Software Engineering</t>
  </si>
  <si>
    <t>4 months of basic salary</t>
  </si>
  <si>
    <t>Master of Economics</t>
  </si>
  <si>
    <t>Bachelor of Computer Science Majoring in Computer System</t>
  </si>
  <si>
    <t xml:space="preserve">Senior Software Engineer </t>
  </si>
  <si>
    <t xml:space="preserve">Software Development Consultants </t>
  </si>
  <si>
    <t>Bachelor of Business</t>
  </si>
  <si>
    <t>PhD</t>
  </si>
  <si>
    <t>PhD in IT</t>
  </si>
  <si>
    <t>Managing Director</t>
  </si>
  <si>
    <t>Master in Accounting &amp; Finance</t>
  </si>
  <si>
    <t>Master</t>
  </si>
  <si>
    <t>HDIT</t>
  </si>
  <si>
    <t>Bachelor of Computer Studies</t>
  </si>
  <si>
    <t>Bangi</t>
  </si>
  <si>
    <t>Univerisiti Teknologi Malaysia</t>
  </si>
  <si>
    <t>Pj</t>
  </si>
  <si>
    <t>Games tech</t>
  </si>
  <si>
    <t>Kdu</t>
  </si>
  <si>
    <t>Senior blockchain developer</t>
  </si>
  <si>
    <t xml:space="preserve">Golang, rust, nodejs, serverless </t>
  </si>
  <si>
    <t>Tunku Abdul Rahman Universiry College</t>
  </si>
  <si>
    <t xml:space="preserve">django, pyhton, laravel, </t>
  </si>
  <si>
    <t>Bachelor of IT (Hons) Network</t>
  </si>
  <si>
    <t>Tech Lead/Head of Engineering</t>
  </si>
  <si>
    <t>Bachelor's Degree in Electrical Engineering (Electronic)</t>
  </si>
  <si>
    <t>UMP</t>
  </si>
  <si>
    <t>Bachelor In Computer Science</t>
  </si>
  <si>
    <t>Sr. Software Engineer</t>
  </si>
  <si>
    <t>RD</t>
  </si>
  <si>
    <t>Seri Kembanga</t>
  </si>
  <si>
    <t>Universiti Malaysia Sarawak</t>
  </si>
  <si>
    <t>MYR 20000</t>
  </si>
  <si>
    <t>Team lead</t>
  </si>
  <si>
    <t>UOW</t>
  </si>
  <si>
    <t>Bachelor of Electrical and Electronics Engineering</t>
  </si>
  <si>
    <t>Software Engineer II</t>
  </si>
  <si>
    <t>MEng (Hons.) Chemical Engineering</t>
  </si>
  <si>
    <t>Front end developer</t>
  </si>
  <si>
    <t>Yet to find out</t>
  </si>
  <si>
    <t>Cyberjay</t>
  </si>
  <si>
    <t>Bachelor of electrical engineering</t>
  </si>
  <si>
    <t>University of new south wales</t>
  </si>
  <si>
    <t>Only udemy</t>
  </si>
  <si>
    <t>Bandar baru bangi</t>
  </si>
  <si>
    <t>Bachelor of Science in Software Engineering and Multimedia</t>
  </si>
  <si>
    <t>Limkokwing University of Creative Technology</t>
  </si>
  <si>
    <t>computer science</t>
  </si>
  <si>
    <t>utm</t>
  </si>
  <si>
    <t>lead developer</t>
  </si>
  <si>
    <t>N9</t>
  </si>
  <si>
    <t>Bachelor of Computet Science</t>
  </si>
  <si>
    <t>INTI NILAI</t>
  </si>
  <si>
    <t>Diploma of Internet Technology</t>
  </si>
  <si>
    <t>Tunku Abdul Rahman College</t>
  </si>
  <si>
    <t>Laravel/Django Developer</t>
  </si>
  <si>
    <t xml:space="preserve">PHP, Laravel, Vuejs </t>
  </si>
  <si>
    <t>Bachelor in English Language and Literature</t>
  </si>
  <si>
    <t>Bachelor of Information Technology Major Security Technology</t>
  </si>
  <si>
    <t>Johor bahru</t>
  </si>
  <si>
    <t>H</t>
  </si>
  <si>
    <t>Bachelor of Materials Engineering</t>
  </si>
  <si>
    <t>1. Website Design- BITM, web development- LICT and many more</t>
  </si>
  <si>
    <t xml:space="preserve">1. Website designer, 2. Web developer </t>
  </si>
  <si>
    <t>University technology Malaysia</t>
  </si>
  <si>
    <t>Jr Front-end Developer</t>
  </si>
  <si>
    <t>Full Stack Engineer</t>
  </si>
  <si>
    <t xml:space="preserve">Kl, Kuala Lumpur </t>
  </si>
  <si>
    <t>Myr sgd usd</t>
  </si>
  <si>
    <t>Bachelor of Computer Science (Honours) in Software Engineering</t>
  </si>
  <si>
    <t>Software Engineer, Backend</t>
  </si>
  <si>
    <t>bachelor of Computer Science</t>
  </si>
  <si>
    <t>taylor</t>
  </si>
  <si>
    <t>developer</t>
  </si>
  <si>
    <t>MSc.Computer Science</t>
  </si>
  <si>
    <t>Universiti Malaysia Sabah</t>
  </si>
  <si>
    <t>BSc in Mathematics</t>
  </si>
  <si>
    <t>Masters of Science(Informatics)</t>
  </si>
  <si>
    <t>Bachelor of Software Engineer (HonS)</t>
  </si>
  <si>
    <t>Field work</t>
  </si>
  <si>
    <t>NS</t>
  </si>
  <si>
    <t>Bachelor of Electronic Engineering</t>
  </si>
  <si>
    <t>UW Madison</t>
  </si>
  <si>
    <t>Fullstack Developer</t>
  </si>
  <si>
    <t>MYR21819</t>
  </si>
  <si>
    <t>Technical Intern</t>
  </si>
  <si>
    <t>INTI College Subang Jaya</t>
  </si>
  <si>
    <t>Media Product Specialist</t>
  </si>
  <si>
    <t>bayan lepas</t>
  </si>
  <si>
    <t>Bachelor of Computer Science in ai</t>
  </si>
  <si>
    <t>utem</t>
  </si>
  <si>
    <t>javascript developer</t>
  </si>
  <si>
    <t>Bachelor of mechanical engineering</t>
  </si>
  <si>
    <t>Uthm</t>
  </si>
  <si>
    <t>Junior .net developer</t>
  </si>
  <si>
    <t xml:space="preserve">New </t>
  </si>
  <si>
    <t>Bachelor of Science and Bachelor of Commerce</t>
  </si>
  <si>
    <t>Statistics</t>
  </si>
  <si>
    <t xml:space="preserve">Data scientist </t>
  </si>
  <si>
    <t xml:space="preserve">Kuala lumpur, malaysia </t>
  </si>
  <si>
    <t xml:space="preserve">Bachelor of information Technology (Hons) Information Systems Engineering </t>
  </si>
  <si>
    <t>Devops/Web Platform Support Engineer</t>
  </si>
  <si>
    <t>Bachelor Degree of Computer Science (Software Engineering)</t>
  </si>
  <si>
    <t>Bachelor of Agricultural &amp; Biosystem Engineering</t>
  </si>
  <si>
    <t>Btech Petroleum Geoscience</t>
  </si>
  <si>
    <t>Junior Dtaa Scientist - CADS</t>
  </si>
  <si>
    <t>Front End Dev</t>
  </si>
  <si>
    <t>Bachelor of Engineering (Hons) Electronics</t>
  </si>
  <si>
    <t>Software Engineer (Mobile)</t>
  </si>
  <si>
    <t>Softwa5 engineer</t>
  </si>
  <si>
    <t>MSc Economics</t>
  </si>
  <si>
    <t>UCL</t>
  </si>
  <si>
    <t>Taylor's Lakeside University</t>
  </si>
  <si>
    <t>Bachelor of computer Eng</t>
  </si>
  <si>
    <t>1-2</t>
  </si>
  <si>
    <t xml:space="preserve">&lt; 1year </t>
  </si>
  <si>
    <t xml:space="preserve">2-3 internships + research/teaching assistant </t>
  </si>
  <si>
    <t>BSc. (Hons) of Computer Science</t>
  </si>
  <si>
    <t>Senior Software Development Engineer</t>
  </si>
  <si>
    <t xml:space="preserve">Bachelor of Engineering Computer Network Engineering </t>
  </si>
  <si>
    <t>Universiti Malaysia Perlis</t>
  </si>
  <si>
    <t xml:space="preserve">AI Engineer </t>
  </si>
  <si>
    <t xml:space="preserve">8 Months </t>
  </si>
  <si>
    <t>Seniour software engineer</t>
  </si>
  <si>
    <t>Bachelor of Computer Science (Hons) (Intelligent System)</t>
  </si>
  <si>
    <t>Bachelor of Information System Engineering</t>
  </si>
  <si>
    <t>Wilayah Kuala Lumpur</t>
  </si>
  <si>
    <t>Universiti Teknikal Malaysia Melaka</t>
  </si>
  <si>
    <t>International Islamic University of Malaysia</t>
  </si>
  <si>
    <t>Dev Specialist</t>
  </si>
  <si>
    <t>Doctor of Philosophy in Electrical Engineering</t>
  </si>
  <si>
    <t>INTI International College Subang</t>
  </si>
  <si>
    <t>Mobile Application Developer</t>
  </si>
  <si>
    <t>Bachelor Hons Chemical Engineering</t>
  </si>
  <si>
    <t>Sg Buloh</t>
  </si>
  <si>
    <t>Bachelor (Hons) in Computer Science</t>
  </si>
  <si>
    <t>System Engineer</t>
  </si>
  <si>
    <t>1 month salary</t>
  </si>
  <si>
    <t>Bachelor of Computer Science(Artificial Intelligence)</t>
  </si>
  <si>
    <t>Universiti Teknikal Malaysia Melaka(UTeM)</t>
  </si>
  <si>
    <t>Golang Developer</t>
  </si>
  <si>
    <t xml:space="preserve">.NET, Kubernetes, Azure Cloud, Azure Devops, PHP Zend Framework 1, </t>
  </si>
  <si>
    <t>Universiti Tun Hussein Onn Malaysia</t>
  </si>
  <si>
    <t>TAR college</t>
  </si>
  <si>
    <t>tech evangelist</t>
  </si>
  <si>
    <t>Bachelor of Computer Security</t>
  </si>
  <si>
    <t>Php Developer</t>
  </si>
  <si>
    <t>INTI University</t>
  </si>
  <si>
    <t>Senior Analyst Programmer</t>
  </si>
  <si>
    <t>segi college</t>
  </si>
  <si>
    <t>web developer</t>
  </si>
  <si>
    <t>Diploma Kejuruteraan Elektronik</t>
  </si>
  <si>
    <t>Mjii</t>
  </si>
  <si>
    <t xml:space="preserve">Bachelor of science majoring in bioinformatics </t>
  </si>
  <si>
    <t>Mobile develoer</t>
  </si>
  <si>
    <t xml:space="preserve">Mobile development </t>
  </si>
  <si>
    <t>Bachelor of Computing</t>
  </si>
  <si>
    <t>UCSI</t>
  </si>
  <si>
    <t xml:space="preserve">Mostly Microsoft </t>
  </si>
  <si>
    <t>Mid Developer</t>
  </si>
  <si>
    <t>University of Nottingham Malaysia</t>
  </si>
  <si>
    <t>Full stack developer &amp; Project manager</t>
  </si>
  <si>
    <t>Bachelor of Engineering (Electronics – Computer and Information)</t>
  </si>
  <si>
    <t>Bachelor in Forensics &amp; Networking (honestly dont rmb the name of it lmao)</t>
  </si>
  <si>
    <t>Bachelor of Technology</t>
  </si>
  <si>
    <t>KIIT</t>
  </si>
  <si>
    <t>Wilayah Persekutuan Kuala Lumpur</t>
  </si>
  <si>
    <t>Bachelor of IT in Software Engineering</t>
  </si>
  <si>
    <t>Univeristi Kuala Lumpur</t>
  </si>
  <si>
    <t xml:space="preserve">Laravel, Angular </t>
  </si>
  <si>
    <t>MMU Cyberjaya</t>
  </si>
  <si>
    <t xml:space="preserve">MEAN, ASP .Net, PHP Laravel, AngularJs, Javascript, MySql, SQL Server </t>
  </si>
  <si>
    <t>Bachelor Of Information Technology</t>
  </si>
  <si>
    <t>Universiti Teknologi MARA</t>
  </si>
  <si>
    <t>Junior Web Developer</t>
  </si>
  <si>
    <t>BSc</t>
  </si>
  <si>
    <t>APIIT</t>
  </si>
  <si>
    <t xml:space="preserve">Senior Software Developer </t>
  </si>
  <si>
    <t>IT Manager</t>
  </si>
  <si>
    <t>Bachelor of Information Technology (Hons) Computer Engineering</t>
  </si>
  <si>
    <t>SMK Pantai</t>
  </si>
  <si>
    <t>Back End Developer</t>
  </si>
  <si>
    <t>Bachelor of Science in Computer Science</t>
  </si>
  <si>
    <t>Bachelor of Computer Science Software Engineering</t>
  </si>
  <si>
    <t>UEC</t>
  </si>
  <si>
    <t>Bachelor of CompE</t>
  </si>
  <si>
    <t>UofM</t>
  </si>
  <si>
    <t>Degree in information management</t>
  </si>
  <si>
    <t>MYR 6600</t>
  </si>
  <si>
    <t>Bachelor of Software System Develop</t>
  </si>
  <si>
    <t>SHAH ALAM</t>
  </si>
  <si>
    <t>BIOINFORMATIC</t>
  </si>
  <si>
    <t>SOLUTION ENGINEER</t>
  </si>
  <si>
    <t xml:space="preserve">John Moore </t>
  </si>
  <si>
    <t>American Degree Transfer Program (Computer Science)</t>
  </si>
  <si>
    <t>Professional Services Intern</t>
  </si>
  <si>
    <t>Bachelor degree of software engineering</t>
  </si>
  <si>
    <t>Lead Ruby on Rails developer</t>
  </si>
  <si>
    <t>BSc Software Engineering</t>
  </si>
  <si>
    <t>kepong</t>
  </si>
  <si>
    <t>Bachelor of Software system developments</t>
  </si>
  <si>
    <t>taruc</t>
  </si>
  <si>
    <t xml:space="preserve">Multimedia University </t>
  </si>
  <si>
    <t xml:space="preserve">.Net </t>
  </si>
  <si>
    <t>Bachelor in IT(Networking Tech)</t>
  </si>
  <si>
    <t>Kolej Universiti Islam Antarabangsa Selangor</t>
  </si>
  <si>
    <t>B.Sc. (Hons.) Business Information Systems</t>
  </si>
  <si>
    <t>Senior Associate 2</t>
  </si>
  <si>
    <t>Information system engineering</t>
  </si>
  <si>
    <t xml:space="preserve">Senior MIS </t>
  </si>
  <si>
    <t>Bachelor of Science (honours) software engineering</t>
  </si>
  <si>
    <t>Diploma of Information Technology</t>
  </si>
  <si>
    <t xml:space="preserve">Sabah </t>
  </si>
  <si>
    <t xml:space="preserve">Kota Kinabalu </t>
  </si>
  <si>
    <t xml:space="preserve">No degree, I’m a dropout </t>
  </si>
  <si>
    <t xml:space="preserve">No uni </t>
  </si>
  <si>
    <t xml:space="preserve">Senior Frontend Developer </t>
  </si>
  <si>
    <t xml:space="preserve">Vue.js, Elixir Phoenix </t>
  </si>
  <si>
    <t xml:space="preserve">Malaysia </t>
  </si>
  <si>
    <t>Bachelor of Science (Information Technology)</t>
  </si>
  <si>
    <t>Universiti Utara Malaysia</t>
  </si>
  <si>
    <t>Bachelor of Electrical/Electronics</t>
  </si>
  <si>
    <t>Software Technical Lead</t>
  </si>
  <si>
    <t>Universiti Kuala Lumpur</t>
  </si>
  <si>
    <t>Bachelor's in Electronics Engineering majoring in Computer</t>
  </si>
  <si>
    <t>Sr DevOps engineer</t>
  </si>
  <si>
    <t>master of data science</t>
  </si>
  <si>
    <t>Junior IT Consultant (Government)</t>
  </si>
  <si>
    <t>Bachelor of Mechanical Engineering (Hons)</t>
  </si>
  <si>
    <t>Engineer</t>
  </si>
  <si>
    <t>Salangor</t>
  </si>
  <si>
    <t>Bachelor of Conputer Science</t>
  </si>
  <si>
    <t xml:space="preserve">Taylor's University </t>
  </si>
  <si>
    <t>Multimedia university</t>
  </si>
  <si>
    <t>Senior game developer</t>
  </si>
  <si>
    <t xml:space="preserve">Bachelor's of petroleum engineering </t>
  </si>
  <si>
    <t>Penn state, USA</t>
  </si>
  <si>
    <t xml:space="preserve">Data Engineer </t>
  </si>
  <si>
    <t xml:space="preserve">Myr </t>
  </si>
  <si>
    <t xml:space="preserve">AWS Redshift, python </t>
  </si>
  <si>
    <t xml:space="preserve">SELANGOR, MALAYSIA </t>
  </si>
  <si>
    <t>Masters in Mechanical Engineering</t>
  </si>
  <si>
    <t>UOWM KDU University</t>
  </si>
  <si>
    <t>Bachelor of Science (HONS) Software Engineering</t>
  </si>
  <si>
    <t>Comp Engr</t>
  </si>
  <si>
    <t>Bachelor in Information Technology(Communications and Networking)</t>
  </si>
  <si>
    <t>W.P. Kuala Lumpur</t>
  </si>
  <si>
    <t>Kuala Lumpur City</t>
  </si>
  <si>
    <t>Electrical and Computer Engineering</t>
  </si>
  <si>
    <t>K.L</t>
  </si>
  <si>
    <t>University Turku Abdul Rahman</t>
  </si>
  <si>
    <t xml:space="preserve">System Analyst </t>
  </si>
  <si>
    <t>Around MYR 25000</t>
  </si>
  <si>
    <t xml:space="preserve">Java, android </t>
  </si>
  <si>
    <t xml:space="preserve">BachelorS of computer game development </t>
  </si>
  <si>
    <t>apiit</t>
  </si>
  <si>
    <t xml:space="preserve">Javascript, html, css, react, react native </t>
  </si>
  <si>
    <t>Bachelor of Arts in Human Resource</t>
  </si>
  <si>
    <t xml:space="preserve">SMK Taman Melawati </t>
  </si>
  <si>
    <t>UX DESIGNER / Frontend Dev</t>
  </si>
  <si>
    <t xml:space="preserve">HTML, CSS, JS, PHP, </t>
  </si>
  <si>
    <t>Fullstack Web Developer</t>
  </si>
  <si>
    <t>Bachelor(Hons) of multimedia computing</t>
  </si>
  <si>
    <t>Liverpool John Moores University</t>
  </si>
  <si>
    <t>Software engineer intern</t>
  </si>
  <si>
    <t>Bachelor of Science (Geoinformatics)</t>
  </si>
  <si>
    <t>Senior Associate - Robotics Cognitive Automation</t>
  </si>
  <si>
    <t>Bachelor of Science (Hons) Medical Biotechnology</t>
  </si>
  <si>
    <t>International Medical University</t>
  </si>
  <si>
    <t>melaka</t>
  </si>
  <si>
    <t>Bechelor of Science Software Engineering</t>
  </si>
  <si>
    <t>utar</t>
  </si>
  <si>
    <t>associate developer</t>
  </si>
  <si>
    <t>Petaling jaya</t>
  </si>
  <si>
    <t>Bachelor of telecommunication engineering</t>
  </si>
  <si>
    <t>University malaya</t>
  </si>
  <si>
    <t>KLANG</t>
  </si>
  <si>
    <t>BACHELOR OF COMPUTER SCIENCE (SOFTWARE ENGINEERING)</t>
  </si>
  <si>
    <t xml:space="preserve">FAVE </t>
  </si>
  <si>
    <t>MYT</t>
  </si>
  <si>
    <t xml:space="preserve">BACHELOR OF IT (SOFTWARE ENGINEERING) </t>
  </si>
  <si>
    <t>Web Designer cum Web Admin cum System Analyst &amp; Tester</t>
  </si>
  <si>
    <t>Front End Web Developer</t>
  </si>
  <si>
    <t>Bachelor of Engineering in Software Engineering</t>
  </si>
  <si>
    <t xml:space="preserve">Xiamen University </t>
  </si>
  <si>
    <t>IT Programmer</t>
  </si>
  <si>
    <t>Full-Stack Web Developer</t>
  </si>
  <si>
    <t>IT Engineer</t>
  </si>
  <si>
    <t>Bachelor in Computer And Networking</t>
  </si>
  <si>
    <t>Fullstack Web Application Developer</t>
  </si>
  <si>
    <t>Info Sec</t>
  </si>
  <si>
    <t>OUM</t>
  </si>
  <si>
    <t>.NET developer</t>
  </si>
  <si>
    <t>Master of Engineering</t>
  </si>
  <si>
    <t xml:space="preserve">Bachelor of internet technology </t>
  </si>
  <si>
    <t xml:space="preserve">TARUC </t>
  </si>
  <si>
    <t>Bachelor of computer science in data science</t>
  </si>
  <si>
    <t>IT Developer</t>
  </si>
  <si>
    <t>Web Designer</t>
  </si>
  <si>
    <t>Bachelor of Science in Computer Engineering</t>
  </si>
  <si>
    <t>Bacherlor of Computer Science</t>
  </si>
  <si>
    <t>Bachelor Information and communication</t>
  </si>
  <si>
    <t>Uni tech petronas</t>
  </si>
  <si>
    <t>no</t>
  </si>
  <si>
    <t>ampang</t>
  </si>
  <si>
    <t>mmu</t>
  </si>
  <si>
    <t>ceh</t>
  </si>
  <si>
    <t>cloud engineer</t>
  </si>
  <si>
    <t>COLLEGE TAR</t>
  </si>
  <si>
    <t>RM10000</t>
  </si>
  <si>
    <t xml:space="preserve">C, jenkins, </t>
  </si>
  <si>
    <t>MBA</t>
  </si>
  <si>
    <t>Bachelor of computer science (security &amp; forensics)</t>
  </si>
  <si>
    <t>Taylors university</t>
  </si>
  <si>
    <t>iOS engineer</t>
  </si>
  <si>
    <t>MEng Mechanical Engineering</t>
  </si>
  <si>
    <t>Bachelor of sw engineering</t>
  </si>
  <si>
    <t>QUT</t>
  </si>
  <si>
    <t>Bachelor of Computer Science (Internet Technology)</t>
  </si>
  <si>
    <t>Bachelor of biological science</t>
  </si>
  <si>
    <t>PhD in Engineering</t>
  </si>
  <si>
    <t>Staff software engineer</t>
  </si>
  <si>
    <t xml:space="preserve">University Technology Petronas </t>
  </si>
  <si>
    <t>Master of IT</t>
  </si>
  <si>
    <t>Graduate software developer</t>
  </si>
  <si>
    <t>SMIH</t>
  </si>
  <si>
    <t>Bachelor of Business Admin</t>
  </si>
  <si>
    <t>3 months salary</t>
  </si>
  <si>
    <t>Bachelor of electrical and computer systems engineering</t>
  </si>
  <si>
    <t>BC</t>
  </si>
  <si>
    <t>Masters of Science in Electrical Engineering</t>
  </si>
  <si>
    <t>University of alberta</t>
  </si>
  <si>
    <t>CAD12000</t>
  </si>
  <si>
    <t>Master of Mathematics</t>
  </si>
  <si>
    <t xml:space="preserve">Keningau </t>
  </si>
  <si>
    <t xml:space="preserve">Bachelor of electronic engineering </t>
  </si>
  <si>
    <t xml:space="preserve">University Malaysia Sabah (UMS) </t>
  </si>
  <si>
    <t xml:space="preserve">Web App Developer </t>
  </si>
  <si>
    <t xml:space="preserve">Don't get it what topic of the question </t>
  </si>
  <si>
    <t xml:space="preserve">Kota Kinabalu, Sabah Malaysia </t>
  </si>
  <si>
    <t>John Bahru</t>
  </si>
  <si>
    <t>University Science Malaysia</t>
  </si>
  <si>
    <t>RND Manager</t>
  </si>
  <si>
    <t xml:space="preserve">Advance Diploma of Information System Engineering </t>
  </si>
  <si>
    <t>Senior Mobile Application Developer</t>
  </si>
  <si>
    <t>Bachelor of Science (Physics)</t>
  </si>
  <si>
    <t>Bachelor of Quranic Studies with Multimedia</t>
  </si>
  <si>
    <t>USIM</t>
  </si>
  <si>
    <t>Bachelors in Electrical and Electronic Engineering</t>
  </si>
  <si>
    <t>pursuing phd</t>
  </si>
  <si>
    <t>AEU</t>
  </si>
  <si>
    <t>FREELANCE DEVELOPER</t>
  </si>
  <si>
    <t>Bachelor of Commerce</t>
  </si>
  <si>
    <t xml:space="preserve">Computer </t>
  </si>
  <si>
    <t xml:space="preserve">Kdu </t>
  </si>
  <si>
    <t xml:space="preserve">Ocm </t>
  </si>
  <si>
    <t xml:space="preserve">Java </t>
  </si>
  <si>
    <t>Master of science</t>
  </si>
  <si>
    <t>Swinburne university of technology</t>
  </si>
  <si>
    <t>At IT infrastructure architect</t>
  </si>
  <si>
    <t>Diploma in Information Communications Technology with Specialism in Data Informatics</t>
  </si>
  <si>
    <t>Asia Pacific University of Innovation and Technology</t>
  </si>
  <si>
    <t>Software Engineering Intern</t>
  </si>
  <si>
    <t xml:space="preserve">Bachelor degree of computer science </t>
  </si>
  <si>
    <t xml:space="preserve">Melaka </t>
  </si>
  <si>
    <t xml:space="preserve">Bachelor of information technology in artificial intelligence </t>
  </si>
  <si>
    <t xml:space="preserve">Nodejs,react </t>
  </si>
  <si>
    <t>Technical Consultnat</t>
  </si>
  <si>
    <t xml:space="preserve"> Bachelor of Software Engineer (Hons)</t>
  </si>
  <si>
    <t>Bachelor of Information Technology (Software Major)</t>
  </si>
  <si>
    <t>Asia e University</t>
  </si>
  <si>
    <t xml:space="preserve">Bachelor of multimedia </t>
  </si>
  <si>
    <t>um</t>
  </si>
  <si>
    <t>mobile developer</t>
  </si>
  <si>
    <t xml:space="preserve">kl, malaysia </t>
  </si>
  <si>
    <t>myt</t>
  </si>
  <si>
    <t>Postgraduate Degree</t>
  </si>
  <si>
    <t>Certificate of Legal Practice</t>
  </si>
  <si>
    <t>JS developer</t>
  </si>
  <si>
    <t>Master of Business Information Systems</t>
  </si>
  <si>
    <t>B.Eng E&amp;E</t>
  </si>
  <si>
    <t>Embedded software engineer</t>
  </si>
  <si>
    <t>Bachelor of Biomedical Engineering</t>
  </si>
  <si>
    <t>senior developer</t>
  </si>
  <si>
    <t>Bachelor of Information System (Hons) Information System Engineering</t>
  </si>
  <si>
    <t>Bsc comp engineering</t>
  </si>
  <si>
    <t>R&amp;D Lead</t>
  </si>
  <si>
    <t xml:space="preserve">Putrajaya </t>
  </si>
  <si>
    <t>PhD in Computational Science and Engineering</t>
  </si>
  <si>
    <t>MIT</t>
  </si>
  <si>
    <t>Alot</t>
  </si>
  <si>
    <t>2 year salary</t>
  </si>
  <si>
    <t>Bachelor of Information Technology in Software Systems Development</t>
  </si>
  <si>
    <t>Tunku Abdul Rahman University Colllege</t>
  </si>
  <si>
    <t xml:space="preserve">Information Technology </t>
  </si>
  <si>
    <t>Bachelor of chemical engineering</t>
  </si>
  <si>
    <t>Tech ladies</t>
  </si>
  <si>
    <t>Data scientist</t>
  </si>
  <si>
    <t>3 months</t>
  </si>
  <si>
    <t>Bachelor of Information Technology (Honours) in Software Systems Development</t>
  </si>
  <si>
    <t>HR Business Solution Analyst</t>
  </si>
  <si>
    <t>5400 MYR</t>
  </si>
  <si>
    <t xml:space="preserve">Bachelor of information technology </t>
  </si>
  <si>
    <t>Inti international University</t>
  </si>
  <si>
    <t>Iot business analyst</t>
  </si>
  <si>
    <t>WP Kuala Lumpur</t>
  </si>
  <si>
    <t>Bachelor of IT (Software Systems Development)</t>
  </si>
  <si>
    <t>Master of Electrical Electronic Engineering</t>
  </si>
  <si>
    <t>Peatling Jaya</t>
  </si>
  <si>
    <t>Master of Applied Statistics</t>
  </si>
  <si>
    <t>3.5 months</t>
  </si>
  <si>
    <t>Bachelor of Pharmaceutical Science</t>
  </si>
  <si>
    <t>Backend Java Developer</t>
  </si>
  <si>
    <t>UniMAP</t>
  </si>
  <si>
    <t>Bachelor of Enterprise Information System</t>
  </si>
  <si>
    <t>Wangsa</t>
  </si>
  <si>
    <t xml:space="preserve">Business administration </t>
  </si>
  <si>
    <t>Full Stack Web dev</t>
  </si>
  <si>
    <t>Bachelor in electronic engineering</t>
  </si>
  <si>
    <t>Bachelor of Computer Science in Artificial Intelligence</t>
  </si>
  <si>
    <t>Bachelor of Business and Public Administration</t>
  </si>
  <si>
    <t>Full stack Software Developer</t>
  </si>
  <si>
    <t>Bachelor of Engineering (Mechatronics)</t>
  </si>
  <si>
    <t xml:space="preserve">QA Engineer </t>
  </si>
  <si>
    <t xml:space="preserve">3.5 years </t>
  </si>
  <si>
    <t>wp</t>
  </si>
  <si>
    <t>bachelor degree</t>
  </si>
  <si>
    <t>MYr</t>
  </si>
  <si>
    <t>Liverpool John Moores Uni</t>
  </si>
  <si>
    <t>B. Sc. Computer Engineering</t>
  </si>
  <si>
    <t>Citizen</t>
  </si>
  <si>
    <t>USA High School Diploma</t>
  </si>
  <si>
    <t>Bachelor of Electrical Engineering</t>
  </si>
  <si>
    <t>Is executive</t>
  </si>
  <si>
    <t>engineering lead</t>
  </si>
  <si>
    <t>B Comp Sc</t>
  </si>
  <si>
    <t>Computer Science and Networking</t>
  </si>
  <si>
    <t>Bachelor of Applied Mathematics</t>
  </si>
  <si>
    <t>Bachelor of Business Information System</t>
  </si>
  <si>
    <t>UOW Malaysia KDU University College</t>
  </si>
  <si>
    <t>MYR 7000</t>
  </si>
  <si>
    <t>Platform Engineer</t>
  </si>
  <si>
    <t>7500myr</t>
  </si>
  <si>
    <t>Sg</t>
  </si>
  <si>
    <t>A.Manager</t>
  </si>
  <si>
    <t xml:space="preserve">Singapore </t>
  </si>
  <si>
    <t>SerinKembangan</t>
  </si>
  <si>
    <t>Univsrsity Putra Malaysia</t>
  </si>
  <si>
    <t>UIA</t>
  </si>
  <si>
    <t>RMIT</t>
  </si>
  <si>
    <t>Senior php developer</t>
  </si>
  <si>
    <t>Health Insurance, Life Insurance, Maternity Leave, Paternity Leave, Remote Work, Gym/Wellness Reimbursement, Learning and Development, Company Laptop</t>
  </si>
  <si>
    <t>Health Insurance, Maternity Leave, Paternity Leave, Vacation/Personal Days, Remote Work, Transport/Parking Allowance, Company Laptop</t>
  </si>
  <si>
    <t>Bachelor of Software Engineering and Games Deisgn</t>
  </si>
  <si>
    <t>Multimedia University Cyberjaya</t>
  </si>
  <si>
    <t xml:space="preserve">AWS Cloud Associate </t>
  </si>
  <si>
    <t>Health Insurance, Vacation/Personal Days, Remote Work, Employee Discount, Company Laptop</t>
  </si>
  <si>
    <t>Python, Javascript</t>
  </si>
  <si>
    <t xml:space="preserve">Washington </t>
  </si>
  <si>
    <t xml:space="preserve">Seattle </t>
  </si>
  <si>
    <t xml:space="preserve">University of Wisconsin Madison </t>
  </si>
  <si>
    <t>SDE 2</t>
  </si>
  <si>
    <t xml:space="preserve">USD </t>
  </si>
  <si>
    <t>Health Insurance, Life Insurance, Dental Claim, Employee Assistance Program, Maternity Leave, Paternity Leave, Vacation/Personal Days, Remote Work, Learning and Development, Transport/Parking Allowance, Company Laptop, Relocation Bonus, Optical/Eye-wear claims</t>
  </si>
  <si>
    <t>Washington, USA</t>
  </si>
  <si>
    <t>Bachelor computer science</t>
  </si>
  <si>
    <t>Ccna, Coursera Google data analytics</t>
  </si>
  <si>
    <t>Analyst programmer</t>
  </si>
  <si>
    <t>Life Insurance, Dental Claim, Maternity Leave, Sick Time (Unlimited), Free Drinks, Employee Discount, Company Laptop, Company Phones, Optical/Eye-wear claims</t>
  </si>
  <si>
    <t>Qlikview, business intelligence, sap</t>
  </si>
  <si>
    <t>Nippon Paint</t>
  </si>
  <si>
    <t>Bachelor of Computer Science (security)</t>
  </si>
  <si>
    <t>Certified Ethical hacking , aws , python , 3 servicenow training</t>
  </si>
  <si>
    <t>Ceh</t>
  </si>
  <si>
    <t>Software Engineer 1 (junior)</t>
  </si>
  <si>
    <t>2 month salary</t>
  </si>
  <si>
    <t>Health Insurance, Life Insurance, Dental Claim, Employee Assistance Program, Maternity Leave, Paternity Leave, Free Snacks, Free Drinks, Remote Work, Gym/Wellness Reimbursement, Employee Discount, Learning and Development, Transport/Parking Allowance, Company Laptop, Company Phones, Relocation Bonus, Annual Flexi Allowance, Broadband/Home Internet Reimbursement, Optical/Eye-wear claims</t>
  </si>
  <si>
    <t>serviceNow</t>
  </si>
  <si>
    <t>Cyberjaya , Malaysia</t>
  </si>
  <si>
    <t>Technology company</t>
  </si>
  <si>
    <t>Dell Technologies</t>
  </si>
  <si>
    <t>Less than 2</t>
  </si>
  <si>
    <t>Project Tech Lead</t>
  </si>
  <si>
    <t>Health Insurance, Vacation/Personal Days, Sick Time (Unlimited), Remote Work, Learning and Development, Company Laptop</t>
  </si>
  <si>
    <t>ReactJS, HTML, CSS, JavaScript, Java, bash, groovy</t>
  </si>
  <si>
    <t>Strands Labs Sdn Bhd</t>
  </si>
  <si>
    <t>Bayan Baru</t>
  </si>
  <si>
    <t>React, laravel, heidisql, nextjs</t>
  </si>
  <si>
    <t>Bayan Baru, Penang</t>
  </si>
  <si>
    <t>Diploma in Information Technology (Programming)</t>
  </si>
  <si>
    <t>Ungku Omar Premier Polytechnic</t>
  </si>
  <si>
    <t>JS, PHP, MySQL</t>
  </si>
  <si>
    <t>Selangor, Subang Jaya</t>
  </si>
  <si>
    <t xml:space="preserve">Universiti Tunku Abdul Rahman (Utar) </t>
  </si>
  <si>
    <t>Alibaba Cloud Professional Cloud Computing, Alibaba Cloud Associate Developer</t>
  </si>
  <si>
    <t>Fullstack Data, Software Engineer</t>
  </si>
  <si>
    <t>RM 6500</t>
  </si>
  <si>
    <t>Dental Claim, Employee Assistance Program, Maternity Leave, Paternity Leave, Free Breakfast, Free Snacks, Free Drinks, Remote Work, Gym/Wellness Reimbursement, Employee Discount, Learning and Development, Company Laptop, Immigration Assistance, Relocation Bonus</t>
  </si>
  <si>
    <t>ReactJs, golang, docker, kubernetes, gcp, big query, spark</t>
  </si>
  <si>
    <t xml:space="preserve">Kuala Lumpur, malaysia </t>
  </si>
  <si>
    <t>Airline, transport, ecommerce</t>
  </si>
  <si>
    <t xml:space="preserve">Capital A (formerly known as AirAsia) </t>
  </si>
  <si>
    <t>Bachelor of Management Information System</t>
  </si>
  <si>
    <t>National DongHwa University</t>
  </si>
  <si>
    <t>Python, Flask, Nodejs</t>
  </si>
  <si>
    <t>my</t>
  </si>
  <si>
    <t>electrical and electronics (communications)</t>
  </si>
  <si>
    <t>uniten</t>
  </si>
  <si>
    <t>software engineer + system engineer</t>
  </si>
  <si>
    <t>docker, java, springboot, microservices</t>
  </si>
  <si>
    <t>wp kl, malaysia</t>
  </si>
  <si>
    <t>Health Insurance, Free Snacks, Remote Work, Gym/Wellness Reimbursement</t>
  </si>
  <si>
    <t>Java Spingboot, Angular, Jenkins, Oracle Weblogic</t>
  </si>
  <si>
    <t>KL, Malay6</t>
  </si>
  <si>
    <t>iFAST</t>
  </si>
  <si>
    <t>Implementation Consultant</t>
  </si>
  <si>
    <t>Health Insurance, Dental Claim, Vacation/Personal Days, Transport/Parking Allowance, Company Laptop, Optical/Eye-wear claims</t>
  </si>
  <si>
    <t>Java, Jira, PL/SQL</t>
  </si>
  <si>
    <t>.Net developer</t>
  </si>
  <si>
    <t>Life Insurance, Dental Claim, Maternity Leave, Paternity Leave, Remote Work, Company Laptop</t>
  </si>
  <si>
    <t>Js, .net, css, git</t>
  </si>
  <si>
    <t>Bachelor Degree of Engineering</t>
  </si>
  <si>
    <t>Nanyang Technological University</t>
  </si>
  <si>
    <t>Back-End Software Engieer</t>
  </si>
  <si>
    <t>Health Insurance, Life Insurance, Dental Claim, Maternity Leave, Vacation/Personal Days, Sick Time (Unlimited), Free Lunch, Free Snacks, Free Drinks, Remote Work, Company Laptop</t>
  </si>
  <si>
    <t>Flask, Spring Boot, Azure, AWS</t>
  </si>
  <si>
    <t xml:space="preserve">Diploma in Applied software engineering </t>
  </si>
  <si>
    <t>Forward School</t>
  </si>
  <si>
    <t xml:space="preserve">Flutter Junior Executive </t>
  </si>
  <si>
    <t>Company Laptop, Company Phones</t>
  </si>
  <si>
    <t>HCIA-R&amp;S</t>
  </si>
  <si>
    <t>Free Snacks, Free Drinks, Company Laptop</t>
  </si>
  <si>
    <t>Codeignitor, Javascript, Webix UI</t>
  </si>
  <si>
    <t>Naim</t>
  </si>
  <si>
    <t>segambut</t>
  </si>
  <si>
    <t>Datacamp</t>
  </si>
  <si>
    <t>Associate software developer</t>
  </si>
  <si>
    <t>Health Insurance, Dental Claim, Maternity Leave, Paternity Leave, Vacation/Personal Days, Sick Time (Unlimited), Employee Discount, Student Loan Repayment Plan, Company Laptop, Phone Bill Reimbursement, Broadband/Home Internet Reimbursement</t>
  </si>
  <si>
    <t>java, jenkins, alicloud, angular, mysql, oracle db</t>
  </si>
  <si>
    <t>bangsar</t>
  </si>
  <si>
    <t xml:space="preserve">KL </t>
  </si>
  <si>
    <t xml:space="preserve">UTAR </t>
  </si>
  <si>
    <t xml:space="preserve">Senior specialist </t>
  </si>
  <si>
    <t>Health Insurance, Life Insurance, Dental Claim, Maternity Leave, Paternity Leave, Company Laptop, Phone Bill Reimbursement, Broadband/Home Internet Reimbursement, Optical/Eye-wear claims</t>
  </si>
  <si>
    <t xml:space="preserve">Sofaboot </t>
  </si>
  <si>
    <t>Bachelor of Electronics Engineering Major in Telecommunications</t>
  </si>
  <si>
    <t>Dental Claim, Free Snacks, Free Drinks, Remote Work, Learning and Development, Transport/Parking Allowance, Company Laptop, Optical/Eye-wear claims</t>
  </si>
  <si>
    <t>Android, kotlin</t>
  </si>
  <si>
    <t>Health Insurance, Life Insurance, Dental Claim, Paternity Leave, Vacation/Personal Days, Remote Work, Gym/Wellness Reimbursement, Company Laptop, Company Phones, Phone Bill Reimbursement, Broadband/Home Internet Reimbursement, Optical/Eye-wear claims, Pregnancy labour coverage for 3 kids</t>
  </si>
  <si>
    <t>ASP.NET,Angular,Azure</t>
  </si>
  <si>
    <t>Coursera - data science</t>
  </si>
  <si>
    <t>Software architect</t>
  </si>
  <si>
    <t>Health Insurance, Life Insurance, Dental Claim, Paternity Leave, Remote Work, Gym/Wellness Reimbursement</t>
  </si>
  <si>
    <t>Kubernetes , openshift, micro service</t>
  </si>
  <si>
    <t xml:space="preserve">University science Malaysia </t>
  </si>
  <si>
    <t>Scrum master</t>
  </si>
  <si>
    <t>Senior technical consultant</t>
  </si>
  <si>
    <t>Health Insurance, Maternity Leave, Paternity Leave, Vacation/Personal Days, Free Breakfast, Free Lunch, Free Dinner, Remote Work, Gym/Wellness Reimbursement, Learning and Development, Transport/Parking Allowance, Company Laptop, Phone Bill Reimbursement, Annual Flexi Allowance, Broadband/Home Internet Reimbursement</t>
  </si>
  <si>
    <t>Angular,. Net core, kubernetes, docker</t>
  </si>
  <si>
    <t>ANGULAR</t>
  </si>
  <si>
    <t>SD</t>
  </si>
  <si>
    <t>Taman seri serdang</t>
  </si>
  <si>
    <t>University malaysia sarawak(UNIMAS)</t>
  </si>
  <si>
    <t>Software engineer (jr. Java Developer)</t>
  </si>
  <si>
    <t>Health Insurance, Dental Claim, Maternity Leave, Paternity Leave, Vacation/Personal Days, Remote Work, Company Laptop, Company Phones, Broadband/Home Internet Reimbursement</t>
  </si>
  <si>
    <t>SAP,JAVA</t>
  </si>
  <si>
    <t>Kuala lumpur,malaysia</t>
  </si>
  <si>
    <t>Walldorf consulting malaysia sdn. Bhd.</t>
  </si>
  <si>
    <t>Kelana Jaya</t>
  </si>
  <si>
    <t>MYR3500</t>
  </si>
  <si>
    <t>Health Insurance, Maternity Leave, Paternity Leave, Company Laptop, Phone Bill Reimbursement</t>
  </si>
  <si>
    <t>C# , SQL</t>
  </si>
  <si>
    <t>Bachelor of Electrical &amp; Electronic</t>
  </si>
  <si>
    <t>Health Insurance, Life Insurance, Dental Claim, Maternity Leave, Paternity Leave, Vacation/Personal Days, Remote Work, Company Laptop, Relocation Bonus</t>
  </si>
  <si>
    <t>depends performance, 1 to 2 month</t>
  </si>
  <si>
    <t>Health Insurance, Life Insurance, Dental Claim, Maternity Leave, Paternity Leave, Employee Discount, Learning and Development, Company Laptop, Phone Bill Reimbursement, Broadband/Home Internet Reimbursement, Optical/Eye-wear claims</t>
  </si>
  <si>
    <t>SpringBoot</t>
  </si>
  <si>
    <t>Diploma in Information and Communication Technology</t>
  </si>
  <si>
    <t>Junior PHP Developer</t>
  </si>
  <si>
    <t>Dental Claim, Maternity Leave, Paternity Leave, Transport/Parking Allowance, Company Laptop, Optical/Eye-wear claims</t>
  </si>
  <si>
    <t>Docker</t>
  </si>
  <si>
    <t>Cheras , Malaysia</t>
  </si>
  <si>
    <t>Bachelor of computer network engineering</t>
  </si>
  <si>
    <t xml:space="preserve">University Malaysia Perlis </t>
  </si>
  <si>
    <t xml:space="preserve">Product engineer </t>
  </si>
  <si>
    <t>Health Insurance, Life Insurance, Dental Claim, Free Lunch, Gym/Wellness Reimbursement, Employee Discount, Learning and Development, Optical/Eye-wear claims</t>
  </si>
  <si>
    <t xml:space="preserve">Bachelor of Computer science (Major Networking) </t>
  </si>
  <si>
    <t>CCNA 4</t>
  </si>
  <si>
    <t>Dental Claim, Remote Work, Optical/Eye-wear claims</t>
  </si>
  <si>
    <t xml:space="preserve">Android Studio, Intelli J </t>
  </si>
  <si>
    <t>Health Insurance, Dental Claim, Vacation/Personal Days, Free Snacks, Free Drinks, Remote Work, Gym/Wellness Reimbursement, Company Laptop</t>
  </si>
  <si>
    <t>Typescript, Javascript, Webflow, AWS, React, Vue</t>
  </si>
  <si>
    <t>UX Consultancy</t>
  </si>
  <si>
    <t>AWS SAA-C02</t>
  </si>
  <si>
    <t>Health Insurance, Life Insurance, Dental Claim, Maternity Leave, Paternity Leave, Vacation/Personal Days, Sick Time (Unlimited), Remote Work, Learning and Development, Tuition Reimbursement</t>
  </si>
  <si>
    <t>golang, aws</t>
  </si>
  <si>
    <t>remote</t>
  </si>
  <si>
    <t xml:space="preserve">Bachelor of Computer and electronic </t>
  </si>
  <si>
    <t>Hackaton</t>
  </si>
  <si>
    <t xml:space="preserve">Microsoft Azure Certificate </t>
  </si>
  <si>
    <t>Health Insurance, Life Insurance, Dental Claim, Employee Assistance Program, Maternity Leave, Paternity Leave, Vacation/Personal Days, Sick Time (Unlimited), Free Snacks, Free Drinks, Remote Work, Employee Discount, Learning and Development, Company Laptop, Phone Bill Reimbursement, Relocation Bonus, Broadband/Home Internet Reimbursement, Optical/Eye-wear claims</t>
  </si>
  <si>
    <t>React, .net core, C#, MSSQL, SQL, alibaba, aws</t>
  </si>
  <si>
    <t xml:space="preserve">Semi Conductor manufacturing </t>
  </si>
  <si>
    <t>Hidden</t>
  </si>
  <si>
    <t>none</t>
  </si>
  <si>
    <t>Blockchain API, Discord API</t>
  </si>
  <si>
    <t>Freelance</t>
  </si>
  <si>
    <t>Bachelor of Computer Science with Honors</t>
  </si>
  <si>
    <t>Company Laptop, Annual Flexi Allowance</t>
  </si>
  <si>
    <t>Web development</t>
  </si>
  <si>
    <t>Bachelor of Artificial intelligence</t>
  </si>
  <si>
    <t>Health Insurance, Dental Claim, Free Dinner, Free Snacks, Free Drinks, Remote Work, Company Laptop, Optical/Eye-wear claims</t>
  </si>
  <si>
    <t>JAVA, JSP, J2EE</t>
  </si>
  <si>
    <t>VueJS, HTML, CSS, JAVASCRIPT</t>
  </si>
  <si>
    <t>Bachelor of IT , data comm</t>
  </si>
  <si>
    <t>Head of software engineering</t>
  </si>
  <si>
    <t>Health Insurance, Life Insurance, Dental Claim, Employee Assistance Program, Paternity Leave, Vacation/Personal Days, Sick Time (Unlimited), Remote Work, Learning and Development, Tuition Reimbursement, Company Laptop, Company Phones, Optical/Eye-wear claims</t>
  </si>
  <si>
    <t>KL, Msia</t>
  </si>
  <si>
    <t>Health Insurance, Dental Claim, Maternity Leave, Paternity Leave, Transport/Parking Allowance, Company Laptop</t>
  </si>
  <si>
    <t>Javascript, CSS, React, Vue</t>
  </si>
  <si>
    <t>University of Queensland</t>
  </si>
  <si>
    <t>Visual Studio</t>
  </si>
  <si>
    <t>POS Solutions</t>
  </si>
  <si>
    <t>Game Developer</t>
  </si>
  <si>
    <t>Health Insurance, Free Snacks, Free Drinks, Company Laptop</t>
  </si>
  <si>
    <t>Unity</t>
  </si>
  <si>
    <t>bachelor of computer science</t>
  </si>
  <si>
    <t>university malaya</t>
  </si>
  <si>
    <t>senior software engineer</t>
  </si>
  <si>
    <t>Health Insurance, Life Insurance, Dental Claim, Maternity Leave, Paternity Leave, Vacation/Personal Days, Sick Time (Unlimited), Free Breakfast, Free Snacks, Free Drinks, Remote Work, Gym/Wellness Reimbursement, Employee Discount, Learning and Development, Transport/Parking Allowance, Company Laptop, Company Phones, Immigration Assistance, Phone Bill Reimbursement, Relocation Bonus, Annual Flexi Allowance, Broadband/Home Internet Reimbursement, Optical/Eye-wear claims</t>
  </si>
  <si>
    <t>.net, sql server</t>
  </si>
  <si>
    <t>kuala lumpur, malaysia</t>
  </si>
  <si>
    <t>energy</t>
  </si>
  <si>
    <t>Dental Claim, Maternity Leave, Paternity Leave, Free Snacks, Free Drinks, Transport/Parking Allowance, Company Laptop</t>
  </si>
  <si>
    <t>Vuejs</t>
  </si>
  <si>
    <t>Frontend Team Lead</t>
  </si>
  <si>
    <t>Health Insurance, Dental Claim, Sick Time (Unlimited), Remote Work, Learning and Development, Company Laptop, Optical/Eye-wear claims</t>
  </si>
  <si>
    <t>Laptop,smartphone</t>
  </si>
  <si>
    <t xml:space="preserve">Bachelor of Multimedia Technology </t>
  </si>
  <si>
    <t>Health Insurance, Life Insurance, Dental Claim, Remote Work, Company Laptop</t>
  </si>
  <si>
    <t>Vue, HTML, CSS</t>
  </si>
  <si>
    <t>Puchong, Malaysia</t>
  </si>
  <si>
    <t xml:space="preserve">Bachelor's of Computer Science </t>
  </si>
  <si>
    <t>Vuejs, Aws</t>
  </si>
  <si>
    <t xml:space="preserve">Technology </t>
  </si>
  <si>
    <t>Health Insurance, Life Insurance, Dental Claim, Employee Assistance Program, Maternity Leave, Paternity Leave, Free Breakfast, Free Snacks, Free Drinks, Remote Work, Employee Discount, Learning and Development, Company Laptop, Phone Bill Reimbursement, Annual Flexi Allowance, Broadband/Home Internet Reimbursement, Optical/Eye-wear claims</t>
  </si>
  <si>
    <t>Spring, Sofa, Alibaba Cloud, Ant Financial Cloud</t>
  </si>
  <si>
    <t>Kuala Lumpur, Malysia</t>
  </si>
  <si>
    <t>TNGD</t>
  </si>
  <si>
    <t>Bachelor of computer science (network and computer system)</t>
  </si>
  <si>
    <t>Life Insurance, Employee Assistance Program, Maternity Leave, Free Drinks, Learning and Development, Company Laptop, Broadband/Home Internet Reimbursement</t>
  </si>
  <si>
    <t>Java, mysql, oracle, html, Linux, putty</t>
  </si>
  <si>
    <t>RSP Solutions Sdn Bhd</t>
  </si>
  <si>
    <t>Bachelor (Hons) of Computer Sciemce</t>
  </si>
  <si>
    <t>Health Insurance, Dental Claim, Maternity Leave, Paternity Leave, Free Lunch, Remote Work, Learning and Development, Transport/Parking Allowance, Company Laptop, Phone Bill Reimbursement, Broadband/Home Internet Reimbursement, Optical/Eye-wear claims</t>
  </si>
  <si>
    <t>1.5 Years</t>
  </si>
  <si>
    <t>Bachelor of Science in Software Engineering</t>
  </si>
  <si>
    <t>Universiti Tunku Abdul Rahman (UTAR) Sungai Long Campus</t>
  </si>
  <si>
    <t>Health Insurance, Dental Claim, Maternity Leave, Paternity Leave, Remote Work, Learning and Development, Company Laptop, Optical/Eye-wear claims</t>
  </si>
  <si>
    <t>Java, Maven, Git, JFrog Artifactory, Jenkins, AWS EKS</t>
  </si>
  <si>
    <t>Experian</t>
  </si>
  <si>
    <t>GCP Cloud Associate, Microsoft Azure Certified</t>
  </si>
  <si>
    <t>Health Insurance, Life Insurance, Employee Assistance Program, Maternity Leave, Paternity Leave, Vacation/Personal Days, Sick Time (Unlimited), Free Snacks, Free Drinks, Remote Work, Gym/Wellness Reimbursement, Employee Discount, Learning and Development, Tuition Reimbursement, Transport/Parking Allowance, Company Laptop, Immigration Assistance, Relocation Bonus, Annual Flexi Allowance, Broadband/Home Internet Reimbursement, Professional Membership Subsidy/Sponsor</t>
  </si>
  <si>
    <t>GCP, Azure, Python, Vue, JavaScript, ML, SQL</t>
  </si>
  <si>
    <t>RM13,000</t>
  </si>
  <si>
    <t>Health Insurance, Life Insurance, Dental Claim, Maternity Leave, Gym/Wellness Reimbursement, Company Laptop</t>
  </si>
  <si>
    <t>Struts framework, msSQL, hibernate, putty</t>
  </si>
  <si>
    <t>PENANG</t>
  </si>
  <si>
    <t>JELUTONG</t>
  </si>
  <si>
    <t xml:space="preserve">SOFTWARE DEVELOPER </t>
  </si>
  <si>
    <t>Maternity Leave, Paternity Leave, Remote Work, Company Laptop, Relocation Bonus</t>
  </si>
  <si>
    <t>PENANG, MALAYSIA</t>
  </si>
  <si>
    <t>6months</t>
  </si>
  <si>
    <t>Bachelor of Computer Science (software engineering)</t>
  </si>
  <si>
    <t>Health Insurance, Employee Assistance Program, Maternity Leave, Paternity Leave, Vacation/Personal Days, Sick Time (Unlimited), Free Snacks, Free Drinks, Remote Work, Gym/Wellness Reimbursement, Employee Discount, Learning and Development, Transport/Parking Allowance, Company Laptop, Company Phones, Immigration Assistance, Phone Bill Reimbursement, Annual Flexi Allowance, Professional Membership Subsidy/Sponsor</t>
  </si>
  <si>
    <t>Application &amp; Cloud</t>
  </si>
  <si>
    <t>Bachelor of Computer Science(Software Engineering)</t>
  </si>
  <si>
    <t>UNIVERSITI MALAYSIA SABAH</t>
  </si>
  <si>
    <t>Software Developer(Intern)</t>
  </si>
  <si>
    <t>Variety</t>
  </si>
  <si>
    <t>Simpang pulai</t>
  </si>
  <si>
    <t>Bachelor of Agrotechnology (Crops Science)</t>
  </si>
  <si>
    <t>Universiti Malaysia Terengganu</t>
  </si>
  <si>
    <t>Adnexio SEC</t>
  </si>
  <si>
    <t>Agronomist</t>
  </si>
  <si>
    <t>Health Insurance, Life Insurance, Company Phones</t>
  </si>
  <si>
    <t>App</t>
  </si>
  <si>
    <t>Bachelor of Information System</t>
  </si>
  <si>
    <t>AWS Solutions Architect, Scrum Master, ITIL, Microsoft Azure</t>
  </si>
  <si>
    <t>Snr System Eng</t>
  </si>
  <si>
    <t>Health Insurance, Dental Claim, Employee Assistance Program, Free Snacks, Free Drinks, Remote Work, Employee Discount, Learning and Development, Company Laptop, Phone Bill Reimbursement</t>
  </si>
  <si>
    <t>laptop?</t>
  </si>
  <si>
    <t>SG</t>
  </si>
  <si>
    <t xml:space="preserve">Ara Damansara </t>
  </si>
  <si>
    <t xml:space="preserve">Bachelor of Computer Engineering </t>
  </si>
  <si>
    <t xml:space="preserve">UNIMY </t>
  </si>
  <si>
    <t>Health Insurance, Learning and Development, Transport/Parking Allowance, Company Laptop</t>
  </si>
  <si>
    <t>1. GitLab 2. Visual Studio 2022 3. ASP.NET Core 4. Blazor</t>
  </si>
  <si>
    <t>Bachelor of Mechatronics</t>
  </si>
  <si>
    <t xml:space="preserve">Firmware Engineer </t>
  </si>
  <si>
    <t>Health Insurance, Dental Claim, Employee Assistance Program, Maternity Leave, Vacation/Personal Days, Free Lunch, Free Drinks, Learning and Development, Transport/Parking Allowance, Student Loan Repayment Plan, Company Laptop, Relocation Bonus, Optical/Eye-wear claims</t>
  </si>
  <si>
    <t>C, Debugging</t>
  </si>
  <si>
    <t>Bachelor of Computer Science with Honours</t>
  </si>
  <si>
    <t>PROGRAMMER</t>
  </si>
  <si>
    <t>Maternity Leave, Paternity Leave, Vacation/Personal Days, Company Laptop, Company Phones</t>
  </si>
  <si>
    <t>.NET, Flutter, MySql</t>
  </si>
  <si>
    <t>EMART HOLDINGS SDN BHD</t>
  </si>
  <si>
    <t>Bachelor of Communication Networking</t>
  </si>
  <si>
    <t>Junior software engineer</t>
  </si>
  <si>
    <t>Dental Claim, Optical/Eye-wear claims</t>
  </si>
  <si>
    <t>Angular framework, Flutter</t>
  </si>
  <si>
    <t>2 Year</t>
  </si>
  <si>
    <t>BIT Software Engineering</t>
  </si>
  <si>
    <t>SAP Hana</t>
  </si>
  <si>
    <t>Senior Frontend developer</t>
  </si>
  <si>
    <t>Dental Claim, Paternity Leave, Remote Work, Learning and Development, Company Laptop</t>
  </si>
  <si>
    <t>React, JavaScript, PHP</t>
  </si>
  <si>
    <t xml:space="preserve">Bachelor in Software Engineering </t>
  </si>
  <si>
    <t>Health Insurance, Life Insurance, Maternity Leave, Paternity Leave, Vacation/Personal Days, Free Lunch, Free Snacks, Transport/Parking Allowance, Company Laptop, Optical/Eye-wear claims</t>
  </si>
  <si>
    <t>Php, mysql, Javascript, html, aws stack</t>
  </si>
  <si>
    <t>Bachelor of Network Engineering</t>
  </si>
  <si>
    <t>Health Insurance, Life Insurance, Dental Claim, Maternity Leave, Paternity Leave, Sick Time (Unlimited), Remote Work, Company Laptop, Phone Bill Reimbursement, Optical/Eye-wear claims</t>
  </si>
  <si>
    <t>Java, React</t>
  </si>
  <si>
    <t>UOWM KDU</t>
  </si>
  <si>
    <t>Junior Mobile Developer</t>
  </si>
  <si>
    <t>Health Insurance, Dental Claim, Maternity Leave, Paternity Leave, Remote Work, Transport/Parking Allowance, Company Laptop, Optical/Eye-wear claims</t>
  </si>
  <si>
    <t>BSc(Hons) Computer Science</t>
  </si>
  <si>
    <t>University of Science, Malaysia</t>
  </si>
  <si>
    <t>Health Insurance, Life Insurance, Dental Claim, Employee Assistance Program, Maternity Leave, Paternity Leave, Vacation/Personal Days, Transport/Parking Allowance, Company Laptop, Optical/Eye-wear claims</t>
  </si>
  <si>
    <t>Codemalaysia Programmer Finishing School - I taught at this bootcamp</t>
  </si>
  <si>
    <t>Health Insurance, Dental Claim, Maternity Leave, Paternity Leave, Vacation/Personal Days, Sick Time (Unlimited), Remote Work, Employee Discount, Learning and Development, Company Laptop, Optical/Eye-wear claims</t>
  </si>
  <si>
    <t>Elixir/Phoenix, Postgresql, Typescript, React</t>
  </si>
  <si>
    <t>10+</t>
  </si>
  <si>
    <t>4 - 6</t>
  </si>
  <si>
    <t>Health Insurance, Dental Claim, Maternity Leave, Paternity Leave, Free Drinks, Remote Work, Company Laptop, Optical/Eye-wear claims</t>
  </si>
  <si>
    <t>Node.js, Postgresql, Redis, RabbitMQ</t>
  </si>
  <si>
    <t>Dental Claim, Employee Discount, Company Laptop, Optical/Eye-wear claims</t>
  </si>
  <si>
    <t>PHP, AngularJS, Ionic, AWS</t>
  </si>
  <si>
    <t xml:space="preserve">Associate Software Engineer </t>
  </si>
  <si>
    <t>Health Insurance, Life Insurance, Dental Claim, Maternity Leave, Paternity Leave, Vacation/Personal Days, Employee Discount, Learning and Development, Transport/Parking Allowance, Company Laptop, Optical/Eye-wear claims</t>
  </si>
  <si>
    <t>ASP, Java, SQL Server</t>
  </si>
  <si>
    <t>AIA Shared Services</t>
  </si>
  <si>
    <t xml:space="preserve">Centre for Information Technology, University of Malaya </t>
  </si>
  <si>
    <t>Health Insurance, Remote Work, Annual Flexi Allowance</t>
  </si>
  <si>
    <t xml:space="preserve">Java, JSP, spring boot, hibernate, JPA, gradle, maven </t>
  </si>
  <si>
    <t>Msc Computer Science</t>
  </si>
  <si>
    <t>MCTS SharePoint</t>
  </si>
  <si>
    <t>Software Programmer</t>
  </si>
  <si>
    <t>Health Insurance, Dental Claim, Maternity Leave, Vacation/Personal Days, Sick Time (Unlimited)</t>
  </si>
  <si>
    <t xml:space="preserve">Software Project Manager </t>
  </si>
  <si>
    <t>Health Insurance, Life Insurance, Dental Claim, Paternity Leave, Vacation/Personal Days, Sick Time (Unlimited), Company Laptop, Optical/Eye-wear claims</t>
  </si>
  <si>
    <t>Melaka, Malaysia</t>
  </si>
  <si>
    <t>Kulai</t>
  </si>
  <si>
    <t>Health Insurance, Life Insurance, Dental Claim, Maternity Leave, Remote Work, Learning and Development, Company Laptop</t>
  </si>
  <si>
    <t>Java 8,Maven,Spring Boot,PostgreSql,</t>
  </si>
  <si>
    <t>Mont Kiara,Kuala Lumpur,Malaysia</t>
  </si>
  <si>
    <t>AWS, Google Drive, Facebook Ads</t>
  </si>
  <si>
    <t>Setapak, Kuala Lumpur &amp; Puchong, Selangor</t>
  </si>
  <si>
    <t>2 years</t>
  </si>
  <si>
    <t>Digital Marketer</t>
  </si>
  <si>
    <t>Associate's Degree in Software Engineer</t>
  </si>
  <si>
    <t>Cosmopoint</t>
  </si>
  <si>
    <t>Employee Assistance Program, Vacation/Personal Days, Sick Time (Unlimited), Remote Work, Learning and Development, Company Laptop</t>
  </si>
  <si>
    <t>Typescript (NodeJS, React)</t>
  </si>
  <si>
    <t>Parent</t>
  </si>
  <si>
    <t>Health Insurance, Dental Claim, Employee Assistance Program, Maternity Leave, Paternity Leave, Free Lunch, Gym/Wellness Reimbursement, Learning and Development, Student Loan Repayment Plan, Company Laptop, Optical/Eye-wear claims</t>
  </si>
  <si>
    <t>C#,C++,Qt,Python</t>
  </si>
  <si>
    <t>ViTrox Corporation Berhad</t>
  </si>
  <si>
    <t>React Native Engineer</t>
  </si>
  <si>
    <t>Maternity Leave, Paternity Leave, Vacation/Personal Days, Free Lunch, Remote Work, Company Laptop</t>
  </si>
  <si>
    <t>Bachelor of Design (Games)</t>
  </si>
  <si>
    <t>Match client workflows and tech, huge assortment</t>
  </si>
  <si>
    <t>Information System</t>
  </si>
  <si>
    <t>University Technology Petronas</t>
  </si>
  <si>
    <t>Asp.net/devexpress</t>
  </si>
  <si>
    <t>KL,Malaysia</t>
  </si>
  <si>
    <t>Bachelor of Science in Occupational Health and Safety</t>
  </si>
  <si>
    <t>Front End Specialist</t>
  </si>
  <si>
    <t>Health Insurance, Dental Claim, Maternity Leave, Vacation/Personal Days, Remote Work, Company Laptop</t>
  </si>
  <si>
    <t>Mobile Developer Lead</t>
  </si>
  <si>
    <t>Life Insurance, Dental Claim, Paternity Leave, Vacation/Personal Days, Remote Work, Gym/Wellness Reimbursement, Annual Flexi Allowance</t>
  </si>
  <si>
    <t>iOS, Android, Swift, Objc, Java</t>
  </si>
  <si>
    <t>Health Insurance, Life Insurance, Dental Claim, Employee Assistance Program, Maternity Leave, Paternity Leave, Free Breakfast, Free Lunch, Free Dinner, Free Snacks, Free Drinks, Remote Work, Gym/Wellness Reimbursement, Employee Discount, Learning and Development, Company Laptop</t>
  </si>
  <si>
    <t>ReactJS, NodeJS, NestJS, GCP</t>
  </si>
  <si>
    <t xml:space="preserve">Aerospace </t>
  </si>
  <si>
    <t>Health Insurance, Life Insurance, Dental Claim, Maternity Leave, Paternity Leave, Free Snacks, Free Drinks, Remote Work, Learning and Development, Transport/Parking Allowance, Company Laptop, Optical/Eye-wear claims</t>
  </si>
  <si>
    <t>React, Angular, Vue JS</t>
  </si>
  <si>
    <t>Bachelor of Information Technology in Internet Technology</t>
  </si>
  <si>
    <t>Tunku Abdul Rahman University College (TARUC)</t>
  </si>
  <si>
    <t>IT Solutions</t>
  </si>
  <si>
    <t xml:space="preserve">Bachelor of Information Systems Engineering </t>
  </si>
  <si>
    <t xml:space="preserve">Junior Mobile App Developer </t>
  </si>
  <si>
    <t>Entertainment (Gambling)</t>
  </si>
  <si>
    <t>Selayang</t>
  </si>
  <si>
    <t>Bachelor of Computer Science w Specialism in Data Analytics</t>
  </si>
  <si>
    <t>Health Insurance, Life Insurance, Dental Claim, Vacation/Personal Days, Company Laptop</t>
  </si>
  <si>
    <t>Airflow, Python, HDFS, Pyspark</t>
  </si>
  <si>
    <t>Swiss</t>
  </si>
  <si>
    <t>Kk</t>
  </si>
  <si>
    <t>Phi Soft Sdn Bhd</t>
  </si>
  <si>
    <t>mYr</t>
  </si>
  <si>
    <t>Dental Claim, Learning and Development, Company Laptop, Optical/Eye-wear claims</t>
  </si>
  <si>
    <t>Django, Vue, Postgresql, Docker</t>
  </si>
  <si>
    <t>Diploma IT</t>
  </si>
  <si>
    <t>GMI</t>
  </si>
  <si>
    <t>Junior developer</t>
  </si>
  <si>
    <t xml:space="preserve">Bachelor Of Computer Science </t>
  </si>
  <si>
    <t xml:space="preserve">Web Developer </t>
  </si>
  <si>
    <t>Health Insurance, Dental Claim, Paternity Leave, Optical/Eye-wear claims</t>
  </si>
  <si>
    <t xml:space="preserve">.Net Framework </t>
  </si>
  <si>
    <t>Bachelor of Computer Science In Data Science</t>
  </si>
  <si>
    <t>Junior Data Engineer</t>
  </si>
  <si>
    <t>ETL/ELT Tools, AWS redshift, tableau</t>
  </si>
  <si>
    <t>11 Month</t>
  </si>
  <si>
    <t>CCNA, AWS Cloud Practitioner</t>
  </si>
  <si>
    <t>Health Insurance, Dental Claim, Vacation/Personal Days, Free Snacks, Remote Work, Learning and Development, Company Laptop, Phone Bill Reimbursement</t>
  </si>
  <si>
    <t>.Net, Cloud computing (Huawei, AWS etc), ServiceNow</t>
  </si>
  <si>
    <t>Mont Kiara, Kuala Lumpur</t>
  </si>
  <si>
    <t>IT security services</t>
  </si>
  <si>
    <t>Certified Kubernetes Administrator</t>
  </si>
  <si>
    <t>Kubernetes</t>
  </si>
  <si>
    <t>MYR2000</t>
  </si>
  <si>
    <t>Health Insurance, Dental Claim, Free Snacks, Company Laptop</t>
  </si>
  <si>
    <t xml:space="preserve">Universiti Tunku Abdul Rahman </t>
  </si>
  <si>
    <t>Professional scrum master 1</t>
  </si>
  <si>
    <t xml:space="preserve">Sr software engineer </t>
  </si>
  <si>
    <t>Health Insurance, Life Insurance, Employee Assistance Program, Maternity Leave, Gym/Wellness Reimbursement, Company Laptop, Optical/Eye-wear claims</t>
  </si>
  <si>
    <t>Java, JavaScript, HTML, css, react</t>
  </si>
  <si>
    <t>Chemistry</t>
  </si>
  <si>
    <t>UMS</t>
  </si>
  <si>
    <t>Web developer (backend)</t>
  </si>
  <si>
    <t xml:space="preserve">Wilayah Persekutuan Kuala Lumpur </t>
  </si>
  <si>
    <t>computer science in software engineering (hons)</t>
  </si>
  <si>
    <t xml:space="preserve">Technology lead </t>
  </si>
  <si>
    <t>PHP, Python, React, React Native</t>
  </si>
  <si>
    <t xml:space="preserve">Wilayah Persekutuan Kuala Lumpur, Malaysia </t>
  </si>
  <si>
    <t>bachelor of electrical &amp; electronic engineering</t>
  </si>
  <si>
    <t>Digital Leadership,Data Analytics &amp; Data Engineer</t>
  </si>
  <si>
    <t>MBOT,Data Analytic,Data Engineer</t>
  </si>
  <si>
    <t>supervisor system engineer</t>
  </si>
  <si>
    <t>Health Insurance, Life Insurance, Dental Claim, Maternity Leave, Paternity Leave, Vacation/Personal Days, Remote Work, Gym/Wellness Reimbursement, Learning and Development, Tuition Reimbursement, Company Laptop, Broadband/Home Internet Reimbursement, Optical/Eye-wear claims</t>
  </si>
  <si>
    <t>C#,Java,powershell,azure,AWS,SQL,mongoDB,NOSQL</t>
  </si>
  <si>
    <t>Selamgor</t>
  </si>
  <si>
    <t xml:space="preserve">Bachelor of Mechsnical Engineering </t>
  </si>
  <si>
    <t xml:space="preserve">University of Adelaide </t>
  </si>
  <si>
    <t>Dental Claim, Company Laptop, Optical/Eye-wear claims</t>
  </si>
  <si>
    <t>Health Insurance, Maternity Leave, Paternity Leave, Free Snacks, Remote Work, Company Laptop, Annual Flexi Allowance</t>
  </si>
  <si>
    <t>react, javascript, kotlin,  html, css, nodejs</t>
  </si>
  <si>
    <t>Boustead Geospatial Technologies</t>
  </si>
  <si>
    <t>Argentina</t>
  </si>
  <si>
    <t>Health Insurance, Dental Claim, Maternity Leave, Paternity Leave, Vacation/Personal Days, Remote Work, Learning and Development, Transport/Parking Allowance, Company Laptop, Phone Bill Reimbursement, Relocation Bonus, Optical/Eye-wear claims</t>
  </si>
  <si>
    <t>Dotnet, java, mysql, oracle</t>
  </si>
  <si>
    <t>Software Intern</t>
  </si>
  <si>
    <t>ElectronJS, ReactJS, ExpressJS, NodeJS, MongoDB, C++, Python</t>
  </si>
  <si>
    <t>Node.js, Mongodb, AWS, firebase</t>
  </si>
  <si>
    <t>Bachelor of Commerce (Accounting)</t>
  </si>
  <si>
    <t>Youtube, Datacamp</t>
  </si>
  <si>
    <t>Business Intelligence, Senior Associate</t>
  </si>
  <si>
    <t>Health Insurance, Dental Claim, Maternity Leave, Paternity Leave, Sick Time (Unlimited), Employee Discount, Learning and Development, Company Laptop, Optical/Eye-wear claims</t>
  </si>
  <si>
    <t>Lazada</t>
  </si>
  <si>
    <t>staffordshire university</t>
  </si>
  <si>
    <t>The Tech Person</t>
  </si>
  <si>
    <t>Ruby,JS,Linux</t>
  </si>
  <si>
    <t>Olympia College</t>
  </si>
  <si>
    <t>Vue.js,Laravel,MariaDB</t>
  </si>
  <si>
    <t>Perak, Malaysia</t>
  </si>
  <si>
    <t>Orbit Life Enrichment SDN. BHD.</t>
  </si>
  <si>
    <t>Tokenized</t>
  </si>
  <si>
    <t>Removed blank spaces</t>
  </si>
  <si>
    <t>Count</t>
  </si>
  <si>
    <t>Blacklist</t>
  </si>
  <si>
    <t>Lowercase everything</t>
  </si>
  <si>
    <t>internet</t>
  </si>
  <si>
    <t xml:space="preserve"> NestJS</t>
  </si>
  <si>
    <t xml:space="preserve"> Laravel</t>
  </si>
  <si>
    <t xml:space="preserve"> WordPress</t>
  </si>
  <si>
    <t xml:space="preserve"> NextJS</t>
  </si>
  <si>
    <t>the</t>
  </si>
  <si>
    <t>Terminal</t>
  </si>
  <si>
    <t xml:space="preserve"> Zendesk</t>
  </si>
  <si>
    <t xml:space="preserve"> slack</t>
  </si>
  <si>
    <t xml:space="preserve"> js</t>
  </si>
  <si>
    <t xml:space="preserve"> redux</t>
  </si>
  <si>
    <t>Computer Vision</t>
  </si>
  <si>
    <t xml:space="preserve">  .Net</t>
  </si>
  <si>
    <t xml:space="preserve"> Deep learning</t>
  </si>
  <si>
    <t xml:space="preserve">  machine learning</t>
  </si>
  <si>
    <t xml:space="preserve"> Google Cloud platform</t>
  </si>
  <si>
    <t xml:space="preserve"> Android Studio</t>
  </si>
  <si>
    <t xml:space="preserve"> Slack</t>
  </si>
  <si>
    <t xml:space="preserve"> ClickUp</t>
  </si>
  <si>
    <t>ASP.NET 4.5</t>
  </si>
  <si>
    <t xml:space="preserve"> C#</t>
  </si>
  <si>
    <t xml:space="preserve"> flutter</t>
  </si>
  <si>
    <t xml:space="preserve"> c#</t>
  </si>
  <si>
    <t xml:space="preserve"> java</t>
  </si>
  <si>
    <t xml:space="preserve"> NoSql</t>
  </si>
  <si>
    <t xml:space="preserve"> javascript</t>
  </si>
  <si>
    <t xml:space="preserve"> mysql</t>
  </si>
  <si>
    <t>Slack</t>
  </si>
  <si>
    <t xml:space="preserve"> VS Code</t>
  </si>
  <si>
    <t xml:space="preserve"> Microsoft Azure</t>
  </si>
  <si>
    <t xml:space="preserve"> PowerShell</t>
  </si>
  <si>
    <t xml:space="preserve"> Azure DevOps</t>
  </si>
  <si>
    <t>Microsoft Dynamics ERP</t>
  </si>
  <si>
    <t xml:space="preserve"> SQL Server</t>
  </si>
  <si>
    <t xml:space="preserve"> Visual Studio</t>
  </si>
  <si>
    <t>XAMPP</t>
  </si>
  <si>
    <t xml:space="preserve"> PHPStorm</t>
  </si>
  <si>
    <t xml:space="preserve"> Bitbucket</t>
  </si>
  <si>
    <t xml:space="preserve"> Git</t>
  </si>
  <si>
    <t xml:space="preserve"> Postman</t>
  </si>
  <si>
    <t xml:space="preserve">Flutter </t>
  </si>
  <si>
    <t xml:space="preserve"> Android Java/kotlin</t>
  </si>
  <si>
    <t xml:space="preserve"> Swift (ios)</t>
  </si>
  <si>
    <t xml:space="preserve"> Angular</t>
  </si>
  <si>
    <t xml:space="preserve"> C++</t>
  </si>
  <si>
    <t xml:space="preserve"> .NET</t>
  </si>
  <si>
    <t xml:space="preserve"> Javascript</t>
  </si>
  <si>
    <t xml:space="preserve"> JQuery</t>
  </si>
  <si>
    <t>AWS Serverless stack</t>
  </si>
  <si>
    <t xml:space="preserve"> Nodejs</t>
  </si>
  <si>
    <t xml:space="preserve"> Reactjs</t>
  </si>
  <si>
    <t>Aws</t>
  </si>
  <si>
    <t xml:space="preserve"> gcp</t>
  </si>
  <si>
    <t xml:space="preserve"> metatrader</t>
  </si>
  <si>
    <t xml:space="preserve"> Linux </t>
  </si>
  <si>
    <t>JSON</t>
  </si>
  <si>
    <t xml:space="preserve"> ASP.NET</t>
  </si>
  <si>
    <t xml:space="preserve"> React</t>
  </si>
  <si>
    <t xml:space="preserve"> Mysql</t>
  </si>
  <si>
    <t xml:space="preserve"> elastic search</t>
  </si>
  <si>
    <t>Delphi</t>
  </si>
  <si>
    <t>nodejs</t>
  </si>
  <si>
    <t>Reactjs</t>
  </si>
  <si>
    <t xml:space="preserve"> MySQL</t>
  </si>
  <si>
    <t xml:space="preserve"> Postgresql</t>
  </si>
  <si>
    <t xml:space="preserve"> Elasticsearch</t>
  </si>
  <si>
    <t xml:space="preserve"> docker</t>
  </si>
  <si>
    <t xml:space="preserve"> Message queue</t>
  </si>
  <si>
    <t xml:space="preserve"> Aliyun</t>
  </si>
  <si>
    <t xml:space="preserve"> Airflow</t>
  </si>
  <si>
    <t xml:space="preserve"> Superset</t>
  </si>
  <si>
    <t xml:space="preserve"> Postgres</t>
  </si>
  <si>
    <t>API- Muelsoft</t>
  </si>
  <si>
    <t xml:space="preserve"> Apigee and SAP API manager</t>
  </si>
  <si>
    <t xml:space="preserve"> Trello</t>
  </si>
  <si>
    <t>C#.Net</t>
  </si>
  <si>
    <t xml:space="preserve"> Jquery</t>
  </si>
  <si>
    <t xml:space="preserve"> Vuejs</t>
  </si>
  <si>
    <t xml:space="preserve"> python</t>
  </si>
  <si>
    <t xml:space="preserve"> aws</t>
  </si>
  <si>
    <t xml:space="preserve"> angular js</t>
  </si>
  <si>
    <t xml:space="preserve"> github</t>
  </si>
  <si>
    <t xml:space="preserve"> buildkite</t>
  </si>
  <si>
    <t xml:space="preserve"> NodeJS</t>
  </si>
  <si>
    <t xml:space="preserve"> Retool</t>
  </si>
  <si>
    <t xml:space="preserve"> Android</t>
  </si>
  <si>
    <t xml:space="preserve"> MYSQL</t>
  </si>
  <si>
    <t xml:space="preserve"> AWS</t>
  </si>
  <si>
    <t xml:space="preserve"> Spring</t>
  </si>
  <si>
    <t xml:space="preserve"> Hibernate</t>
  </si>
  <si>
    <t xml:space="preserve"> Obj-C</t>
  </si>
  <si>
    <t xml:space="preserve"> Swift.</t>
  </si>
  <si>
    <t>JS</t>
  </si>
  <si>
    <t xml:space="preserve"> electron</t>
  </si>
  <si>
    <t xml:space="preserve"> nodejs</t>
  </si>
  <si>
    <t xml:space="preserve"> react</t>
  </si>
  <si>
    <t xml:space="preserve"> angular</t>
  </si>
  <si>
    <t>Typescript</t>
  </si>
  <si>
    <t xml:space="preserve"> Python</t>
  </si>
  <si>
    <t xml:space="preserve"> React </t>
  </si>
  <si>
    <t>Vue.Js</t>
  </si>
  <si>
    <t xml:space="preserve"> Node.Js</t>
  </si>
  <si>
    <t xml:space="preserve"> Feathers.js</t>
  </si>
  <si>
    <t xml:space="preserve"> Flutter</t>
  </si>
  <si>
    <t xml:space="preserve"> Mongo DB</t>
  </si>
  <si>
    <t>Office 365</t>
  </si>
  <si>
    <t xml:space="preserve"> Putty</t>
  </si>
  <si>
    <t xml:space="preserve"> VM</t>
  </si>
  <si>
    <t xml:space="preserve"> HCI</t>
  </si>
  <si>
    <t xml:space="preserve"> routing &amp; switching</t>
  </si>
  <si>
    <t xml:space="preserve"> wifi 5</t>
  </si>
  <si>
    <t xml:space="preserve"> wifi 6</t>
  </si>
  <si>
    <t xml:space="preserve">Python(Appium &amp; Selenium) </t>
  </si>
  <si>
    <t xml:space="preserve"> Embedded C</t>
  </si>
  <si>
    <t xml:space="preserve"> National Instruments (NI-DAQ) </t>
  </si>
  <si>
    <t>Jetbrains</t>
  </si>
  <si>
    <t xml:space="preserve"> Svelte</t>
  </si>
  <si>
    <t xml:space="preserve"> Kotlin</t>
  </si>
  <si>
    <t xml:space="preserve"> Golang</t>
  </si>
  <si>
    <t xml:space="preserve"> MongoDB</t>
  </si>
  <si>
    <t xml:space="preserve"> Mssql</t>
  </si>
  <si>
    <t xml:space="preserve"> Firebase</t>
  </si>
  <si>
    <t xml:space="preserve"> Aws</t>
  </si>
  <si>
    <t xml:space="preserve"> Windows Server</t>
  </si>
  <si>
    <t xml:space="preserve"> Team Foundation Server</t>
  </si>
  <si>
    <t xml:space="preserve"> GitLab</t>
  </si>
  <si>
    <t xml:space="preserve"> ML</t>
  </si>
  <si>
    <t xml:space="preserve"> DL</t>
  </si>
  <si>
    <t xml:space="preserve"> Django</t>
  </si>
  <si>
    <t xml:space="preserve"> Flask</t>
  </si>
  <si>
    <t xml:space="preserve"> Vue</t>
  </si>
  <si>
    <t xml:space="preserve"> Quasar</t>
  </si>
  <si>
    <t xml:space="preserve"> react.js</t>
  </si>
  <si>
    <t xml:space="preserve"> typescript</t>
  </si>
  <si>
    <t xml:space="preserve"> postgresql</t>
  </si>
  <si>
    <t xml:space="preserve"> Docker</t>
  </si>
  <si>
    <t xml:space="preserve"> Spark</t>
  </si>
  <si>
    <t xml:space="preserve"> Jupyter</t>
  </si>
  <si>
    <t xml:space="preserve"> Excel</t>
  </si>
  <si>
    <t xml:space="preserve"> Jira</t>
  </si>
  <si>
    <t xml:space="preserve"> Confluence </t>
  </si>
  <si>
    <t xml:space="preserve"> Java</t>
  </si>
  <si>
    <t>Xcode</t>
  </si>
  <si>
    <t xml:space="preserve"> Swift</t>
  </si>
  <si>
    <t xml:space="preserve"> Nextjs</t>
  </si>
  <si>
    <t xml:space="preserve"> Express</t>
  </si>
  <si>
    <t xml:space="preserve"> GCP</t>
  </si>
  <si>
    <t>Nodejs</t>
  </si>
  <si>
    <t xml:space="preserve"> ReactJs</t>
  </si>
  <si>
    <t xml:space="preserve"> Spring boot</t>
  </si>
  <si>
    <t xml:space="preserve"> Ms sql</t>
  </si>
  <si>
    <t xml:space="preserve"> Svn</t>
  </si>
  <si>
    <t>Jsp</t>
  </si>
  <si>
    <t xml:space="preserve"> .Net</t>
  </si>
  <si>
    <t>TailwindCSS</t>
  </si>
  <si>
    <t xml:space="preserve"> aungular</t>
  </si>
  <si>
    <t xml:space="preserve"> JavaScript</t>
  </si>
  <si>
    <t xml:space="preserve"> Bootstrap</t>
  </si>
  <si>
    <t xml:space="preserve"> HTML</t>
  </si>
  <si>
    <t xml:space="preserve"> CSS</t>
  </si>
  <si>
    <t xml:space="preserve"> Selenium</t>
  </si>
  <si>
    <t xml:space="preserve"> graphql</t>
  </si>
  <si>
    <t xml:space="preserve"> PostgreSQL </t>
  </si>
  <si>
    <t>Linux</t>
  </si>
  <si>
    <t xml:space="preserve"> Shell</t>
  </si>
  <si>
    <t xml:space="preserve"> SQL</t>
  </si>
  <si>
    <t xml:space="preserve"> GIS</t>
  </si>
  <si>
    <t xml:space="preserve"> Backbone</t>
  </si>
  <si>
    <t xml:space="preserve"> PHP</t>
  </si>
  <si>
    <t xml:space="preserve"> Mariadb</t>
  </si>
  <si>
    <t>RPA</t>
  </si>
  <si>
    <t xml:space="preserve"> Typescript</t>
  </si>
  <si>
    <t xml:space="preserve"> VueJS</t>
  </si>
  <si>
    <t xml:space="preserve"> Azure</t>
  </si>
  <si>
    <t xml:space="preserve"> Elastic</t>
  </si>
  <si>
    <t xml:space="preserve"> Python. </t>
  </si>
  <si>
    <t xml:space="preserve"> Spring-boot</t>
  </si>
  <si>
    <t>Nestjs</t>
  </si>
  <si>
    <t>Google Cloud</t>
  </si>
  <si>
    <t>PostgreSQL</t>
  </si>
  <si>
    <t xml:space="preserve"> PowerBI</t>
  </si>
  <si>
    <t xml:space="preserve"> .NET Core</t>
  </si>
  <si>
    <t xml:space="preserve"> Redis</t>
  </si>
  <si>
    <t xml:space="preserve"> MSSQL</t>
  </si>
  <si>
    <t xml:space="preserve"> mssql</t>
  </si>
  <si>
    <t xml:space="preserve"> shell</t>
  </si>
  <si>
    <t xml:space="preserve"> Talend</t>
  </si>
  <si>
    <t>Alicloud</t>
  </si>
  <si>
    <t>MS Team</t>
  </si>
  <si>
    <t>Asp.net</t>
  </si>
  <si>
    <t xml:space="preserve"> rails</t>
  </si>
  <si>
    <t xml:space="preserve"> coldfusion</t>
  </si>
  <si>
    <t xml:space="preserve"> html</t>
  </si>
  <si>
    <t xml:space="preserve"> css</t>
  </si>
  <si>
    <t xml:space="preserve"> sql</t>
  </si>
  <si>
    <t xml:space="preserve"> Ionic</t>
  </si>
  <si>
    <t xml:space="preserve"> kubernetes</t>
  </si>
  <si>
    <t xml:space="preserve"> gcloud (gke mainly)</t>
  </si>
  <si>
    <t xml:space="preserve"> etc</t>
  </si>
  <si>
    <t>HTML</t>
  </si>
  <si>
    <t xml:space="preserve"> Holistics</t>
  </si>
  <si>
    <t xml:space="preserve"> Hex</t>
  </si>
  <si>
    <t xml:space="preserve"> GraphQL</t>
  </si>
  <si>
    <t>spring</t>
  </si>
  <si>
    <t>CSS</t>
  </si>
  <si>
    <t xml:space="preserve">Frontend </t>
  </si>
  <si>
    <t xml:space="preserve"> JS</t>
  </si>
  <si>
    <t xml:space="preserve"> HTML5</t>
  </si>
  <si>
    <t xml:space="preserve"> Pytorch. </t>
  </si>
  <si>
    <t>ASP .NET</t>
  </si>
  <si>
    <t xml:space="preserve"> Vue.js </t>
  </si>
  <si>
    <t xml:space="preserve">Web </t>
  </si>
  <si>
    <t>mssql</t>
  </si>
  <si>
    <t xml:space="preserve"> Deep Learning</t>
  </si>
  <si>
    <t>NodeJs</t>
  </si>
  <si>
    <t>Native mob dev</t>
  </si>
  <si>
    <t xml:space="preserve"> spring boot</t>
  </si>
  <si>
    <t xml:space="preserve"> VSCode</t>
  </si>
  <si>
    <t xml:space="preserve"> ExpressJS</t>
  </si>
  <si>
    <t xml:space="preserve"> Linux</t>
  </si>
  <si>
    <t xml:space="preserve"> Windows</t>
  </si>
  <si>
    <t>Raspberry Pi</t>
  </si>
  <si>
    <t>Google Cloud Platform</t>
  </si>
  <si>
    <t xml:space="preserve"> Cloud</t>
  </si>
  <si>
    <t xml:space="preserve"> Microsoft stack</t>
  </si>
  <si>
    <t xml:space="preserve"> tableau</t>
  </si>
  <si>
    <t xml:space="preserve"> workday</t>
  </si>
  <si>
    <t xml:space="preserve"> Scss</t>
  </si>
  <si>
    <t xml:space="preserve"> microservice</t>
  </si>
  <si>
    <t>Vue</t>
  </si>
  <si>
    <t xml:space="preserve"> Net core</t>
  </si>
  <si>
    <t xml:space="preserve"> Tensorflow </t>
  </si>
  <si>
    <t xml:space="preserve"> Mongodb</t>
  </si>
  <si>
    <t>Vue.js</t>
  </si>
  <si>
    <t xml:space="preserve"> multiple GCP services</t>
  </si>
  <si>
    <t xml:space="preserve"> PKS</t>
  </si>
  <si>
    <t xml:space="preserve"> Kubernetes</t>
  </si>
  <si>
    <t>Kafka</t>
  </si>
  <si>
    <t xml:space="preserve"> Nifi</t>
  </si>
  <si>
    <t xml:space="preserve"> Power BI</t>
  </si>
  <si>
    <t xml:space="preserve"> SAP</t>
  </si>
  <si>
    <t xml:space="preserve"> SSIS</t>
  </si>
  <si>
    <t xml:space="preserve"> Apache Airflow</t>
  </si>
  <si>
    <t xml:space="preserve"> MLflow</t>
  </si>
  <si>
    <t xml:space="preserve"> DVC</t>
  </si>
  <si>
    <t xml:space="preserve"> Arize.ai</t>
  </si>
  <si>
    <t xml:space="preserve"> vuejs</t>
  </si>
  <si>
    <t>.NET Core</t>
  </si>
  <si>
    <t xml:space="preserve"> Azure Devops</t>
  </si>
  <si>
    <t>docker</t>
  </si>
  <si>
    <t>React.js + typescript</t>
  </si>
  <si>
    <t>serverless</t>
  </si>
  <si>
    <t>lambda</t>
  </si>
  <si>
    <t>dynamodb</t>
  </si>
  <si>
    <t>SQS</t>
  </si>
  <si>
    <t>SNS</t>
  </si>
  <si>
    <t>api gateway</t>
  </si>
  <si>
    <t>hexagonal architecture(more like how we build those)</t>
  </si>
  <si>
    <t>CI/CD</t>
  </si>
  <si>
    <t>Kubernates</t>
  </si>
  <si>
    <t>Redis</t>
  </si>
  <si>
    <t>EC2</t>
  </si>
  <si>
    <t>Lambda</t>
  </si>
  <si>
    <t>Terraform</t>
  </si>
  <si>
    <t xml:space="preserve"> Jenkins</t>
  </si>
  <si>
    <t>Js</t>
  </si>
  <si>
    <t>TypeScript</t>
  </si>
  <si>
    <t>RxJS</t>
  </si>
  <si>
    <t>Redux/NgRX</t>
  </si>
  <si>
    <t>Firebase</t>
  </si>
  <si>
    <t>MongoDB</t>
  </si>
  <si>
    <t>ElectronJS</t>
  </si>
  <si>
    <t>Perl</t>
  </si>
  <si>
    <t>Web</t>
  </si>
  <si>
    <t>mobile</t>
  </si>
  <si>
    <t>database</t>
  </si>
  <si>
    <t>cloud infrastructure</t>
  </si>
  <si>
    <t>mongoDB</t>
  </si>
  <si>
    <t>firebase</t>
  </si>
  <si>
    <t>Azure DevOps</t>
  </si>
  <si>
    <t>CI/CD pipelines</t>
  </si>
  <si>
    <t>Microsoft Azure</t>
  </si>
  <si>
    <t>typescript</t>
  </si>
  <si>
    <t>rails</t>
  </si>
  <si>
    <t>Node</t>
  </si>
  <si>
    <t>MEVN</t>
  </si>
  <si>
    <t>BI Tool</t>
  </si>
  <si>
    <t>django</t>
  </si>
  <si>
    <t>jquery</t>
  </si>
  <si>
    <t>MySQL</t>
  </si>
  <si>
    <t>ReactJS</t>
  </si>
  <si>
    <t>Jenkins</t>
  </si>
  <si>
    <t>Ansible</t>
  </si>
  <si>
    <t>Oracle Sql</t>
  </si>
  <si>
    <t>MongoDb</t>
  </si>
  <si>
    <t>Groovy</t>
  </si>
  <si>
    <t>Asp.net (c# and vb.net)</t>
  </si>
  <si>
    <t>angular</t>
  </si>
  <si>
    <t>jQuery</t>
  </si>
  <si>
    <t>SQL Server</t>
  </si>
  <si>
    <t>Oracle</t>
  </si>
  <si>
    <t>Graphql</t>
  </si>
  <si>
    <t>Ros</t>
  </si>
  <si>
    <t>mongoDb</t>
  </si>
  <si>
    <t>three.js</t>
  </si>
  <si>
    <t>Github.</t>
  </si>
  <si>
    <t>.NET web development</t>
  </si>
  <si>
    <t>Spotfire</t>
  </si>
  <si>
    <t>Workbench</t>
  </si>
  <si>
    <t>Jira</t>
  </si>
  <si>
    <t>Bitbucket</t>
  </si>
  <si>
    <t>Deploybot</t>
  </si>
  <si>
    <t>JAVASCRIPT</t>
  </si>
  <si>
    <t>JQUERY</t>
  </si>
  <si>
    <t>GCP</t>
  </si>
  <si>
    <t>GoLang</t>
  </si>
  <si>
    <t>Go</t>
  </si>
  <si>
    <t>LARAVEL</t>
  </si>
  <si>
    <t>REACT-NATIVE</t>
  </si>
  <si>
    <t>Web application</t>
  </si>
  <si>
    <t>server setup</t>
  </si>
  <si>
    <t>hardware</t>
  </si>
  <si>
    <t>WAS</t>
  </si>
  <si>
    <t>Spring</t>
  </si>
  <si>
    <t>Machine Learning</t>
  </si>
  <si>
    <t>Dotnet</t>
  </si>
  <si>
    <t>AngularJs</t>
  </si>
  <si>
    <t>Git</t>
  </si>
  <si>
    <t>XCode</t>
  </si>
  <si>
    <t>GitHub</t>
  </si>
  <si>
    <t>Bitrise</t>
  </si>
  <si>
    <t xml:space="preserve"> Zeplin</t>
  </si>
  <si>
    <t>Redshift</t>
  </si>
  <si>
    <t>Holistics</t>
  </si>
  <si>
    <t>R</t>
  </si>
  <si>
    <t>Mobile phone</t>
  </si>
  <si>
    <t>Ts</t>
  </si>
  <si>
    <t>nuxtjs</t>
  </si>
  <si>
    <t>.Net Core</t>
  </si>
  <si>
    <t>.NET CORE</t>
  </si>
  <si>
    <t>Aliyun Analytic DB</t>
  </si>
  <si>
    <t>PolarDB</t>
  </si>
  <si>
    <t>HBase</t>
  </si>
  <si>
    <t>RabbitMQ</t>
  </si>
  <si>
    <t>vue</t>
  </si>
  <si>
    <t>js</t>
  </si>
  <si>
    <t>Vue JS</t>
  </si>
  <si>
    <t>MYSQL</t>
  </si>
  <si>
    <t>Apache Big Data Stack</t>
  </si>
  <si>
    <t>sitecore</t>
  </si>
  <si>
    <t>Mssql</t>
  </si>
  <si>
    <t>Mysql</t>
  </si>
  <si>
    <t>Mongo Atlas</t>
  </si>
  <si>
    <t>Springboot</t>
  </si>
  <si>
    <t xml:space="preserve"> K8S</t>
  </si>
  <si>
    <t>Tensorflow</t>
  </si>
  <si>
    <t>nextjs</t>
  </si>
  <si>
    <t>react native</t>
  </si>
  <si>
    <t>alibaba cloud</t>
  </si>
  <si>
    <t>etc</t>
  </si>
  <si>
    <t>ruby on rails</t>
  </si>
  <si>
    <t>node</t>
  </si>
  <si>
    <t>AngularJS</t>
  </si>
  <si>
    <t>Haskell</t>
  </si>
  <si>
    <t>Rescript</t>
  </si>
  <si>
    <t>Java EE</t>
  </si>
  <si>
    <t>SQL and JSP</t>
  </si>
  <si>
    <t>AI/ML</t>
  </si>
  <si>
    <t>Dataiku</t>
  </si>
  <si>
    <t>Hadoop</t>
  </si>
  <si>
    <t>ARM embedded hardware</t>
  </si>
  <si>
    <t>sas</t>
  </si>
  <si>
    <t>VUEJS</t>
  </si>
  <si>
    <t>DOCKER</t>
  </si>
  <si>
    <t>EXPRESSJS</t>
  </si>
  <si>
    <t>MONGO</t>
  </si>
  <si>
    <t>PYTHON</t>
  </si>
  <si>
    <t>KUBENETES</t>
  </si>
  <si>
    <t>ASP.NET CORE</t>
  </si>
  <si>
    <t>JENKINS</t>
  </si>
  <si>
    <t>github</t>
  </si>
  <si>
    <t>Spark AR</t>
  </si>
  <si>
    <t>Java Spring</t>
  </si>
  <si>
    <t>MacOS</t>
  </si>
  <si>
    <t>Cordova</t>
  </si>
  <si>
    <t>gitlab</t>
  </si>
  <si>
    <t>kubernetes</t>
  </si>
  <si>
    <t>Express</t>
  </si>
  <si>
    <t>Dart</t>
  </si>
  <si>
    <t>Spring Boot</t>
  </si>
  <si>
    <t>Hibernate</t>
  </si>
  <si>
    <t>Objective C</t>
  </si>
  <si>
    <t>JQuery</t>
  </si>
  <si>
    <t>Hack (PHP)</t>
  </si>
  <si>
    <t>JavaScript(React)</t>
  </si>
  <si>
    <t>GraphQL</t>
  </si>
  <si>
    <t>ReactNative</t>
  </si>
  <si>
    <t>Windows Server</t>
  </si>
  <si>
    <t>VMWare</t>
  </si>
  <si>
    <t>Macbook Pro 16"</t>
  </si>
  <si>
    <t>iPhone 11</t>
  </si>
  <si>
    <t>JAVA</t>
  </si>
  <si>
    <t>VSCode</t>
  </si>
  <si>
    <t>iOS</t>
  </si>
  <si>
    <t>LAMP</t>
  </si>
  <si>
    <t>AR stuff</t>
  </si>
  <si>
    <t>Spark</t>
  </si>
  <si>
    <t>vb.net</t>
  </si>
  <si>
    <t>hyper-v</t>
  </si>
  <si>
    <t>NodeJS /Express</t>
  </si>
  <si>
    <t>Codefresh</t>
  </si>
  <si>
    <t>SegmentIO</t>
  </si>
  <si>
    <t>Pusher</t>
  </si>
  <si>
    <t xml:space="preserve"> Embrace</t>
  </si>
  <si>
    <t xml:space="preserve"> AWS Secrets</t>
  </si>
  <si>
    <t>Next</t>
  </si>
  <si>
    <t>Gatsby</t>
  </si>
  <si>
    <t>Bootstrap</t>
  </si>
  <si>
    <t>Wordpress</t>
  </si>
  <si>
    <t>MSSSQL</t>
  </si>
  <si>
    <t>Talend</t>
  </si>
  <si>
    <t>Azure services</t>
  </si>
  <si>
    <t>spark</t>
  </si>
  <si>
    <t>tensorflow</t>
  </si>
  <si>
    <t>postgresql</t>
  </si>
  <si>
    <t>AWS Stack</t>
  </si>
  <si>
    <t>Pyspark</t>
  </si>
  <si>
    <t>Tableau</t>
  </si>
  <si>
    <t>MS Excel</t>
  </si>
  <si>
    <t>power bi</t>
  </si>
  <si>
    <t>JMP</t>
  </si>
  <si>
    <t>react js</t>
  </si>
  <si>
    <t>redux</t>
  </si>
  <si>
    <t>nginx</t>
  </si>
  <si>
    <t>linux hosting</t>
  </si>
  <si>
    <t>Web Dev</t>
  </si>
  <si>
    <t>Backend</t>
  </si>
  <si>
    <t>Data Distributed System</t>
  </si>
  <si>
    <t>AI infusion</t>
  </si>
  <si>
    <t>Desktop App dev</t>
  </si>
  <si>
    <t>Conflence</t>
  </si>
  <si>
    <t>Mircrosoft Office</t>
  </si>
  <si>
    <t>desktop</t>
  </si>
  <si>
    <t>Nuxt</t>
  </si>
  <si>
    <t>Company laptop</t>
  </si>
  <si>
    <t>company monitor</t>
  </si>
  <si>
    <t>keyboard</t>
  </si>
  <si>
    <t>mouse</t>
  </si>
  <si>
    <t>headphone</t>
  </si>
  <si>
    <t>SCSS</t>
  </si>
  <si>
    <t>AWS Cloud</t>
  </si>
  <si>
    <t>Postman</t>
  </si>
  <si>
    <t>Bamboo</t>
  </si>
  <si>
    <t>flutter</t>
  </si>
  <si>
    <t>reactjs</t>
  </si>
  <si>
    <t>Weblogic</t>
  </si>
  <si>
    <t>Microsoft Platform</t>
  </si>
  <si>
    <t>Slate</t>
  </si>
  <si>
    <t>mobile development</t>
  </si>
  <si>
    <t>unix</t>
  </si>
  <si>
    <t>Game development</t>
  </si>
  <si>
    <t>CG</t>
  </si>
  <si>
    <t>CV</t>
  </si>
  <si>
    <t>codefresh</t>
  </si>
  <si>
    <t>newrelic</t>
  </si>
  <si>
    <t>postgres</t>
  </si>
  <si>
    <t>mongodb</t>
  </si>
  <si>
    <t>kafka</t>
  </si>
  <si>
    <t xml:space="preserve"> sqs</t>
  </si>
  <si>
    <t xml:space="preserve"> jira</t>
  </si>
  <si>
    <t>Mac</t>
  </si>
  <si>
    <t>swift</t>
  </si>
  <si>
    <t>objective c</t>
  </si>
  <si>
    <t>kotlin</t>
  </si>
  <si>
    <t>gRPC</t>
  </si>
  <si>
    <t>rust</t>
  </si>
  <si>
    <t>VueJs</t>
  </si>
  <si>
    <t>SAS</t>
  </si>
  <si>
    <t>pyhton</t>
  </si>
  <si>
    <t>Node.Js</t>
  </si>
  <si>
    <t>React.Js</t>
  </si>
  <si>
    <t>Postgres</t>
  </si>
  <si>
    <t>Cloud Run</t>
  </si>
  <si>
    <t>PSQL</t>
  </si>
  <si>
    <t>Futter</t>
  </si>
  <si>
    <t>Nosql</t>
  </si>
  <si>
    <t>JS/Typescript</t>
  </si>
  <si>
    <t>CSS-in-JS</t>
  </si>
  <si>
    <t>Websocket</t>
  </si>
  <si>
    <t>REST API</t>
  </si>
  <si>
    <t>airflow</t>
  </si>
  <si>
    <t>Web Technologies (Laravel</t>
  </si>
  <si>
    <t>Node.js)</t>
  </si>
  <si>
    <t>MVVM</t>
  </si>
  <si>
    <t>raspberrypi</t>
  </si>
  <si>
    <t>machine learning</t>
  </si>
  <si>
    <t>opencv</t>
  </si>
  <si>
    <t>mysql and more</t>
  </si>
  <si>
    <t>Node JS</t>
  </si>
  <si>
    <t>tech_stack_clean</t>
  </si>
  <si>
    <t>nestjs</t>
  </si>
  <si>
    <t>wordpress</t>
  </si>
  <si>
    <t>message</t>
  </si>
  <si>
    <t>wifi</t>
  </si>
  <si>
    <t>hexagonal</t>
  </si>
  <si>
    <t>jenkins</t>
  </si>
  <si>
    <t>jira</t>
  </si>
  <si>
    <t>git</t>
  </si>
  <si>
    <t>zendesk</t>
  </si>
  <si>
    <t>slack</t>
  </si>
  <si>
    <t>machine</t>
  </si>
  <si>
    <t>nosql</t>
  </si>
  <si>
    <t>queue</t>
  </si>
  <si>
    <t>architecturemore</t>
  </si>
  <si>
    <t>zeplin</t>
  </si>
  <si>
    <t>secrets</t>
  </si>
  <si>
    <t>learning</t>
  </si>
  <si>
    <t>azure</t>
  </si>
  <si>
    <t>team</t>
  </si>
  <si>
    <t>windows</t>
  </si>
  <si>
    <t>like</t>
  </si>
  <si>
    <t>k8s</t>
  </si>
  <si>
    <t>configura</t>
  </si>
  <si>
    <t>deep</t>
  </si>
  <si>
    <t>clickup</t>
  </si>
  <si>
    <t>devops</t>
  </si>
  <si>
    <t>foundation</t>
  </si>
  <si>
    <t>api</t>
  </si>
  <si>
    <t>how</t>
  </si>
  <si>
    <t>embrace</t>
  </si>
  <si>
    <t>magic</t>
  </si>
  <si>
    <t>google</t>
  </si>
  <si>
    <t>postman</t>
  </si>
  <si>
    <t>server</t>
  </si>
  <si>
    <t>gateway</t>
  </si>
  <si>
    <t>we</t>
  </si>
  <si>
    <t>sqs</t>
  </si>
  <si>
    <t>terminal</t>
  </si>
  <si>
    <t>powershell</t>
  </si>
  <si>
    <t>elastic</t>
  </si>
  <si>
    <t>confluence</t>
  </si>
  <si>
    <t>build</t>
  </si>
  <si>
    <t>platform</t>
  </si>
  <si>
    <t>search</t>
  </si>
  <si>
    <t>selenium</t>
  </si>
  <si>
    <t>those</t>
  </si>
  <si>
    <t>android</t>
  </si>
  <si>
    <t>mysql</t>
  </si>
  <si>
    <t>terraform</t>
  </si>
  <si>
    <t>studio</t>
  </si>
  <si>
    <t>microsoft</t>
  </si>
  <si>
    <t>linux</t>
  </si>
  <si>
    <t>electronjs</t>
  </si>
  <si>
    <t>computer</t>
  </si>
  <si>
    <t>buildkite</t>
  </si>
  <si>
    <t>bitrise</t>
  </si>
  <si>
    <t>vision</t>
  </si>
  <si>
    <t>visual</t>
  </si>
  <si>
    <t>swift.</t>
  </si>
  <si>
    <t>svn</t>
  </si>
  <si>
    <t>native</t>
  </si>
  <si>
    <t>springboot</t>
  </si>
  <si>
    <t>elasticsearch</t>
  </si>
  <si>
    <t>css</t>
  </si>
  <si>
    <t>scss</t>
  </si>
  <si>
    <t>alibaba</t>
  </si>
  <si>
    <t>vs</t>
  </si>
  <si>
    <t>bitbucket</t>
  </si>
  <si>
    <t>superset</t>
  </si>
  <si>
    <t>mongo</t>
  </si>
  <si>
    <t>arize.ai</t>
  </si>
  <si>
    <t>pusher</t>
  </si>
  <si>
    <t>code</t>
  </si>
  <si>
    <t>db</t>
  </si>
  <si>
    <t>sns</t>
  </si>
  <si>
    <t>angularjs</t>
  </si>
  <si>
    <t>ios</t>
  </si>
  <si>
    <t>obj-c</t>
  </si>
  <si>
    <t>routing</t>
  </si>
  <si>
    <t>ec2</t>
  </si>
  <si>
    <t>c++</t>
  </si>
  <si>
    <t>expressjs</t>
  </si>
  <si>
    <t>core</t>
  </si>
  <si>
    <t>and</t>
  </si>
  <si>
    <t>switching</t>
  </si>
  <si>
    <t>segmentio</t>
  </si>
  <si>
    <t>more</t>
  </si>
  <si>
    <t>phpstorm</t>
  </si>
  <si>
    <t>hci</t>
  </si>
  <si>
    <t>ssis</t>
  </si>
  <si>
    <t>metatrader</t>
  </si>
  <si>
    <t>dvc</t>
  </si>
  <si>
    <t>app</t>
  </si>
  <si>
    <t>java/kotlin</t>
  </si>
  <si>
    <t>quasar</t>
  </si>
  <si>
    <t>dev</t>
  </si>
  <si>
    <t>dl</t>
  </si>
  <si>
    <t>excel</t>
  </si>
  <si>
    <t>redis</t>
  </si>
  <si>
    <t>gcp</t>
  </si>
  <si>
    <t>dynamics</t>
  </si>
  <si>
    <t>jupyter</t>
  </si>
  <si>
    <t>ms</t>
  </si>
  <si>
    <t>erp</t>
  </si>
  <si>
    <t>xampp</t>
  </si>
  <si>
    <t>html</t>
  </si>
  <si>
    <t>kubenetes</t>
  </si>
  <si>
    <t>retool</t>
  </si>
  <si>
    <t>backbone</t>
  </si>
  <si>
    <t>boot</t>
  </si>
  <si>
    <t>mariadb</t>
  </si>
  <si>
    <t>aliyun</t>
  </si>
  <si>
    <t>hibernate</t>
  </si>
  <si>
    <t>bootstrap</t>
  </si>
  <si>
    <t>oracle</t>
  </si>
  <si>
    <t>apigee</t>
  </si>
  <si>
    <t>hosting</t>
  </si>
  <si>
    <t>ai</t>
  </si>
  <si>
    <t>sap</t>
  </si>
  <si>
    <t>feathers.js</t>
  </si>
  <si>
    <t>infusion</t>
  </si>
  <si>
    <t>vm</t>
  </si>
  <si>
    <t>graphql</t>
  </si>
  <si>
    <t>stack</t>
  </si>
  <si>
    <t>manager</t>
  </si>
  <si>
    <t>national</t>
  </si>
  <si>
    <t>vscode</t>
  </si>
  <si>
    <t>rabbitmq</t>
  </si>
  <si>
    <t>trello</t>
  </si>
  <si>
    <t>instruments</t>
  </si>
  <si>
    <t>xcode</t>
  </si>
  <si>
    <t>json</t>
  </si>
  <si>
    <t>ni-daq</t>
  </si>
  <si>
    <t>python.</t>
  </si>
  <si>
    <t>futter</t>
  </si>
  <si>
    <t>delphi</t>
  </si>
  <si>
    <t>mlflow</t>
  </si>
  <si>
    <t>ml</t>
  </si>
  <si>
    <t>dart</t>
  </si>
  <si>
    <t>flask</t>
  </si>
  <si>
    <t>shell</t>
  </si>
  <si>
    <t>kubernates</t>
  </si>
  <si>
    <t>api-</t>
  </si>
  <si>
    <t>redux/ngrx</t>
  </si>
  <si>
    <t>muelsoft</t>
  </si>
  <si>
    <t>electron</t>
  </si>
  <si>
    <t>express</t>
  </si>
  <si>
    <t>frontend</t>
  </si>
  <si>
    <t>html5</t>
  </si>
  <si>
    <t>tailwindcss</t>
  </si>
  <si>
    <t>ansible</t>
  </si>
  <si>
    <t>data</t>
  </si>
  <si>
    <t>putty</t>
  </si>
  <si>
    <t>distributed</t>
  </si>
  <si>
    <t>c#.net</t>
  </si>
  <si>
    <t>embedded</t>
  </si>
  <si>
    <t>ros</t>
  </si>
  <si>
    <t>system</t>
  </si>
  <si>
    <t>c</t>
  </si>
  <si>
    <t>svelte</t>
  </si>
  <si>
    <t>workday</t>
  </si>
  <si>
    <t>power</t>
  </si>
  <si>
    <t>hbase</t>
  </si>
  <si>
    <t>bi</t>
  </si>
  <si>
    <t>rest</t>
  </si>
  <si>
    <t>react.js</t>
  </si>
  <si>
    <t>apache</t>
  </si>
  <si>
    <t>powerbi</t>
  </si>
  <si>
    <t>ci/cd</t>
  </si>
  <si>
    <t>atlas</t>
  </si>
  <si>
    <t>rxjs</t>
  </si>
  <si>
    <t>talend</t>
  </si>
  <si>
    <t>infrastructure</t>
  </si>
  <si>
    <t>aungular</t>
  </si>
  <si>
    <t>coldfusion</t>
  </si>
  <si>
    <t>pipelines</t>
  </si>
  <si>
    <t>gcloud</t>
  </si>
  <si>
    <t>gke</t>
  </si>
  <si>
    <t>mainly</t>
  </si>
  <si>
    <t>hex</t>
  </si>
  <si>
    <t>workbench</t>
  </si>
  <si>
    <t>spring-boot</t>
  </si>
  <si>
    <t>vue.js</t>
  </si>
  <si>
    <t>office</t>
  </si>
  <si>
    <t>raspberry</t>
  </si>
  <si>
    <t>tableau</t>
  </si>
  <si>
    <t>pi</t>
  </si>
  <si>
    <t>pythonappium</t>
  </si>
  <si>
    <t>backend</t>
  </si>
  <si>
    <t>jetbrains</t>
  </si>
  <si>
    <t>alicloud</t>
  </si>
  <si>
    <t>microservice</t>
  </si>
  <si>
    <t>polardb</t>
  </si>
  <si>
    <t>hp</t>
  </si>
  <si>
    <t>multiple</t>
  </si>
  <si>
    <t>prodesk</t>
  </si>
  <si>
    <t>ionic</t>
  </si>
  <si>
    <t>services</t>
  </si>
  <si>
    <t>websocket</t>
  </si>
  <si>
    <t>holistics</t>
  </si>
  <si>
    <t>ai/ml</t>
  </si>
  <si>
    <t>pytorch.</t>
  </si>
  <si>
    <t>hadoop</t>
  </si>
  <si>
    <t>jsp</t>
  </si>
  <si>
    <t>rpa</t>
  </si>
  <si>
    <t>tool</t>
  </si>
  <si>
    <t>documentation</t>
  </si>
  <si>
    <t>net</t>
  </si>
  <si>
    <t>/express</t>
  </si>
  <si>
    <t>website</t>
  </si>
  <si>
    <t>development</t>
  </si>
  <si>
    <t>pks</t>
  </si>
  <si>
    <t>nifi</t>
  </si>
  <si>
    <t>deploybot</t>
  </si>
  <si>
    <t>salesforce</t>
  </si>
  <si>
    <t>ruby</t>
  </si>
  <si>
    <t>perl</t>
  </si>
  <si>
    <t>r</t>
  </si>
  <si>
    <t>ts</t>
  </si>
  <si>
    <t>psql</t>
  </si>
  <si>
    <t>mvvm</t>
  </si>
  <si>
    <t>j2ee</t>
  </si>
  <si>
    <t>mern</t>
  </si>
  <si>
    <t>analytic</t>
  </si>
  <si>
    <t>quill</t>
  </si>
  <si>
    <t>github.</t>
  </si>
  <si>
    <t>quintiq</t>
  </si>
  <si>
    <t>logic</t>
  </si>
  <si>
    <t>language</t>
  </si>
  <si>
    <t>spotfire</t>
  </si>
  <si>
    <t>asp</t>
  </si>
  <si>
    <t>go</t>
  </si>
  <si>
    <t>don't</t>
  </si>
  <si>
    <t>dataiku</t>
  </si>
  <si>
    <t>understand</t>
  </si>
  <si>
    <t>arm</t>
  </si>
  <si>
    <t>react-native</t>
  </si>
  <si>
    <t>setup</t>
  </si>
  <si>
    <t>on</t>
  </si>
  <si>
    <t>ar</t>
  </si>
  <si>
    <t>mob</t>
  </si>
  <si>
    <t>phone</t>
  </si>
  <si>
    <t>javascriptreact</t>
  </si>
  <si>
    <t>gatsby</t>
  </si>
  <si>
    <t>msssql</t>
  </si>
  <si>
    <t>big</t>
  </si>
  <si>
    <t>pyspark</t>
  </si>
  <si>
    <t>blockchain</t>
  </si>
  <si>
    <t>mircrosoft</t>
  </si>
  <si>
    <t>bamboo</t>
  </si>
  <si>
    <t>rescript</t>
  </si>
  <si>
    <t>weblogic</t>
  </si>
  <si>
    <t>slate</t>
  </si>
  <si>
    <t>cv</t>
  </si>
  <si>
    <t>plc</t>
  </si>
  <si>
    <t>objective</t>
  </si>
  <si>
    <t>some</t>
  </si>
  <si>
    <t>in</t>
  </si>
  <si>
    <t>house</t>
  </si>
  <si>
    <t>framework</t>
  </si>
  <si>
    <t>macos</t>
  </si>
  <si>
    <t>cordova</t>
  </si>
  <si>
    <t>run</t>
  </si>
  <si>
    <t>css-in-js</t>
  </si>
  <si>
    <t>lamp</t>
  </si>
  <si>
    <t>mevn</t>
  </si>
  <si>
    <t>reactnative</t>
  </si>
  <si>
    <t>vmware</t>
  </si>
  <si>
    <t>iphone</t>
  </si>
  <si>
    <t>stuff</t>
  </si>
  <si>
    <t>webflow</t>
  </si>
  <si>
    <t>groovy</t>
  </si>
  <si>
    <t>next</t>
  </si>
  <si>
    <t>conflence</t>
  </si>
  <si>
    <t>nuxt</t>
  </si>
  <si>
    <t>company</t>
  </si>
  <si>
    <t>lot</t>
  </si>
  <si>
    <t>application</t>
  </si>
  <si>
    <t>was</t>
  </si>
  <si>
    <t>dotnet</t>
  </si>
  <si>
    <t>cg</t>
  </si>
  <si>
    <t>redshift</t>
  </si>
  <si>
    <t>grpc</t>
  </si>
  <si>
    <t>js/typescript</t>
  </si>
  <si>
    <t>haskell</t>
  </si>
  <si>
    <t>ee</t>
  </si>
  <si>
    <t>not</t>
  </si>
  <si>
    <t>sure</t>
  </si>
  <si>
    <t>of</t>
  </si>
  <si>
    <t>question.</t>
  </si>
  <si>
    <t>hack</t>
  </si>
  <si>
    <t>pro</t>
  </si>
  <si>
    <t>fast</t>
  </si>
  <si>
    <t>jmp</t>
  </si>
  <si>
    <t>qlikview</t>
  </si>
  <si>
    <t>game</t>
  </si>
  <si>
    <t>internal</t>
  </si>
  <si>
    <t>technologies</t>
  </si>
  <si>
    <t>sqlserver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</si>
</sst>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b/>
      <color theme="1"/>
      <name val="Arial"/>
      <scheme val="minor"/>
    </font>
    <font>
      <color theme="1"/>
      <name val="Arial"/>
      <scheme val="minor"/>
    </font>
    <font>
      <u/>
      <color rgb="FF0000FF"/>
    </font>
    <font>
      <u/>
      <color rgb="FF0000FF"/>
    </font>
    <font>
      <b/>
      <i/>
      <color theme="1"/>
      <name val="Arial"/>
      <scheme val="minor"/>
    </font>
    <font>
      <sz val="12.0"/>
      <color rgb="FF0A0101"/>
      <name val="&quot;Helvetica Neue&quot;"/>
    </font>
    <font>
      <u/>
      <color rgb="FF0000FF"/>
    </font>
    <font>
      <u/>
      <color rgb="FF0000FF"/>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readingOrder="0" shrinkToFit="0" wrapText="1"/>
    </xf>
    <xf borderId="0" fillId="2" fontId="1" numFmtId="2" xfId="0" applyAlignment="1" applyFont="1" applyNumberFormat="1">
      <alignment readingOrder="0" shrinkToFit="0" wrapText="1"/>
    </xf>
    <xf borderId="0" fillId="3" fontId="1" numFmtId="0" xfId="0" applyAlignment="1" applyFill="1" applyFont="1">
      <alignment shrinkToFit="0" wrapText="1"/>
    </xf>
    <xf borderId="0" fillId="2" fontId="1" numFmtId="0" xfId="0" applyAlignment="1" applyFont="1">
      <alignment horizontal="left" shrinkToFit="0" wrapText="1"/>
    </xf>
    <xf borderId="0" fillId="0" fontId="1" numFmtId="0" xfId="0" applyAlignment="1" applyFont="1">
      <alignment shrinkToFit="0" wrapText="1"/>
    </xf>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2" xfId="0" applyAlignment="1" applyFont="1" applyNumberFormat="1">
      <alignment readingOrder="0"/>
    </xf>
    <xf borderId="0" fillId="0" fontId="2" numFmtId="4" xfId="0" applyAlignment="1" applyFont="1" applyNumberFormat="1">
      <alignment readingOrder="0"/>
    </xf>
    <xf borderId="0" fillId="0" fontId="2" numFmtId="0" xfId="0" applyAlignment="1" applyFont="1">
      <alignment horizontal="left" readingOrder="0"/>
    </xf>
    <xf borderId="0" fillId="4" fontId="2" numFmtId="0" xfId="0" applyAlignment="1" applyFill="1" applyFont="1">
      <alignment readingOrder="0"/>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2" numFmtId="2" xfId="0" applyAlignment="1" applyFont="1" applyNumberFormat="1">
      <alignment readingOrder="0" shrinkToFit="0" wrapText="1"/>
    </xf>
    <xf borderId="0" fillId="0" fontId="2" numFmtId="4" xfId="0" applyAlignment="1" applyFont="1" applyNumberFormat="1">
      <alignment readingOrder="0" shrinkToFit="0" wrapText="1"/>
    </xf>
    <xf borderId="0" fillId="0" fontId="2" numFmtId="0" xfId="0" applyAlignment="1" applyFont="1">
      <alignment horizontal="left" readingOrder="0" shrinkToFit="0" wrapText="1"/>
    </xf>
    <xf borderId="0" fillId="0" fontId="2" numFmtId="10" xfId="0" applyAlignment="1" applyFont="1" applyNumberFormat="1">
      <alignment readingOrder="0" shrinkToFit="0" wrapText="1"/>
    </xf>
    <xf borderId="0" fillId="0" fontId="2" numFmtId="9" xfId="0" applyAlignment="1" applyFont="1" applyNumberFormat="1">
      <alignment readingOrder="0"/>
    </xf>
    <xf borderId="0" fillId="0" fontId="2" numFmtId="3" xfId="0" applyAlignment="1" applyFont="1" applyNumberFormat="1">
      <alignment readingOrder="0"/>
    </xf>
    <xf quotePrefix="1"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2" numFmtId="10" xfId="0" applyAlignment="1" applyFont="1" applyNumberFormat="1">
      <alignment readingOrder="0"/>
    </xf>
    <xf borderId="0" fillId="4" fontId="2" numFmtId="0" xfId="0" applyAlignment="1" applyFont="1">
      <alignment horizontal="left" readingOrder="0"/>
    </xf>
    <xf borderId="0" fillId="4" fontId="2" numFmtId="0" xfId="0" applyAlignment="1" applyFont="1">
      <alignment horizontal="left" readingOrder="0" shrinkToFit="0" wrapText="1"/>
    </xf>
    <xf borderId="0" fillId="0" fontId="2" numFmtId="2" xfId="0" applyAlignment="1" applyFont="1" applyNumberFormat="1">
      <alignment shrinkToFit="0" wrapText="1"/>
    </xf>
    <xf borderId="0" fillId="0" fontId="2" numFmtId="0" xfId="0" applyAlignment="1" applyFont="1">
      <alignment horizontal="left" shrinkToFit="0" wrapText="1"/>
    </xf>
    <xf borderId="0" fillId="0" fontId="2" numFmtId="2" xfId="0" applyFont="1" applyNumberFormat="1"/>
    <xf borderId="0" fillId="0" fontId="2" numFmtId="0" xfId="0" applyAlignment="1" applyFont="1">
      <alignment horizontal="left"/>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2" fillId="0" fontId="2" numFmtId="0" xfId="0" applyBorder="1" applyFont="1"/>
    <xf borderId="3" fillId="0" fontId="2" numFmtId="0" xfId="0" applyBorder="1" applyFont="1"/>
    <xf borderId="1" fillId="0" fontId="5" numFmtId="0" xfId="0" applyAlignment="1" applyBorder="1" applyFont="1">
      <alignment readingOrder="0"/>
    </xf>
    <xf borderId="4" fillId="0" fontId="2" numFmtId="0" xfId="0" applyBorder="1" applyFont="1"/>
    <xf borderId="0" fillId="0" fontId="2" numFmtId="0" xfId="0" applyFont="1"/>
    <xf borderId="5" fillId="0" fontId="2" numFmtId="0" xfId="0" applyBorder="1" applyFont="1"/>
    <xf borderId="0" fillId="0" fontId="5" numFmtId="0" xfId="0" applyAlignment="1" applyFont="1">
      <alignment readingOrder="0"/>
    </xf>
    <xf borderId="5" fillId="5" fontId="6" numFmtId="0" xfId="0" applyBorder="1" applyFill="1" applyFont="1"/>
    <xf borderId="0" fillId="0" fontId="7" numFmtId="0" xfId="0" applyFont="1"/>
    <xf borderId="5" fillId="0" fontId="8" numFmtId="0" xfId="0" applyBorder="1" applyFont="1"/>
    <xf borderId="6" fillId="0" fontId="2" numFmtId="0" xfId="0" applyBorder="1" applyFont="1"/>
    <xf borderId="7" fillId="0" fontId="2" numFmtId="0" xfId="0" applyBorder="1" applyFont="1"/>
    <xf borderId="8" fillId="0" fontId="2" numFmtId="0" xfId="0" applyBorder="1" applyFon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5" Type="http://schemas.openxmlformats.org/officeDocument/2006/relationships/hyperlink" Target="http://talentcloud.ai" TargetMode="External"/><Relationship Id="rId6" Type="http://schemas.openxmlformats.org/officeDocument/2006/relationships/hyperlink" Target="http://deriv.com" TargetMode="External"/><Relationship Id="rId7" Type="http://schemas.openxmlformats.org/officeDocument/2006/relationships/hyperlink" Target="http://asp.ne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alentcloud.ai" TargetMode="External"/><Relationship Id="rId2" Type="http://schemas.openxmlformats.org/officeDocument/2006/relationships/hyperlink" Target="http://deriv.com" TargetMode="External"/><Relationship Id="rId3" Type="http://schemas.openxmlformats.org/officeDocument/2006/relationships/hyperlink" Target="http://asp.net" TargetMode="External"/><Relationship Id="rId4" Type="http://schemas.openxmlformats.org/officeDocument/2006/relationships/hyperlink" Target="http://bjak.com" TargetMode="External"/><Relationship Id="rId9" Type="http://schemas.openxmlformats.org/officeDocument/2006/relationships/drawing" Target="../drawings/drawing3.xml"/><Relationship Id="rId5" Type="http://schemas.openxmlformats.org/officeDocument/2006/relationships/hyperlink" Target="http://asp.net" TargetMode="External"/><Relationship Id="rId6" Type="http://schemas.openxmlformats.org/officeDocument/2006/relationships/hyperlink" Target="http://asp.net" TargetMode="External"/><Relationship Id="rId7" Type="http://schemas.openxmlformats.org/officeDocument/2006/relationships/hyperlink" Target="http://asp.net" TargetMode="External"/><Relationship Id="rId8" Type="http://schemas.openxmlformats.org/officeDocument/2006/relationships/hyperlink" Target="http://asp.net/devexpres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asp.net" TargetMode="External"/><Relationship Id="rId10" Type="http://schemas.openxmlformats.org/officeDocument/2006/relationships/hyperlink" Target="http://asp.net" TargetMode="External"/><Relationship Id="rId13" Type="http://schemas.openxmlformats.org/officeDocument/2006/relationships/hyperlink" Target="http://asp.net" TargetMode="External"/><Relationship Id="rId12" Type="http://schemas.openxmlformats.org/officeDocument/2006/relationships/hyperlink" Target="http://asp.net" TargetMode="External"/><Relationship Id="rId1" Type="http://schemas.openxmlformats.org/officeDocument/2006/relationships/hyperlink" Target="http://arize.ai" TargetMode="External"/><Relationship Id="rId2" Type="http://schemas.openxmlformats.org/officeDocument/2006/relationships/hyperlink" Target="http://asp.net" TargetMode="External"/><Relationship Id="rId3" Type="http://schemas.openxmlformats.org/officeDocument/2006/relationships/hyperlink" Target="http://asp.net" TargetMode="External"/><Relationship Id="rId4" Type="http://schemas.openxmlformats.org/officeDocument/2006/relationships/hyperlink" Target="http://asp.net" TargetMode="External"/><Relationship Id="rId9" Type="http://schemas.openxmlformats.org/officeDocument/2006/relationships/hyperlink" Target="http://asp.net" TargetMode="External"/><Relationship Id="rId15" Type="http://schemas.openxmlformats.org/officeDocument/2006/relationships/hyperlink" Target="http://asp.net" TargetMode="External"/><Relationship Id="rId14" Type="http://schemas.openxmlformats.org/officeDocument/2006/relationships/hyperlink" Target="http://vb.net" TargetMode="External"/><Relationship Id="rId17" Type="http://schemas.openxmlformats.org/officeDocument/2006/relationships/hyperlink" Target="http://asp.net" TargetMode="External"/><Relationship Id="rId16" Type="http://schemas.openxmlformats.org/officeDocument/2006/relationships/hyperlink" Target="http://asp.net" TargetMode="External"/><Relationship Id="rId5" Type="http://schemas.openxmlformats.org/officeDocument/2006/relationships/hyperlink" Target="http://asp.net" TargetMode="External"/><Relationship Id="rId19" Type="http://schemas.openxmlformats.org/officeDocument/2006/relationships/drawing" Target="../drawings/drawing4.xml"/><Relationship Id="rId6" Type="http://schemas.openxmlformats.org/officeDocument/2006/relationships/hyperlink" Target="http://asp.net" TargetMode="External"/><Relationship Id="rId18" Type="http://schemas.openxmlformats.org/officeDocument/2006/relationships/hyperlink" Target="http://asp.net/devexpress" TargetMode="External"/><Relationship Id="rId7" Type="http://schemas.openxmlformats.org/officeDocument/2006/relationships/hyperlink" Target="http://asp.net" TargetMode="External"/><Relationship Id="rId8" Type="http://schemas.openxmlformats.org/officeDocument/2006/relationships/hyperlink" Target="http://asp.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3" width="14.38"/>
    <col customWidth="1" min="4" max="4" width="9.25"/>
    <col customWidth="1" hidden="1" min="5" max="5" width="8.75"/>
    <col customWidth="1" min="6" max="6" width="29.88"/>
    <col customWidth="1" min="7" max="7" width="24.88"/>
    <col customWidth="1" min="8" max="8" width="25.38"/>
    <col customWidth="1" min="9" max="9" width="45.75"/>
    <col customWidth="1" min="10" max="10" width="60.75"/>
    <col customWidth="1" min="11" max="11" width="52.75"/>
    <col customWidth="1" min="12" max="12" width="38.0"/>
    <col customWidth="1" min="13" max="13" width="22.88"/>
    <col customWidth="1" min="14" max="14" width="25.63"/>
    <col customWidth="1" min="15" max="15" width="60.5"/>
    <col customWidth="1" min="16" max="16" width="20.88"/>
    <col customWidth="1" min="17" max="17" width="53.88"/>
    <col customWidth="1" min="18" max="18" width="23.0"/>
    <col customWidth="1" min="19" max="19" width="19.88"/>
    <col customWidth="1" min="20" max="20" width="27.0"/>
    <col customWidth="1" min="21" max="21" width="18.0"/>
    <col customWidth="1" min="22" max="22" width="10.5"/>
    <col customWidth="1" min="23" max="23" width="112.38"/>
    <col customWidth="1" min="24" max="24" width="34.38"/>
    <col customWidth="1" min="25" max="25" width="14.25"/>
    <col customWidth="1" min="26" max="26" width="24.5"/>
    <col customWidth="1" min="27" max="27" width="15.88"/>
    <col customWidth="1" min="28" max="28" width="12.88"/>
    <col customWidth="1" min="29" max="29" width="18.75"/>
    <col customWidth="1" min="30" max="30" width="14.38"/>
    <col customWidth="1" min="31" max="31" width="13.25"/>
    <col customWidth="1" min="32" max="32" width="18.63"/>
    <col customWidth="1" min="33" max="33" width="22.75"/>
    <col customWidth="1" min="34" max="40" width="18.88"/>
  </cols>
  <sheetData>
    <row r="1" ht="78.0" customHeight="1">
      <c r="A1" s="1" t="s">
        <v>0</v>
      </c>
      <c r="B1" s="2" t="s">
        <v>1</v>
      </c>
      <c r="C1" s="1" t="s">
        <v>2</v>
      </c>
      <c r="D1" s="1" t="s">
        <v>3</v>
      </c>
      <c r="E1" s="1" t="s">
        <v>4</v>
      </c>
      <c r="F1" s="1" t="s">
        <v>5</v>
      </c>
      <c r="G1" s="1" t="s">
        <v>6</v>
      </c>
      <c r="H1" s="1" t="s">
        <v>7</v>
      </c>
      <c r="I1" s="1" t="s">
        <v>8</v>
      </c>
      <c r="J1" s="2" t="s">
        <v>9</v>
      </c>
      <c r="K1" s="1" t="s">
        <v>10</v>
      </c>
      <c r="L1" s="2" t="s">
        <v>11</v>
      </c>
      <c r="M1" s="1" t="s">
        <v>12</v>
      </c>
      <c r="N1" s="1" t="s">
        <v>13</v>
      </c>
      <c r="O1" s="1" t="s">
        <v>14</v>
      </c>
      <c r="P1" s="1" t="s">
        <v>15</v>
      </c>
      <c r="Q1" s="1" t="s">
        <v>16</v>
      </c>
      <c r="R1" s="1" t="s">
        <v>17</v>
      </c>
      <c r="S1" s="3" t="s">
        <v>18</v>
      </c>
      <c r="T1" s="1" t="s">
        <v>19</v>
      </c>
      <c r="U1" s="4" t="s">
        <v>20</v>
      </c>
      <c r="V1" s="1" t="s">
        <v>21</v>
      </c>
      <c r="W1" s="1" t="s">
        <v>22</v>
      </c>
      <c r="X1" s="4" t="s">
        <v>23</v>
      </c>
      <c r="Y1" s="4" t="s">
        <v>24</v>
      </c>
      <c r="Z1" s="4" t="s">
        <v>25</v>
      </c>
      <c r="AA1" s="4" t="s">
        <v>26</v>
      </c>
      <c r="AB1" s="4" t="s">
        <v>27</v>
      </c>
      <c r="AC1" s="4" t="s">
        <v>28</v>
      </c>
      <c r="AD1" s="4" t="s">
        <v>29</v>
      </c>
      <c r="AE1" s="4" t="s">
        <v>30</v>
      </c>
      <c r="AF1" s="4" t="s">
        <v>31</v>
      </c>
      <c r="AG1" s="5" t="s">
        <v>32</v>
      </c>
      <c r="AH1" s="2" t="s">
        <v>33</v>
      </c>
      <c r="AI1" s="6"/>
      <c r="AJ1" s="6"/>
      <c r="AK1" s="6"/>
      <c r="AL1" s="6"/>
      <c r="AM1" s="6"/>
      <c r="AN1" s="6"/>
    </row>
    <row r="2">
      <c r="A2" s="7">
        <v>44424.552382037036</v>
      </c>
      <c r="B2" s="8">
        <f t="shared" ref="B2:B722" si="1">YEAR(A2)</f>
        <v>2021</v>
      </c>
      <c r="C2" s="9" t="s">
        <v>34</v>
      </c>
      <c r="D2" s="9">
        <v>23.0</v>
      </c>
      <c r="E2" s="9" t="s">
        <v>35</v>
      </c>
      <c r="F2" s="9" t="s">
        <v>36</v>
      </c>
      <c r="G2" s="9" t="s">
        <v>37</v>
      </c>
      <c r="H2" s="8" t="s">
        <v>37</v>
      </c>
      <c r="I2" s="9" t="s">
        <v>38</v>
      </c>
      <c r="L2" s="9" t="s">
        <v>39</v>
      </c>
      <c r="M2" s="9" t="s">
        <v>40</v>
      </c>
      <c r="N2" s="9" t="s">
        <v>40</v>
      </c>
      <c r="Q2" s="9" t="s">
        <v>41</v>
      </c>
      <c r="R2" s="9" t="s">
        <v>42</v>
      </c>
      <c r="S2" s="10">
        <v>2200.0</v>
      </c>
      <c r="T2" s="11" t="s">
        <v>37</v>
      </c>
      <c r="V2" s="9">
        <v>8.0</v>
      </c>
      <c r="W2" s="9" t="s">
        <v>43</v>
      </c>
      <c r="X2" s="9" t="s">
        <v>44</v>
      </c>
      <c r="Y2" s="9" t="s">
        <v>45</v>
      </c>
      <c r="Z2" s="9" t="s">
        <v>46</v>
      </c>
      <c r="AA2" s="9" t="s">
        <v>47</v>
      </c>
      <c r="AB2" s="9" t="s">
        <v>48</v>
      </c>
      <c r="AD2" s="9">
        <v>10.0</v>
      </c>
      <c r="AE2" s="9">
        <v>0.0</v>
      </c>
      <c r="AF2" s="9">
        <v>0.0</v>
      </c>
      <c r="AG2" s="12" t="s">
        <v>37</v>
      </c>
      <c r="AH2" s="9" t="s">
        <v>42</v>
      </c>
    </row>
    <row r="3">
      <c r="A3" s="7">
        <v>44404.45826677083</v>
      </c>
      <c r="B3" s="8">
        <f t="shared" si="1"/>
        <v>2021</v>
      </c>
      <c r="C3" s="9" t="s">
        <v>49</v>
      </c>
      <c r="D3" s="9">
        <v>32.0</v>
      </c>
      <c r="E3" s="9" t="s">
        <v>35</v>
      </c>
      <c r="F3" s="9" t="s">
        <v>36</v>
      </c>
      <c r="G3" s="8" t="s">
        <v>50</v>
      </c>
      <c r="H3" s="8" t="s">
        <v>51</v>
      </c>
      <c r="I3" s="9" t="s">
        <v>38</v>
      </c>
      <c r="J3" s="9" t="s">
        <v>52</v>
      </c>
      <c r="K3" s="9" t="s">
        <v>53</v>
      </c>
      <c r="L3" s="9" t="s">
        <v>39</v>
      </c>
      <c r="M3" s="9" t="s">
        <v>40</v>
      </c>
      <c r="N3" s="9" t="s">
        <v>40</v>
      </c>
      <c r="Q3" s="9" t="s">
        <v>54</v>
      </c>
      <c r="R3" s="9" t="s">
        <v>55</v>
      </c>
      <c r="S3" s="10">
        <v>1.0</v>
      </c>
      <c r="T3" s="11">
        <v>0.0</v>
      </c>
      <c r="U3" s="9">
        <v>0.0</v>
      </c>
      <c r="V3" s="9">
        <v>25.0</v>
      </c>
      <c r="W3" s="9" t="s">
        <v>56</v>
      </c>
      <c r="X3" s="9" t="s">
        <v>57</v>
      </c>
      <c r="Y3" s="9" t="s">
        <v>58</v>
      </c>
      <c r="Z3" s="9" t="s">
        <v>59</v>
      </c>
      <c r="AA3" s="9" t="s">
        <v>60</v>
      </c>
      <c r="AB3" s="9" t="s">
        <v>61</v>
      </c>
      <c r="AD3" s="9">
        <v>1.0</v>
      </c>
      <c r="AE3" s="9">
        <v>6.0</v>
      </c>
      <c r="AF3" s="9">
        <v>1.0</v>
      </c>
      <c r="AG3" s="12" t="s">
        <v>37</v>
      </c>
      <c r="AH3" s="13"/>
    </row>
    <row r="4">
      <c r="A4" s="7">
        <v>44408.63608070602</v>
      </c>
      <c r="B4" s="8">
        <f t="shared" si="1"/>
        <v>2021</v>
      </c>
      <c r="C4" s="9" t="s">
        <v>49</v>
      </c>
      <c r="D4" s="9">
        <v>22.0</v>
      </c>
      <c r="E4" s="9" t="s">
        <v>62</v>
      </c>
      <c r="F4" s="9" t="s">
        <v>36</v>
      </c>
      <c r="G4" s="8" t="s">
        <v>63</v>
      </c>
      <c r="H4" s="9" t="s">
        <v>64</v>
      </c>
      <c r="I4" s="9" t="s">
        <v>38</v>
      </c>
      <c r="J4" s="9" t="s">
        <v>65</v>
      </c>
      <c r="K4" s="9" t="s">
        <v>66</v>
      </c>
      <c r="L4" s="9" t="s">
        <v>39</v>
      </c>
      <c r="M4" s="9" t="s">
        <v>40</v>
      </c>
      <c r="N4" s="9" t="s">
        <v>40</v>
      </c>
      <c r="Q4" s="9" t="s">
        <v>41</v>
      </c>
      <c r="R4" s="9" t="s">
        <v>42</v>
      </c>
      <c r="S4" s="10">
        <v>3400.0</v>
      </c>
      <c r="T4" s="11" t="s">
        <v>37</v>
      </c>
      <c r="V4" s="9">
        <v>15.0</v>
      </c>
      <c r="W4" s="9" t="s">
        <v>67</v>
      </c>
      <c r="X4" s="9" t="s">
        <v>68</v>
      </c>
      <c r="Y4" s="9" t="s">
        <v>69</v>
      </c>
      <c r="Z4" s="9" t="s">
        <v>70</v>
      </c>
      <c r="AA4" s="9" t="s">
        <v>71</v>
      </c>
      <c r="AB4" s="9" t="s">
        <v>61</v>
      </c>
      <c r="AD4" s="9">
        <v>5.0</v>
      </c>
      <c r="AE4" s="9">
        <v>1.5</v>
      </c>
      <c r="AF4" s="9" t="s">
        <v>72</v>
      </c>
      <c r="AG4" s="12" t="s">
        <v>37</v>
      </c>
      <c r="AH4" s="9" t="s">
        <v>42</v>
      </c>
    </row>
    <row r="5">
      <c r="A5" s="7">
        <v>44409.07586563657</v>
      </c>
      <c r="B5" s="8">
        <f t="shared" si="1"/>
        <v>2021</v>
      </c>
      <c r="C5" s="9" t="s">
        <v>73</v>
      </c>
      <c r="D5" s="9">
        <v>22.0</v>
      </c>
      <c r="E5" s="9" t="s">
        <v>35</v>
      </c>
      <c r="F5" s="9" t="s">
        <v>36</v>
      </c>
      <c r="G5" s="8" t="s">
        <v>74</v>
      </c>
      <c r="H5" s="8" t="s">
        <v>37</v>
      </c>
      <c r="I5" s="9" t="s">
        <v>38</v>
      </c>
      <c r="J5" s="9" t="s">
        <v>75</v>
      </c>
      <c r="L5" s="9" t="s">
        <v>39</v>
      </c>
      <c r="M5" s="9" t="s">
        <v>40</v>
      </c>
      <c r="N5" s="9" t="s">
        <v>40</v>
      </c>
      <c r="Q5" s="9" t="s">
        <v>76</v>
      </c>
      <c r="R5" s="9" t="s">
        <v>42</v>
      </c>
      <c r="S5" s="10">
        <v>3300.0</v>
      </c>
      <c r="T5" s="11" t="s">
        <v>37</v>
      </c>
      <c r="V5" s="9">
        <v>11.0</v>
      </c>
      <c r="W5" s="9" t="s">
        <v>77</v>
      </c>
      <c r="X5" s="9" t="s">
        <v>78</v>
      </c>
      <c r="Y5" s="9" t="s">
        <v>79</v>
      </c>
      <c r="Z5" s="9" t="s">
        <v>80</v>
      </c>
      <c r="AA5" s="9" t="s">
        <v>81</v>
      </c>
      <c r="AB5" s="9" t="s">
        <v>61</v>
      </c>
      <c r="AD5" s="9">
        <v>8.0</v>
      </c>
      <c r="AE5" s="9">
        <v>0.0</v>
      </c>
      <c r="AF5" s="9">
        <v>0.0</v>
      </c>
      <c r="AG5" s="12" t="s">
        <v>37</v>
      </c>
      <c r="AH5" s="9" t="s">
        <v>42</v>
      </c>
    </row>
    <row r="6">
      <c r="A6" s="7">
        <v>44614.42094177083</v>
      </c>
      <c r="B6" s="8">
        <f t="shared" si="1"/>
        <v>2022</v>
      </c>
      <c r="C6" s="9" t="s">
        <v>49</v>
      </c>
      <c r="D6" s="9">
        <v>24.0</v>
      </c>
      <c r="E6" s="9" t="s">
        <v>35</v>
      </c>
      <c r="F6" s="9" t="s">
        <v>36</v>
      </c>
      <c r="G6" s="8" t="s">
        <v>50</v>
      </c>
      <c r="H6" s="9" t="s">
        <v>82</v>
      </c>
      <c r="I6" s="9" t="s">
        <v>38</v>
      </c>
      <c r="J6" s="9" t="s">
        <v>83</v>
      </c>
      <c r="K6" s="9" t="s">
        <v>84</v>
      </c>
      <c r="L6" s="9" t="s">
        <v>39</v>
      </c>
      <c r="M6" s="9" t="s">
        <v>40</v>
      </c>
      <c r="N6" s="9" t="s">
        <v>40</v>
      </c>
      <c r="Q6" s="9" t="s">
        <v>85</v>
      </c>
      <c r="R6" s="9" t="s">
        <v>42</v>
      </c>
      <c r="S6" s="10">
        <v>3200.0</v>
      </c>
      <c r="T6" s="11">
        <v>0.0</v>
      </c>
      <c r="U6" s="9">
        <v>0.0</v>
      </c>
      <c r="V6" s="9">
        <v>16.0</v>
      </c>
      <c r="W6" s="9" t="s">
        <v>86</v>
      </c>
      <c r="X6" s="9" t="s">
        <v>87</v>
      </c>
      <c r="Y6" s="9" t="s">
        <v>88</v>
      </c>
      <c r="Z6" s="9" t="s">
        <v>89</v>
      </c>
      <c r="AA6" s="9" t="s">
        <v>90</v>
      </c>
      <c r="AB6" s="9" t="s">
        <v>91</v>
      </c>
      <c r="AC6" s="9" t="s">
        <v>92</v>
      </c>
      <c r="AD6" s="9">
        <v>5.0</v>
      </c>
      <c r="AE6" s="9">
        <v>1.0</v>
      </c>
      <c r="AF6" s="9">
        <v>0.0</v>
      </c>
      <c r="AG6" s="12" t="s">
        <v>37</v>
      </c>
      <c r="AH6" s="13"/>
    </row>
    <row r="7">
      <c r="A7" s="7">
        <v>44403.98103674769</v>
      </c>
      <c r="B7" s="8">
        <f t="shared" si="1"/>
        <v>2021</v>
      </c>
      <c r="C7" s="9" t="s">
        <v>49</v>
      </c>
      <c r="D7" s="9">
        <v>20.0</v>
      </c>
      <c r="E7" s="9" t="s">
        <v>35</v>
      </c>
      <c r="F7" s="9" t="s">
        <v>36</v>
      </c>
      <c r="G7" s="8" t="s">
        <v>50</v>
      </c>
      <c r="H7" s="8" t="s">
        <v>37</v>
      </c>
      <c r="I7" s="9" t="s">
        <v>93</v>
      </c>
      <c r="L7" s="9" t="s">
        <v>39</v>
      </c>
      <c r="M7" s="9" t="s">
        <v>39</v>
      </c>
      <c r="N7" s="9" t="s">
        <v>39</v>
      </c>
      <c r="O7" s="9" t="s">
        <v>94</v>
      </c>
      <c r="Q7" s="9" t="s">
        <v>95</v>
      </c>
      <c r="R7" s="9" t="s">
        <v>42</v>
      </c>
      <c r="S7" s="10">
        <v>1.0</v>
      </c>
      <c r="T7" s="11" t="s">
        <v>37</v>
      </c>
      <c r="V7" s="9">
        <v>0.0</v>
      </c>
      <c r="W7" s="9" t="s">
        <v>96</v>
      </c>
      <c r="X7" s="9" t="s">
        <v>72</v>
      </c>
      <c r="Y7" s="9" t="s">
        <v>58</v>
      </c>
      <c r="Z7" s="9" t="s">
        <v>97</v>
      </c>
      <c r="AA7" s="9" t="s">
        <v>98</v>
      </c>
      <c r="AB7" s="9" t="s">
        <v>48</v>
      </c>
      <c r="AD7" s="9">
        <v>10.0</v>
      </c>
      <c r="AE7" s="9">
        <v>1.0</v>
      </c>
      <c r="AF7" s="9">
        <v>1.0</v>
      </c>
      <c r="AG7" s="12" t="s">
        <v>37</v>
      </c>
      <c r="AH7" s="13"/>
    </row>
    <row r="8">
      <c r="A8" s="7">
        <v>44403.99346354167</v>
      </c>
      <c r="B8" s="8">
        <f t="shared" si="1"/>
        <v>2021</v>
      </c>
      <c r="C8" s="9" t="s">
        <v>49</v>
      </c>
      <c r="D8" s="9">
        <v>28.0</v>
      </c>
      <c r="E8" s="9" t="s">
        <v>35</v>
      </c>
      <c r="F8" s="9" t="s">
        <v>36</v>
      </c>
      <c r="G8" s="8" t="s">
        <v>50</v>
      </c>
      <c r="H8" s="9" t="s">
        <v>99</v>
      </c>
      <c r="I8" s="9" t="s">
        <v>38</v>
      </c>
      <c r="J8" s="9" t="s">
        <v>75</v>
      </c>
      <c r="K8" s="9" t="s">
        <v>100</v>
      </c>
      <c r="L8" s="9" t="s">
        <v>39</v>
      </c>
      <c r="M8" s="9" t="s">
        <v>40</v>
      </c>
      <c r="N8" s="9" t="s">
        <v>40</v>
      </c>
      <c r="Q8" s="9" t="s">
        <v>101</v>
      </c>
      <c r="R8" s="9" t="s">
        <v>42</v>
      </c>
      <c r="S8" s="10">
        <v>4300.0</v>
      </c>
      <c r="T8" s="11">
        <v>2150.0</v>
      </c>
      <c r="V8" s="9">
        <v>14.0</v>
      </c>
      <c r="W8" s="9" t="s">
        <v>102</v>
      </c>
      <c r="X8" s="9" t="s">
        <v>103</v>
      </c>
      <c r="Y8" s="9" t="s">
        <v>104</v>
      </c>
      <c r="Z8" s="9" t="s">
        <v>105</v>
      </c>
      <c r="AA8" s="9" t="s">
        <v>47</v>
      </c>
      <c r="AB8" s="9" t="s">
        <v>61</v>
      </c>
      <c r="AD8" s="9">
        <v>8.0</v>
      </c>
      <c r="AE8" s="9">
        <v>1.5</v>
      </c>
      <c r="AF8" s="9">
        <v>4.0</v>
      </c>
      <c r="AG8" s="12" t="s">
        <v>37</v>
      </c>
      <c r="AH8" s="13"/>
    </row>
    <row r="9">
      <c r="A9" s="7">
        <v>44582.45067640046</v>
      </c>
      <c r="B9" s="8">
        <f t="shared" si="1"/>
        <v>2022</v>
      </c>
      <c r="C9" s="9" t="s">
        <v>73</v>
      </c>
      <c r="D9" s="9">
        <v>38.0</v>
      </c>
      <c r="E9" s="9" t="s">
        <v>35</v>
      </c>
      <c r="F9" s="9" t="s">
        <v>36</v>
      </c>
      <c r="G9" s="8" t="s">
        <v>50</v>
      </c>
      <c r="H9" s="9" t="s">
        <v>106</v>
      </c>
      <c r="I9" s="9" t="s">
        <v>107</v>
      </c>
      <c r="J9" s="9" t="s">
        <v>108</v>
      </c>
      <c r="K9" s="9" t="s">
        <v>109</v>
      </c>
      <c r="L9" s="9" t="s">
        <v>40</v>
      </c>
      <c r="M9" s="9" t="s">
        <v>39</v>
      </c>
      <c r="N9" s="9" t="s">
        <v>40</v>
      </c>
      <c r="O9" s="9" t="s">
        <v>110</v>
      </c>
      <c r="Q9" s="9" t="s">
        <v>111</v>
      </c>
      <c r="R9" s="9" t="s">
        <v>112</v>
      </c>
      <c r="S9" s="10">
        <v>800.0</v>
      </c>
      <c r="T9" s="11" t="s">
        <v>37</v>
      </c>
      <c r="U9" s="9" t="s">
        <v>113</v>
      </c>
      <c r="V9" s="9">
        <v>0.0</v>
      </c>
      <c r="W9" s="9" t="s">
        <v>67</v>
      </c>
      <c r="X9" s="9" t="s">
        <v>114</v>
      </c>
      <c r="Y9" s="9" t="s">
        <v>115</v>
      </c>
      <c r="Z9" s="9" t="s">
        <v>116</v>
      </c>
      <c r="AA9" s="9" t="s">
        <v>47</v>
      </c>
      <c r="AB9" s="9" t="s">
        <v>61</v>
      </c>
      <c r="AD9" s="9">
        <v>6.0</v>
      </c>
      <c r="AE9" s="9">
        <v>1.5</v>
      </c>
      <c r="AF9" s="9">
        <v>1.0</v>
      </c>
      <c r="AG9" s="12" t="s">
        <v>37</v>
      </c>
      <c r="AH9" s="13"/>
    </row>
    <row r="10">
      <c r="A10" s="7">
        <v>44431.82342457176</v>
      </c>
      <c r="B10" s="8">
        <f t="shared" si="1"/>
        <v>2021</v>
      </c>
      <c r="C10" s="9" t="s">
        <v>49</v>
      </c>
      <c r="D10" s="9">
        <v>31.0</v>
      </c>
      <c r="E10" s="9" t="s">
        <v>35</v>
      </c>
      <c r="F10" s="9" t="s">
        <v>36</v>
      </c>
      <c r="G10" s="8" t="s">
        <v>50</v>
      </c>
      <c r="H10" s="9" t="s">
        <v>117</v>
      </c>
      <c r="I10" s="9" t="s">
        <v>118</v>
      </c>
      <c r="L10" s="9" t="s">
        <v>40</v>
      </c>
      <c r="M10" s="9" t="s">
        <v>40</v>
      </c>
      <c r="N10" s="9" t="s">
        <v>40</v>
      </c>
      <c r="Q10" s="9" t="s">
        <v>119</v>
      </c>
      <c r="R10" s="9" t="s">
        <v>42</v>
      </c>
      <c r="S10" s="10">
        <v>11500.0</v>
      </c>
      <c r="T10" s="11">
        <v>11500.0</v>
      </c>
      <c r="U10" s="9">
        <v>0.0</v>
      </c>
      <c r="V10" s="9">
        <v>365.0</v>
      </c>
      <c r="W10" s="9" t="s">
        <v>120</v>
      </c>
      <c r="X10" s="9" t="s">
        <v>121</v>
      </c>
      <c r="Y10" s="9" t="s">
        <v>122</v>
      </c>
      <c r="Z10" s="9" t="s">
        <v>123</v>
      </c>
      <c r="AA10" s="9" t="s">
        <v>71</v>
      </c>
      <c r="AB10" s="9" t="s">
        <v>61</v>
      </c>
      <c r="AD10" s="9">
        <v>10.0</v>
      </c>
      <c r="AE10" s="9">
        <v>10.0</v>
      </c>
      <c r="AF10" s="9">
        <v>5.0</v>
      </c>
      <c r="AG10" s="12">
        <v>400.0</v>
      </c>
      <c r="AH10" s="13"/>
    </row>
    <row r="11">
      <c r="A11" s="7">
        <v>44626.970523703705</v>
      </c>
      <c r="B11" s="8">
        <f t="shared" si="1"/>
        <v>2022</v>
      </c>
      <c r="C11" s="9" t="s">
        <v>49</v>
      </c>
      <c r="D11" s="9">
        <v>33.0</v>
      </c>
      <c r="E11" s="9" t="s">
        <v>35</v>
      </c>
      <c r="F11" s="9" t="s">
        <v>36</v>
      </c>
      <c r="G11" s="8" t="s">
        <v>124</v>
      </c>
      <c r="H11" s="9" t="s">
        <v>125</v>
      </c>
      <c r="I11" s="9" t="s">
        <v>38</v>
      </c>
      <c r="J11" s="9" t="s">
        <v>126</v>
      </c>
      <c r="K11" s="9" t="s">
        <v>127</v>
      </c>
      <c r="L11" s="9" t="s">
        <v>39</v>
      </c>
      <c r="M11" s="9" t="s">
        <v>40</v>
      </c>
      <c r="N11" s="9" t="s">
        <v>40</v>
      </c>
      <c r="Q11" s="9" t="s">
        <v>128</v>
      </c>
      <c r="R11" s="9" t="s">
        <v>42</v>
      </c>
      <c r="S11" s="10">
        <v>10167.0</v>
      </c>
      <c r="T11" s="11">
        <v>0.0</v>
      </c>
      <c r="U11" s="9">
        <v>0.0</v>
      </c>
      <c r="V11" s="9">
        <v>15.0</v>
      </c>
      <c r="W11" s="9" t="s">
        <v>129</v>
      </c>
      <c r="X11" s="9" t="s">
        <v>130</v>
      </c>
      <c r="Y11" s="9" t="s">
        <v>131</v>
      </c>
      <c r="Z11" s="9" t="s">
        <v>59</v>
      </c>
      <c r="AA11" s="9" t="s">
        <v>132</v>
      </c>
      <c r="AB11" s="9" t="s">
        <v>133</v>
      </c>
      <c r="AD11" s="9">
        <v>7.0</v>
      </c>
      <c r="AE11" s="9">
        <v>10.0</v>
      </c>
      <c r="AF11" s="9">
        <v>1.0</v>
      </c>
      <c r="AG11" s="12">
        <v>500.0</v>
      </c>
      <c r="AH11" s="13"/>
    </row>
    <row r="12">
      <c r="A12" s="7">
        <v>44404.64903289352</v>
      </c>
      <c r="B12" s="8">
        <f t="shared" si="1"/>
        <v>2021</v>
      </c>
      <c r="C12" s="9" t="s">
        <v>49</v>
      </c>
      <c r="D12" s="9">
        <v>29.0</v>
      </c>
      <c r="E12" s="9" t="s">
        <v>35</v>
      </c>
      <c r="F12" s="9" t="s">
        <v>36</v>
      </c>
      <c r="G12" s="8" t="s">
        <v>50</v>
      </c>
      <c r="H12" s="9" t="s">
        <v>106</v>
      </c>
      <c r="I12" s="9" t="s">
        <v>38</v>
      </c>
      <c r="J12" s="9" t="s">
        <v>75</v>
      </c>
      <c r="K12" s="9" t="s">
        <v>134</v>
      </c>
      <c r="L12" s="9" t="s">
        <v>39</v>
      </c>
      <c r="M12" s="9" t="s">
        <v>40</v>
      </c>
      <c r="N12" s="9" t="s">
        <v>39</v>
      </c>
      <c r="P12" s="9" t="s">
        <v>135</v>
      </c>
      <c r="Q12" s="9" t="s">
        <v>136</v>
      </c>
      <c r="R12" s="9" t="s">
        <v>42</v>
      </c>
      <c r="S12" s="10">
        <v>7000.0</v>
      </c>
      <c r="T12" s="11">
        <v>7000.0</v>
      </c>
      <c r="U12" s="9">
        <v>0.0</v>
      </c>
      <c r="V12" s="9">
        <v>12.0</v>
      </c>
      <c r="W12" s="9" t="s">
        <v>137</v>
      </c>
      <c r="X12" s="9" t="s">
        <v>138</v>
      </c>
      <c r="Y12" s="9" t="s">
        <v>139</v>
      </c>
      <c r="Z12" s="9" t="s">
        <v>140</v>
      </c>
      <c r="AA12" s="9" t="s">
        <v>60</v>
      </c>
      <c r="AB12" s="9" t="s">
        <v>91</v>
      </c>
      <c r="AC12" s="9" t="s">
        <v>141</v>
      </c>
      <c r="AD12" s="9">
        <v>7.0</v>
      </c>
      <c r="AE12" s="9">
        <v>5.0</v>
      </c>
      <c r="AF12" s="9">
        <v>5.0</v>
      </c>
      <c r="AG12" s="12">
        <v>600.0</v>
      </c>
      <c r="AH12" s="13"/>
    </row>
    <row r="13">
      <c r="A13" s="14">
        <v>44403.868198020835</v>
      </c>
      <c r="B13" s="8">
        <f t="shared" si="1"/>
        <v>2021</v>
      </c>
      <c r="C13" s="8" t="s">
        <v>73</v>
      </c>
      <c r="D13" s="8">
        <v>36.0</v>
      </c>
      <c r="E13" s="8" t="s">
        <v>142</v>
      </c>
      <c r="F13" s="8" t="s">
        <v>36</v>
      </c>
      <c r="G13" s="8" t="s">
        <v>50</v>
      </c>
      <c r="H13" s="8" t="s">
        <v>37</v>
      </c>
      <c r="I13" s="8" t="s">
        <v>38</v>
      </c>
      <c r="J13" s="9" t="s">
        <v>143</v>
      </c>
      <c r="K13" s="8" t="s">
        <v>144</v>
      </c>
      <c r="L13" s="9" t="s">
        <v>40</v>
      </c>
      <c r="M13" s="8" t="s">
        <v>40</v>
      </c>
      <c r="N13" s="8" t="s">
        <v>39</v>
      </c>
      <c r="O13" s="15"/>
      <c r="P13" s="8" t="s">
        <v>145</v>
      </c>
      <c r="Q13" s="9" t="s">
        <v>146</v>
      </c>
      <c r="R13" s="8" t="s">
        <v>112</v>
      </c>
      <c r="S13" s="16">
        <v>1348.0</v>
      </c>
      <c r="T13" s="17">
        <v>1348.0</v>
      </c>
      <c r="U13" s="15"/>
      <c r="V13" s="8">
        <v>15.0</v>
      </c>
      <c r="W13" s="8" t="s">
        <v>147</v>
      </c>
      <c r="X13" s="8" t="s">
        <v>148</v>
      </c>
      <c r="Y13" s="8" t="s">
        <v>149</v>
      </c>
      <c r="Z13" s="8" t="s">
        <v>150</v>
      </c>
      <c r="AA13" s="8" t="s">
        <v>71</v>
      </c>
      <c r="AB13" s="8" t="s">
        <v>61</v>
      </c>
      <c r="AC13" s="15"/>
      <c r="AD13" s="8">
        <v>8.0</v>
      </c>
      <c r="AE13" s="8">
        <v>10.0</v>
      </c>
      <c r="AF13" s="8">
        <v>5.0</v>
      </c>
      <c r="AG13" s="18">
        <v>620.0</v>
      </c>
      <c r="AH13" s="13"/>
      <c r="AI13" s="15"/>
      <c r="AJ13" s="15"/>
      <c r="AK13" s="15"/>
      <c r="AL13" s="15"/>
      <c r="AM13" s="15"/>
      <c r="AN13" s="15"/>
    </row>
    <row r="14">
      <c r="A14" s="14">
        <v>44403.83939836806</v>
      </c>
      <c r="B14" s="8">
        <f t="shared" si="1"/>
        <v>2021</v>
      </c>
      <c r="C14" s="8" t="s">
        <v>49</v>
      </c>
      <c r="D14" s="8">
        <v>24.0</v>
      </c>
      <c r="E14" s="8" t="s">
        <v>35</v>
      </c>
      <c r="F14" s="8" t="s">
        <v>36</v>
      </c>
      <c r="G14" s="8" t="s">
        <v>50</v>
      </c>
      <c r="H14" s="9" t="s">
        <v>106</v>
      </c>
      <c r="I14" s="8" t="s">
        <v>38</v>
      </c>
      <c r="J14" s="9" t="s">
        <v>75</v>
      </c>
      <c r="K14" s="9" t="s">
        <v>84</v>
      </c>
      <c r="L14" s="8" t="s">
        <v>39</v>
      </c>
      <c r="M14" s="8" t="s">
        <v>40</v>
      </c>
      <c r="N14" s="8" t="s">
        <v>39</v>
      </c>
      <c r="O14" s="15"/>
      <c r="P14" s="8" t="s">
        <v>151</v>
      </c>
      <c r="Q14" s="8" t="s">
        <v>152</v>
      </c>
      <c r="R14" s="9" t="s">
        <v>42</v>
      </c>
      <c r="S14" s="16">
        <v>3000.0</v>
      </c>
      <c r="T14" s="17">
        <v>0.0</v>
      </c>
      <c r="U14" s="8">
        <v>0.0</v>
      </c>
      <c r="V14" s="8">
        <v>14.0</v>
      </c>
      <c r="W14" s="8" t="s">
        <v>153</v>
      </c>
      <c r="X14" s="8" t="s">
        <v>154</v>
      </c>
      <c r="Y14" s="8" t="s">
        <v>131</v>
      </c>
      <c r="Z14" s="8" t="s">
        <v>155</v>
      </c>
      <c r="AA14" s="8" t="s">
        <v>60</v>
      </c>
      <c r="AB14" s="8" t="s">
        <v>91</v>
      </c>
      <c r="AC14" s="15"/>
      <c r="AD14" s="8">
        <v>7.0</v>
      </c>
      <c r="AE14" s="8">
        <v>1.0</v>
      </c>
      <c r="AF14" s="8">
        <v>1.0</v>
      </c>
      <c r="AG14" s="18">
        <v>700.0</v>
      </c>
      <c r="AH14" s="13"/>
      <c r="AI14" s="15"/>
      <c r="AJ14" s="15"/>
      <c r="AK14" s="15"/>
      <c r="AL14" s="15"/>
      <c r="AM14" s="15"/>
      <c r="AN14" s="15"/>
    </row>
    <row r="15">
      <c r="A15" s="7">
        <v>44418.40999003472</v>
      </c>
      <c r="B15" s="8">
        <f t="shared" si="1"/>
        <v>2021</v>
      </c>
      <c r="C15" s="9" t="s">
        <v>49</v>
      </c>
      <c r="D15" s="9">
        <v>28.0</v>
      </c>
      <c r="E15" s="9" t="s">
        <v>35</v>
      </c>
      <c r="F15" s="9" t="s">
        <v>36</v>
      </c>
      <c r="G15" s="8" t="s">
        <v>50</v>
      </c>
      <c r="H15" s="9" t="s">
        <v>156</v>
      </c>
      <c r="I15" s="9" t="s">
        <v>38</v>
      </c>
      <c r="J15" s="9" t="s">
        <v>75</v>
      </c>
      <c r="K15" s="9" t="s">
        <v>134</v>
      </c>
      <c r="L15" s="9" t="s">
        <v>39</v>
      </c>
      <c r="M15" s="9" t="s">
        <v>40</v>
      </c>
      <c r="N15" s="9" t="s">
        <v>40</v>
      </c>
      <c r="Q15" s="9" t="s">
        <v>128</v>
      </c>
      <c r="R15" s="9" t="s">
        <v>42</v>
      </c>
      <c r="S15" s="10">
        <v>3500.0</v>
      </c>
      <c r="T15" s="11">
        <v>0.0</v>
      </c>
      <c r="U15" s="9">
        <v>0.0</v>
      </c>
      <c r="V15" s="9">
        <v>14.0</v>
      </c>
      <c r="W15" s="9" t="s">
        <v>157</v>
      </c>
      <c r="X15" s="9" t="s">
        <v>158</v>
      </c>
      <c r="Y15" s="9" t="s">
        <v>122</v>
      </c>
      <c r="Z15" s="9" t="s">
        <v>159</v>
      </c>
      <c r="AA15" s="9" t="s">
        <v>71</v>
      </c>
      <c r="AB15" s="9" t="s">
        <v>61</v>
      </c>
      <c r="AD15" s="9">
        <v>6.0</v>
      </c>
      <c r="AE15" s="9">
        <v>0.5</v>
      </c>
      <c r="AF15" s="9">
        <v>0.0</v>
      </c>
      <c r="AG15" s="12">
        <v>800.0</v>
      </c>
      <c r="AH15" s="9" t="s">
        <v>42</v>
      </c>
    </row>
    <row r="16">
      <c r="A16" s="7">
        <v>44446.79382497685</v>
      </c>
      <c r="B16" s="8">
        <f t="shared" si="1"/>
        <v>2021</v>
      </c>
      <c r="C16" s="9" t="s">
        <v>49</v>
      </c>
      <c r="D16" s="9">
        <v>24.0</v>
      </c>
      <c r="E16" s="9" t="s">
        <v>35</v>
      </c>
      <c r="F16" s="9" t="s">
        <v>36</v>
      </c>
      <c r="G16" s="8" t="s">
        <v>124</v>
      </c>
      <c r="H16" s="9" t="s">
        <v>156</v>
      </c>
      <c r="I16" s="9" t="s">
        <v>38</v>
      </c>
      <c r="J16" s="9" t="s">
        <v>160</v>
      </c>
      <c r="K16" s="9" t="s">
        <v>161</v>
      </c>
      <c r="L16" s="9" t="s">
        <v>39</v>
      </c>
      <c r="M16" s="9" t="s">
        <v>40</v>
      </c>
      <c r="N16" s="9" t="s">
        <v>40</v>
      </c>
      <c r="Q16" s="9" t="s">
        <v>119</v>
      </c>
      <c r="R16" s="9" t="s">
        <v>42</v>
      </c>
      <c r="S16" s="10">
        <v>5500.0</v>
      </c>
      <c r="T16" s="11">
        <v>17000.0</v>
      </c>
      <c r="U16" s="9">
        <v>0.0</v>
      </c>
      <c r="V16" s="9">
        <v>14.0</v>
      </c>
      <c r="W16" s="9" t="s">
        <v>162</v>
      </c>
      <c r="X16" s="9" t="s">
        <v>163</v>
      </c>
      <c r="Y16" s="9" t="s">
        <v>122</v>
      </c>
      <c r="Z16" s="9" t="s">
        <v>105</v>
      </c>
      <c r="AA16" s="9" t="s">
        <v>60</v>
      </c>
      <c r="AB16" s="9" t="s">
        <v>91</v>
      </c>
      <c r="AD16" s="9">
        <v>5.0</v>
      </c>
      <c r="AE16" s="9">
        <v>2.0</v>
      </c>
      <c r="AF16" s="9">
        <v>1.0</v>
      </c>
      <c r="AG16" s="12">
        <v>800.0</v>
      </c>
      <c r="AH16" s="13"/>
    </row>
    <row r="17">
      <c r="A17" s="7">
        <v>44404.95483553241</v>
      </c>
      <c r="B17" s="8">
        <f t="shared" si="1"/>
        <v>2021</v>
      </c>
      <c r="C17" s="9" t="s">
        <v>49</v>
      </c>
      <c r="D17" s="9">
        <v>30.0</v>
      </c>
      <c r="E17" s="9" t="s">
        <v>35</v>
      </c>
      <c r="F17" s="9" t="s">
        <v>36</v>
      </c>
      <c r="G17" s="8" t="s">
        <v>164</v>
      </c>
      <c r="H17" s="9" t="s">
        <v>165</v>
      </c>
      <c r="I17" s="9" t="s">
        <v>38</v>
      </c>
      <c r="J17" s="9" t="s">
        <v>75</v>
      </c>
      <c r="K17" s="9" t="s">
        <v>166</v>
      </c>
      <c r="L17" s="9" t="s">
        <v>39</v>
      </c>
      <c r="M17" s="9" t="s">
        <v>40</v>
      </c>
      <c r="N17" s="9" t="s">
        <v>39</v>
      </c>
      <c r="P17" s="9" t="s">
        <v>167</v>
      </c>
      <c r="Q17" s="9" t="s">
        <v>168</v>
      </c>
      <c r="R17" s="9" t="s">
        <v>42</v>
      </c>
      <c r="S17" s="10">
        <v>14000.0</v>
      </c>
      <c r="T17" s="11">
        <v>50000.0</v>
      </c>
      <c r="U17" s="9">
        <v>40000.0</v>
      </c>
      <c r="V17" s="9">
        <v>24.0</v>
      </c>
      <c r="W17" s="9" t="s">
        <v>169</v>
      </c>
      <c r="X17" s="9" t="s">
        <v>170</v>
      </c>
      <c r="Y17" s="9" t="s">
        <v>171</v>
      </c>
      <c r="Z17" s="9" t="s">
        <v>59</v>
      </c>
      <c r="AA17" s="9" t="s">
        <v>60</v>
      </c>
      <c r="AB17" s="9" t="s">
        <v>133</v>
      </c>
      <c r="AD17" s="9">
        <v>8.0</v>
      </c>
      <c r="AE17" s="9">
        <v>10.0</v>
      </c>
      <c r="AF17" s="9">
        <v>4.0</v>
      </c>
      <c r="AG17" s="12">
        <v>800.0</v>
      </c>
      <c r="AH17" s="13"/>
    </row>
    <row r="18">
      <c r="A18" s="7">
        <v>44403.944513553244</v>
      </c>
      <c r="B18" s="8">
        <f t="shared" si="1"/>
        <v>2021</v>
      </c>
      <c r="C18" s="9" t="s">
        <v>73</v>
      </c>
      <c r="D18" s="9">
        <v>24.0</v>
      </c>
      <c r="E18" s="9" t="s">
        <v>35</v>
      </c>
      <c r="F18" s="9" t="s">
        <v>36</v>
      </c>
      <c r="G18" s="9" t="s">
        <v>172</v>
      </c>
      <c r="H18" s="9" t="s">
        <v>173</v>
      </c>
      <c r="I18" s="9" t="s">
        <v>38</v>
      </c>
      <c r="J18" s="9" t="s">
        <v>174</v>
      </c>
      <c r="K18" s="9" t="s">
        <v>100</v>
      </c>
      <c r="L18" s="9" t="s">
        <v>40</v>
      </c>
      <c r="M18" s="9" t="s">
        <v>39</v>
      </c>
      <c r="N18" s="9" t="s">
        <v>40</v>
      </c>
      <c r="O18" s="9" t="s">
        <v>175</v>
      </c>
      <c r="Q18" s="9" t="s">
        <v>146</v>
      </c>
      <c r="R18" s="9" t="s">
        <v>42</v>
      </c>
      <c r="S18" s="10">
        <v>1700.0</v>
      </c>
      <c r="T18" s="11">
        <v>0.0</v>
      </c>
      <c r="U18" s="9">
        <v>0.0</v>
      </c>
      <c r="V18" s="9">
        <v>12.0</v>
      </c>
      <c r="W18" s="9" t="s">
        <v>176</v>
      </c>
      <c r="X18" s="9" t="s">
        <v>177</v>
      </c>
      <c r="Y18" s="9" t="s">
        <v>178</v>
      </c>
      <c r="Z18" s="9" t="s">
        <v>179</v>
      </c>
      <c r="AA18" s="9" t="s">
        <v>47</v>
      </c>
      <c r="AB18" s="9" t="s">
        <v>61</v>
      </c>
      <c r="AC18" s="9" t="s">
        <v>72</v>
      </c>
      <c r="AD18" s="9">
        <v>4.0</v>
      </c>
      <c r="AE18" s="9">
        <v>1.0</v>
      </c>
      <c r="AF18" s="9">
        <v>4.0</v>
      </c>
      <c r="AG18" s="12">
        <v>800.0</v>
      </c>
      <c r="AH18" s="13"/>
    </row>
    <row r="19">
      <c r="A19" s="7">
        <v>44403.980421527776</v>
      </c>
      <c r="B19" s="8">
        <f t="shared" si="1"/>
        <v>2021</v>
      </c>
      <c r="C19" s="9" t="s">
        <v>73</v>
      </c>
      <c r="D19" s="9">
        <v>32.0</v>
      </c>
      <c r="E19" s="9" t="s">
        <v>35</v>
      </c>
      <c r="F19" s="9" t="s">
        <v>36</v>
      </c>
      <c r="G19" s="8" t="s">
        <v>50</v>
      </c>
      <c r="H19" s="8" t="s">
        <v>180</v>
      </c>
      <c r="I19" s="9" t="s">
        <v>38</v>
      </c>
      <c r="J19" s="9" t="s">
        <v>75</v>
      </c>
      <c r="K19" s="9" t="s">
        <v>66</v>
      </c>
      <c r="L19" s="9" t="s">
        <v>39</v>
      </c>
      <c r="M19" s="9" t="s">
        <v>40</v>
      </c>
      <c r="N19" s="9" t="s">
        <v>39</v>
      </c>
      <c r="P19" s="9" t="s">
        <v>181</v>
      </c>
      <c r="Q19" s="9" t="s">
        <v>182</v>
      </c>
      <c r="R19" s="9" t="s">
        <v>42</v>
      </c>
      <c r="S19" s="10">
        <v>13000.0</v>
      </c>
      <c r="T19" s="11">
        <v>15600.0</v>
      </c>
      <c r="U19" s="9">
        <v>0.0</v>
      </c>
      <c r="V19" s="9">
        <v>14.0</v>
      </c>
      <c r="W19" s="9" t="s">
        <v>183</v>
      </c>
      <c r="X19" s="9" t="s">
        <v>184</v>
      </c>
      <c r="Y19" s="9" t="s">
        <v>58</v>
      </c>
      <c r="Z19" s="9" t="s">
        <v>185</v>
      </c>
      <c r="AA19" s="9" t="s">
        <v>71</v>
      </c>
      <c r="AB19" s="9" t="s">
        <v>61</v>
      </c>
      <c r="AD19" s="9">
        <v>8.0</v>
      </c>
      <c r="AE19" s="9">
        <v>12.0</v>
      </c>
      <c r="AF19" s="9">
        <v>4.0</v>
      </c>
      <c r="AG19" s="12">
        <v>800.0</v>
      </c>
      <c r="AH19" s="13"/>
    </row>
    <row r="20">
      <c r="A20" s="14">
        <v>44403.85713834491</v>
      </c>
      <c r="B20" s="8">
        <f t="shared" si="1"/>
        <v>2021</v>
      </c>
      <c r="C20" s="8" t="s">
        <v>49</v>
      </c>
      <c r="D20" s="8">
        <v>28.0</v>
      </c>
      <c r="E20" s="8" t="s">
        <v>35</v>
      </c>
      <c r="F20" s="8" t="s">
        <v>36</v>
      </c>
      <c r="G20" s="8" t="s">
        <v>186</v>
      </c>
      <c r="H20" s="8" t="s">
        <v>187</v>
      </c>
      <c r="I20" s="8" t="s">
        <v>38</v>
      </c>
      <c r="J20" s="9" t="s">
        <v>75</v>
      </c>
      <c r="K20" s="8" t="s">
        <v>188</v>
      </c>
      <c r="L20" s="8" t="s">
        <v>39</v>
      </c>
      <c r="M20" s="8" t="s">
        <v>40</v>
      </c>
      <c r="N20" s="8" t="s">
        <v>39</v>
      </c>
      <c r="O20" s="15"/>
      <c r="P20" s="8" t="s">
        <v>189</v>
      </c>
      <c r="Q20" s="8" t="s">
        <v>128</v>
      </c>
      <c r="R20" s="8" t="s">
        <v>112</v>
      </c>
      <c r="S20" s="16">
        <v>5200.0</v>
      </c>
      <c r="T20" s="17">
        <v>0.0</v>
      </c>
      <c r="U20" s="19">
        <v>0.001</v>
      </c>
      <c r="V20" s="8">
        <v>0.0</v>
      </c>
      <c r="W20" s="8" t="s">
        <v>190</v>
      </c>
      <c r="X20" s="8" t="s">
        <v>191</v>
      </c>
      <c r="Y20" s="8" t="s">
        <v>192</v>
      </c>
      <c r="Z20" s="8" t="s">
        <v>59</v>
      </c>
      <c r="AA20" s="8" t="s">
        <v>71</v>
      </c>
      <c r="AB20" s="8" t="s">
        <v>91</v>
      </c>
      <c r="AC20" s="8" t="s">
        <v>72</v>
      </c>
      <c r="AD20" s="8">
        <v>10.0</v>
      </c>
      <c r="AE20" s="8">
        <v>4.0</v>
      </c>
      <c r="AF20" s="8">
        <v>3.0</v>
      </c>
      <c r="AG20" s="18">
        <v>850.0</v>
      </c>
      <c r="AH20" s="13"/>
      <c r="AI20" s="15"/>
      <c r="AJ20" s="15"/>
      <c r="AK20" s="15"/>
      <c r="AL20" s="15"/>
      <c r="AM20" s="15"/>
      <c r="AN20" s="15"/>
    </row>
    <row r="21">
      <c r="A21" s="7">
        <v>44410.48966224537</v>
      </c>
      <c r="B21" s="8">
        <f t="shared" si="1"/>
        <v>2021</v>
      </c>
      <c r="C21" s="9" t="s">
        <v>49</v>
      </c>
      <c r="D21" s="9">
        <v>27.0</v>
      </c>
      <c r="E21" s="9" t="s">
        <v>35</v>
      </c>
      <c r="F21" s="9" t="s">
        <v>36</v>
      </c>
      <c r="G21" s="8" t="s">
        <v>124</v>
      </c>
      <c r="H21" s="9" t="s">
        <v>156</v>
      </c>
      <c r="I21" s="9" t="s">
        <v>118</v>
      </c>
      <c r="L21" s="9" t="s">
        <v>40</v>
      </c>
      <c r="M21" s="9" t="s">
        <v>39</v>
      </c>
      <c r="N21" s="9" t="s">
        <v>39</v>
      </c>
      <c r="O21" s="9" t="s">
        <v>193</v>
      </c>
      <c r="P21" s="9" t="s">
        <v>194</v>
      </c>
      <c r="Q21" s="9" t="s">
        <v>128</v>
      </c>
      <c r="R21" s="9" t="s">
        <v>42</v>
      </c>
      <c r="S21" s="10">
        <v>5500.0</v>
      </c>
      <c r="T21" s="11">
        <v>0.0</v>
      </c>
      <c r="U21" s="9">
        <v>0.0</v>
      </c>
      <c r="V21" s="9">
        <v>14.0</v>
      </c>
      <c r="W21" s="9" t="s">
        <v>195</v>
      </c>
      <c r="X21" s="9" t="s">
        <v>196</v>
      </c>
      <c r="Y21" s="9" t="s">
        <v>124</v>
      </c>
      <c r="Z21" s="9" t="s">
        <v>197</v>
      </c>
      <c r="AA21" s="9" t="s">
        <v>132</v>
      </c>
      <c r="AB21" s="9" t="s">
        <v>61</v>
      </c>
      <c r="AC21" s="9" t="s">
        <v>198</v>
      </c>
      <c r="AD21" s="9">
        <v>8.0</v>
      </c>
      <c r="AE21" s="9">
        <v>8.0</v>
      </c>
      <c r="AF21" s="9">
        <v>4.0</v>
      </c>
      <c r="AG21" s="12">
        <v>900.0</v>
      </c>
      <c r="AH21" s="13"/>
    </row>
    <row r="22">
      <c r="A22" s="7">
        <v>44403.97260113426</v>
      </c>
      <c r="B22" s="8">
        <f t="shared" si="1"/>
        <v>2021</v>
      </c>
      <c r="C22" s="9" t="s">
        <v>49</v>
      </c>
      <c r="D22" s="9">
        <v>26.0</v>
      </c>
      <c r="E22" s="9" t="s">
        <v>35</v>
      </c>
      <c r="F22" s="9" t="s">
        <v>36</v>
      </c>
      <c r="G22" s="8" t="s">
        <v>50</v>
      </c>
      <c r="H22" s="9" t="s">
        <v>117</v>
      </c>
      <c r="I22" s="9" t="s">
        <v>38</v>
      </c>
      <c r="J22" s="9" t="s">
        <v>199</v>
      </c>
      <c r="K22" s="9" t="s">
        <v>200</v>
      </c>
      <c r="L22" s="9" t="s">
        <v>40</v>
      </c>
      <c r="M22" s="9" t="s">
        <v>39</v>
      </c>
      <c r="N22" s="9" t="s">
        <v>39</v>
      </c>
      <c r="O22" s="9" t="s">
        <v>94</v>
      </c>
      <c r="P22" s="9" t="s">
        <v>201</v>
      </c>
      <c r="Q22" s="9" t="s">
        <v>146</v>
      </c>
      <c r="R22" s="9" t="s">
        <v>42</v>
      </c>
      <c r="S22" s="10">
        <v>5400.0</v>
      </c>
      <c r="T22" s="11">
        <v>0.0</v>
      </c>
      <c r="U22" s="9">
        <v>0.0</v>
      </c>
      <c r="V22" s="9">
        <v>14.0</v>
      </c>
      <c r="W22" s="9" t="s">
        <v>202</v>
      </c>
      <c r="X22" s="9" t="s">
        <v>203</v>
      </c>
      <c r="Y22" s="9" t="s">
        <v>204</v>
      </c>
      <c r="Z22" s="9" t="s">
        <v>185</v>
      </c>
      <c r="AA22" s="9" t="s">
        <v>81</v>
      </c>
      <c r="AB22" s="9" t="s">
        <v>91</v>
      </c>
      <c r="AC22" s="9" t="s">
        <v>205</v>
      </c>
      <c r="AD22" s="9">
        <v>10.0</v>
      </c>
      <c r="AE22" s="9">
        <v>5.0</v>
      </c>
      <c r="AF22" s="9">
        <v>3.0</v>
      </c>
      <c r="AG22" s="12">
        <v>900.0</v>
      </c>
      <c r="AH22" s="13"/>
    </row>
    <row r="23">
      <c r="A23" s="7">
        <v>44493.56063876157</v>
      </c>
      <c r="B23" s="8">
        <f t="shared" si="1"/>
        <v>2021</v>
      </c>
      <c r="C23" s="9" t="s">
        <v>73</v>
      </c>
      <c r="D23" s="9">
        <v>22.0</v>
      </c>
      <c r="E23" s="9" t="s">
        <v>35</v>
      </c>
      <c r="F23" s="9" t="s">
        <v>36</v>
      </c>
      <c r="G23" s="8" t="s">
        <v>124</v>
      </c>
      <c r="H23" s="9" t="s">
        <v>206</v>
      </c>
      <c r="I23" s="9" t="s">
        <v>38</v>
      </c>
      <c r="J23" s="9" t="s">
        <v>207</v>
      </c>
      <c r="K23" s="9" t="s">
        <v>53</v>
      </c>
      <c r="L23" s="9" t="s">
        <v>39</v>
      </c>
      <c r="M23" s="9" t="s">
        <v>40</v>
      </c>
      <c r="N23" s="9" t="s">
        <v>40</v>
      </c>
      <c r="Q23" s="9" t="s">
        <v>76</v>
      </c>
      <c r="R23" s="9" t="s">
        <v>42</v>
      </c>
      <c r="S23" s="10">
        <v>1000.0</v>
      </c>
      <c r="T23" s="11">
        <v>0.0</v>
      </c>
      <c r="U23" s="9">
        <v>0.0</v>
      </c>
      <c r="V23" s="9">
        <v>0.0</v>
      </c>
      <c r="W23" s="9" t="s">
        <v>208</v>
      </c>
      <c r="X23" s="9" t="s">
        <v>209</v>
      </c>
      <c r="Y23" s="9" t="s">
        <v>210</v>
      </c>
      <c r="Z23" s="9" t="s">
        <v>211</v>
      </c>
      <c r="AA23" s="9" t="s">
        <v>132</v>
      </c>
      <c r="AB23" s="9" t="s">
        <v>61</v>
      </c>
      <c r="AD23" s="9">
        <v>5.0</v>
      </c>
      <c r="AE23" s="9">
        <v>0.0</v>
      </c>
      <c r="AF23" s="9">
        <v>0.0</v>
      </c>
      <c r="AG23" s="12">
        <v>1000.0</v>
      </c>
      <c r="AH23" s="9" t="s">
        <v>42</v>
      </c>
    </row>
    <row r="24">
      <c r="A24" s="7">
        <v>44595.58326076389</v>
      </c>
      <c r="B24" s="8">
        <f t="shared" si="1"/>
        <v>2022</v>
      </c>
      <c r="C24" s="9" t="s">
        <v>49</v>
      </c>
      <c r="D24" s="9">
        <v>22.0</v>
      </c>
      <c r="E24" s="9" t="s">
        <v>35</v>
      </c>
      <c r="F24" s="9" t="s">
        <v>36</v>
      </c>
      <c r="G24" s="8" t="s">
        <v>74</v>
      </c>
      <c r="H24" s="9" t="s">
        <v>212</v>
      </c>
      <c r="I24" s="9" t="s">
        <v>93</v>
      </c>
      <c r="J24" s="9" t="s">
        <v>160</v>
      </c>
      <c r="K24" s="9" t="s">
        <v>161</v>
      </c>
      <c r="L24" s="9" t="s">
        <v>39</v>
      </c>
      <c r="M24" s="9" t="s">
        <v>40</v>
      </c>
      <c r="N24" s="9" t="s">
        <v>40</v>
      </c>
      <c r="Q24" s="9" t="s">
        <v>76</v>
      </c>
      <c r="R24" s="9" t="s">
        <v>42</v>
      </c>
      <c r="S24" s="10">
        <v>1000.0</v>
      </c>
      <c r="T24" s="11">
        <v>0.0</v>
      </c>
      <c r="U24" s="9">
        <v>0.0</v>
      </c>
      <c r="V24" s="9">
        <v>7.0</v>
      </c>
      <c r="W24" s="9" t="s">
        <v>213</v>
      </c>
      <c r="X24" s="9" t="s">
        <v>214</v>
      </c>
      <c r="Y24" s="9" t="s">
        <v>99</v>
      </c>
      <c r="Z24" s="9" t="s">
        <v>70</v>
      </c>
      <c r="AA24" s="9" t="s">
        <v>90</v>
      </c>
      <c r="AB24" s="9" t="s">
        <v>91</v>
      </c>
      <c r="AD24" s="9">
        <v>8.0</v>
      </c>
      <c r="AE24" s="9">
        <v>1.0</v>
      </c>
      <c r="AF24" s="9">
        <v>1.0</v>
      </c>
      <c r="AG24" s="12">
        <v>1000.0</v>
      </c>
      <c r="AH24" s="9" t="s">
        <v>42</v>
      </c>
    </row>
    <row r="25">
      <c r="A25" s="7">
        <v>44518.70144931713</v>
      </c>
      <c r="B25" s="8">
        <f t="shared" si="1"/>
        <v>2021</v>
      </c>
      <c r="C25" s="9" t="s">
        <v>49</v>
      </c>
      <c r="D25" s="9">
        <v>28.0</v>
      </c>
      <c r="E25" s="9" t="s">
        <v>35</v>
      </c>
      <c r="F25" s="9" t="s">
        <v>36</v>
      </c>
      <c r="G25" s="9" t="s">
        <v>172</v>
      </c>
      <c r="H25" s="9" t="s">
        <v>173</v>
      </c>
      <c r="I25" s="9" t="s">
        <v>38</v>
      </c>
      <c r="J25" s="9" t="s">
        <v>160</v>
      </c>
      <c r="K25" s="9" t="s">
        <v>215</v>
      </c>
      <c r="L25" s="9" t="s">
        <v>39</v>
      </c>
      <c r="M25" s="9" t="s">
        <v>40</v>
      </c>
      <c r="N25" s="9" t="s">
        <v>40</v>
      </c>
      <c r="Q25" s="9" t="s">
        <v>146</v>
      </c>
      <c r="R25" s="9" t="s">
        <v>42</v>
      </c>
      <c r="S25" s="10">
        <v>4000.0</v>
      </c>
      <c r="T25" s="11">
        <v>4000.0</v>
      </c>
      <c r="U25" s="9">
        <v>0.0</v>
      </c>
      <c r="V25" s="9">
        <v>14.0</v>
      </c>
      <c r="W25" s="9" t="s">
        <v>216</v>
      </c>
      <c r="X25" s="9" t="s">
        <v>217</v>
      </c>
      <c r="Y25" s="9" t="s">
        <v>172</v>
      </c>
      <c r="Z25" s="9" t="s">
        <v>218</v>
      </c>
      <c r="AA25" s="9" t="s">
        <v>60</v>
      </c>
      <c r="AB25" s="9" t="s">
        <v>61</v>
      </c>
      <c r="AC25" s="9" t="s">
        <v>219</v>
      </c>
      <c r="AD25" s="9">
        <v>7.0</v>
      </c>
      <c r="AE25" s="9">
        <v>7.0</v>
      </c>
      <c r="AF25" s="9">
        <v>1.0</v>
      </c>
      <c r="AG25" s="12">
        <v>1000.0</v>
      </c>
      <c r="AH25" s="13"/>
    </row>
    <row r="26">
      <c r="A26" s="7">
        <v>44588.04815030092</v>
      </c>
      <c r="B26" s="8">
        <f t="shared" si="1"/>
        <v>2022</v>
      </c>
      <c r="C26" s="9" t="s">
        <v>49</v>
      </c>
      <c r="D26" s="9">
        <v>40.0</v>
      </c>
      <c r="E26" s="9" t="s">
        <v>35</v>
      </c>
      <c r="F26" s="9" t="s">
        <v>36</v>
      </c>
      <c r="G26" s="8" t="s">
        <v>124</v>
      </c>
      <c r="H26" s="8" t="s">
        <v>37</v>
      </c>
      <c r="I26" s="9" t="s">
        <v>38</v>
      </c>
      <c r="J26" s="9" t="s">
        <v>220</v>
      </c>
      <c r="K26" s="9" t="s">
        <v>221</v>
      </c>
      <c r="L26" s="9" t="s">
        <v>39</v>
      </c>
      <c r="M26" s="9" t="s">
        <v>40</v>
      </c>
      <c r="N26" s="9" t="s">
        <v>39</v>
      </c>
      <c r="P26" s="9" t="s">
        <v>222</v>
      </c>
      <c r="Q26" s="9" t="s">
        <v>150</v>
      </c>
      <c r="R26" s="9" t="s">
        <v>42</v>
      </c>
      <c r="S26" s="10">
        <v>15000.0</v>
      </c>
      <c r="T26" s="11">
        <v>0.0</v>
      </c>
      <c r="V26" s="9">
        <v>14.0</v>
      </c>
      <c r="W26" s="9" t="s">
        <v>223</v>
      </c>
      <c r="X26" s="9" t="s">
        <v>224</v>
      </c>
      <c r="Y26" s="9" t="s">
        <v>225</v>
      </c>
      <c r="Z26" s="9" t="s">
        <v>155</v>
      </c>
      <c r="AA26" s="9" t="s">
        <v>132</v>
      </c>
      <c r="AB26" s="9" t="s">
        <v>61</v>
      </c>
      <c r="AD26" s="9">
        <v>6.0</v>
      </c>
      <c r="AE26" s="9">
        <v>10.0</v>
      </c>
      <c r="AF26" s="9">
        <v>10.0</v>
      </c>
      <c r="AG26" s="12">
        <v>1000.0</v>
      </c>
      <c r="AH26" s="13"/>
    </row>
    <row r="27">
      <c r="A27" s="7">
        <v>44487.677229293986</v>
      </c>
      <c r="B27" s="8">
        <f t="shared" si="1"/>
        <v>2021</v>
      </c>
      <c r="C27" s="9" t="s">
        <v>73</v>
      </c>
      <c r="D27" s="9">
        <v>39.0</v>
      </c>
      <c r="E27" s="9" t="s">
        <v>35</v>
      </c>
      <c r="F27" s="9" t="s">
        <v>36</v>
      </c>
      <c r="G27" s="8" t="s">
        <v>50</v>
      </c>
      <c r="H27" s="9" t="s">
        <v>82</v>
      </c>
      <c r="I27" s="9" t="s">
        <v>38</v>
      </c>
      <c r="J27" s="9" t="s">
        <v>75</v>
      </c>
      <c r="K27" s="9" t="s">
        <v>84</v>
      </c>
      <c r="L27" s="9" t="s">
        <v>39</v>
      </c>
      <c r="M27" s="9" t="s">
        <v>40</v>
      </c>
      <c r="N27" s="9" t="s">
        <v>40</v>
      </c>
      <c r="Q27" s="9" t="s">
        <v>119</v>
      </c>
      <c r="R27" s="9" t="s">
        <v>42</v>
      </c>
      <c r="S27" s="10">
        <v>9500.0</v>
      </c>
      <c r="T27" s="11">
        <v>20000.0</v>
      </c>
      <c r="V27" s="9">
        <v>18.0</v>
      </c>
      <c r="W27" s="9" t="s">
        <v>226</v>
      </c>
      <c r="X27" s="9" t="s">
        <v>227</v>
      </c>
      <c r="Y27" s="9" t="s">
        <v>58</v>
      </c>
      <c r="Z27" s="9" t="s">
        <v>228</v>
      </c>
      <c r="AA27" s="9" t="s">
        <v>132</v>
      </c>
      <c r="AB27" s="9" t="s">
        <v>61</v>
      </c>
      <c r="AD27" s="9">
        <v>8.0</v>
      </c>
      <c r="AE27" s="9">
        <v>18.0</v>
      </c>
      <c r="AF27" s="9">
        <v>4.0</v>
      </c>
      <c r="AG27" s="12">
        <v>1000.0</v>
      </c>
      <c r="AH27" s="13"/>
    </row>
    <row r="28">
      <c r="A28" s="7">
        <v>44618.72294237268</v>
      </c>
      <c r="B28" s="8">
        <f t="shared" si="1"/>
        <v>2022</v>
      </c>
      <c r="C28" s="9" t="s">
        <v>49</v>
      </c>
      <c r="D28" s="9">
        <v>22.0</v>
      </c>
      <c r="E28" s="9" t="s">
        <v>35</v>
      </c>
      <c r="F28" s="9" t="s">
        <v>36</v>
      </c>
      <c r="G28" s="8" t="s">
        <v>50</v>
      </c>
      <c r="H28" s="8" t="s">
        <v>180</v>
      </c>
      <c r="I28" s="9" t="s">
        <v>38</v>
      </c>
      <c r="J28" s="9" t="s">
        <v>75</v>
      </c>
      <c r="K28" s="9" t="s">
        <v>229</v>
      </c>
      <c r="L28" s="9" t="s">
        <v>39</v>
      </c>
      <c r="M28" s="9" t="s">
        <v>40</v>
      </c>
      <c r="N28" s="9" t="s">
        <v>40</v>
      </c>
      <c r="Q28" s="9" t="s">
        <v>101</v>
      </c>
      <c r="R28" s="9" t="s">
        <v>42</v>
      </c>
      <c r="S28" s="10">
        <v>4500.0</v>
      </c>
      <c r="T28" s="11" t="s">
        <v>37</v>
      </c>
      <c r="V28" s="9">
        <v>20.0</v>
      </c>
      <c r="W28" s="9" t="s">
        <v>230</v>
      </c>
      <c r="X28" s="9" t="s">
        <v>231</v>
      </c>
      <c r="Y28" s="9" t="s">
        <v>122</v>
      </c>
      <c r="Z28" s="9" t="s">
        <v>232</v>
      </c>
      <c r="AA28" s="9" t="s">
        <v>71</v>
      </c>
      <c r="AB28" s="9" t="s">
        <v>61</v>
      </c>
      <c r="AC28" s="9" t="s">
        <v>233</v>
      </c>
      <c r="AD28" s="9">
        <v>9.0</v>
      </c>
      <c r="AE28" s="9">
        <v>0.5</v>
      </c>
      <c r="AF28" s="9">
        <v>1.0</v>
      </c>
      <c r="AG28" s="12">
        <v>1000.0</v>
      </c>
      <c r="AH28" s="13"/>
    </row>
    <row r="29">
      <c r="A29" s="7">
        <v>44403.90420101852</v>
      </c>
      <c r="B29" s="8">
        <f t="shared" si="1"/>
        <v>2021</v>
      </c>
      <c r="C29" s="9" t="s">
        <v>49</v>
      </c>
      <c r="D29" s="9">
        <v>24.0</v>
      </c>
      <c r="E29" s="9" t="s">
        <v>35</v>
      </c>
      <c r="F29" s="9" t="s">
        <v>36</v>
      </c>
      <c r="G29" s="9" t="s">
        <v>172</v>
      </c>
      <c r="H29" s="9" t="s">
        <v>173</v>
      </c>
      <c r="I29" s="9" t="s">
        <v>38</v>
      </c>
      <c r="J29" s="9" t="s">
        <v>75</v>
      </c>
      <c r="K29" s="9" t="s">
        <v>234</v>
      </c>
      <c r="L29" s="9" t="s">
        <v>39</v>
      </c>
      <c r="M29" s="9" t="s">
        <v>40</v>
      </c>
      <c r="N29" s="9" t="s">
        <v>40</v>
      </c>
      <c r="Q29" s="9" t="s">
        <v>235</v>
      </c>
      <c r="R29" s="9" t="s">
        <v>42</v>
      </c>
      <c r="S29" s="10">
        <v>3300.0</v>
      </c>
      <c r="T29" s="11">
        <v>0.0</v>
      </c>
      <c r="U29" s="9">
        <v>0.0</v>
      </c>
      <c r="V29" s="9">
        <v>14.0</v>
      </c>
      <c r="W29" s="9" t="s">
        <v>236</v>
      </c>
      <c r="X29" s="9" t="s">
        <v>237</v>
      </c>
      <c r="Y29" s="9" t="s">
        <v>238</v>
      </c>
      <c r="Z29" s="9" t="s">
        <v>80</v>
      </c>
      <c r="AA29" s="9" t="s">
        <v>71</v>
      </c>
      <c r="AB29" s="9" t="s">
        <v>61</v>
      </c>
      <c r="AD29" s="9">
        <v>7.0</v>
      </c>
      <c r="AE29" s="9">
        <v>3.0</v>
      </c>
      <c r="AF29" s="9">
        <v>2.0</v>
      </c>
      <c r="AG29" s="12">
        <v>1000.0</v>
      </c>
      <c r="AH29" s="13"/>
    </row>
    <row r="30">
      <c r="A30" s="14">
        <v>44403.880777384256</v>
      </c>
      <c r="B30" s="8">
        <f t="shared" si="1"/>
        <v>2021</v>
      </c>
      <c r="C30" s="8" t="s">
        <v>49</v>
      </c>
      <c r="D30" s="8">
        <v>23.0</v>
      </c>
      <c r="E30" s="8" t="s">
        <v>35</v>
      </c>
      <c r="F30" s="8" t="s">
        <v>36</v>
      </c>
      <c r="G30" s="8" t="s">
        <v>164</v>
      </c>
      <c r="H30" s="8" t="s">
        <v>165</v>
      </c>
      <c r="I30" s="8" t="s">
        <v>38</v>
      </c>
      <c r="J30" s="8" t="s">
        <v>239</v>
      </c>
      <c r="K30" s="9" t="s">
        <v>100</v>
      </c>
      <c r="L30" s="8" t="s">
        <v>39</v>
      </c>
      <c r="M30" s="8" t="s">
        <v>39</v>
      </c>
      <c r="N30" s="8" t="s">
        <v>40</v>
      </c>
      <c r="O30" s="8" t="s">
        <v>240</v>
      </c>
      <c r="P30" s="15"/>
      <c r="Q30" s="8" t="s">
        <v>241</v>
      </c>
      <c r="R30" s="9" t="s">
        <v>42</v>
      </c>
      <c r="S30" s="16">
        <v>5100.0</v>
      </c>
      <c r="T30" s="17">
        <v>0.0</v>
      </c>
      <c r="U30" s="8">
        <v>0.0</v>
      </c>
      <c r="V30" s="8">
        <v>15.0</v>
      </c>
      <c r="W30" s="8" t="s">
        <v>242</v>
      </c>
      <c r="X30" s="8" t="s">
        <v>243</v>
      </c>
      <c r="Y30" s="8" t="s">
        <v>122</v>
      </c>
      <c r="Z30" s="8" t="s">
        <v>70</v>
      </c>
      <c r="AA30" s="8" t="s">
        <v>90</v>
      </c>
      <c r="AB30" s="8" t="s">
        <v>133</v>
      </c>
      <c r="AC30" s="8" t="s">
        <v>244</v>
      </c>
      <c r="AD30" s="8">
        <v>8.0</v>
      </c>
      <c r="AE30" s="8" t="s">
        <v>245</v>
      </c>
      <c r="AF30" s="8">
        <v>1.0</v>
      </c>
      <c r="AG30" s="18">
        <v>1000.0</v>
      </c>
      <c r="AH30" s="13"/>
      <c r="AI30" s="15"/>
      <c r="AJ30" s="15"/>
      <c r="AK30" s="15"/>
      <c r="AL30" s="15"/>
      <c r="AM30" s="15"/>
      <c r="AN30" s="15"/>
    </row>
    <row r="31">
      <c r="A31" s="14">
        <v>44403.8364368287</v>
      </c>
      <c r="B31" s="8">
        <f t="shared" si="1"/>
        <v>2021</v>
      </c>
      <c r="C31" s="8" t="s">
        <v>49</v>
      </c>
      <c r="D31" s="8">
        <v>41.0</v>
      </c>
      <c r="E31" s="8" t="s">
        <v>35</v>
      </c>
      <c r="F31" s="8" t="s">
        <v>246</v>
      </c>
      <c r="G31" s="8" t="s">
        <v>246</v>
      </c>
      <c r="H31" s="8" t="s">
        <v>246</v>
      </c>
      <c r="I31" s="8" t="s">
        <v>247</v>
      </c>
      <c r="J31" s="8" t="s">
        <v>75</v>
      </c>
      <c r="K31" s="8" t="s">
        <v>248</v>
      </c>
      <c r="L31" s="8" t="s">
        <v>39</v>
      </c>
      <c r="M31" s="8" t="s">
        <v>40</v>
      </c>
      <c r="N31" s="8" t="s">
        <v>40</v>
      </c>
      <c r="O31" s="15"/>
      <c r="P31" s="15"/>
      <c r="Q31" s="8" t="s">
        <v>249</v>
      </c>
      <c r="R31" s="8" t="s">
        <v>250</v>
      </c>
      <c r="S31" s="16">
        <v>2000.0</v>
      </c>
      <c r="T31" s="17">
        <v>0.0</v>
      </c>
      <c r="U31" s="8" t="s">
        <v>251</v>
      </c>
      <c r="V31" s="8">
        <v>18.0</v>
      </c>
      <c r="W31" s="8" t="s">
        <v>252</v>
      </c>
      <c r="X31" s="8" t="s">
        <v>253</v>
      </c>
      <c r="Y31" s="8" t="s">
        <v>246</v>
      </c>
      <c r="Z31" s="8" t="s">
        <v>254</v>
      </c>
      <c r="AA31" s="8" t="s">
        <v>71</v>
      </c>
      <c r="AB31" s="8" t="s">
        <v>61</v>
      </c>
      <c r="AC31" s="15"/>
      <c r="AD31" s="8">
        <v>10.0</v>
      </c>
      <c r="AE31" s="8">
        <v>20.0</v>
      </c>
      <c r="AF31" s="8">
        <v>5.0</v>
      </c>
      <c r="AG31" s="18">
        <v>1000.0</v>
      </c>
      <c r="AH31" s="13"/>
      <c r="AI31" s="15"/>
      <c r="AJ31" s="15"/>
      <c r="AK31" s="15"/>
      <c r="AL31" s="15"/>
      <c r="AM31" s="15"/>
      <c r="AN31" s="15"/>
    </row>
    <row r="32">
      <c r="A32" s="7">
        <v>44403.93611998843</v>
      </c>
      <c r="B32" s="8">
        <f t="shared" si="1"/>
        <v>2021</v>
      </c>
      <c r="C32" s="9" t="s">
        <v>49</v>
      </c>
      <c r="D32" s="9">
        <v>18.0</v>
      </c>
      <c r="E32" s="9" t="s">
        <v>35</v>
      </c>
      <c r="F32" s="9" t="s">
        <v>36</v>
      </c>
      <c r="G32" s="8" t="s">
        <v>50</v>
      </c>
      <c r="H32" s="8" t="s">
        <v>99</v>
      </c>
      <c r="I32" s="9" t="s">
        <v>38</v>
      </c>
      <c r="J32" s="9" t="s">
        <v>75</v>
      </c>
      <c r="K32" s="9" t="s">
        <v>166</v>
      </c>
      <c r="L32" s="9" t="s">
        <v>39</v>
      </c>
      <c r="M32" s="9" t="s">
        <v>40</v>
      </c>
      <c r="N32" s="9" t="s">
        <v>40</v>
      </c>
      <c r="Q32" s="8" t="s">
        <v>255</v>
      </c>
      <c r="R32" s="9" t="s">
        <v>42</v>
      </c>
      <c r="S32" s="10">
        <v>1000.0</v>
      </c>
      <c r="T32" s="11">
        <v>0.0</v>
      </c>
      <c r="U32" s="9">
        <v>0.0</v>
      </c>
      <c r="V32" s="9">
        <v>20.0</v>
      </c>
      <c r="W32" s="9" t="s">
        <v>256</v>
      </c>
      <c r="X32" s="9" t="s">
        <v>257</v>
      </c>
      <c r="Y32" s="9" t="s">
        <v>58</v>
      </c>
      <c r="Z32" s="9" t="s">
        <v>258</v>
      </c>
      <c r="AA32" s="9" t="s">
        <v>71</v>
      </c>
      <c r="AB32" s="9" t="s">
        <v>91</v>
      </c>
      <c r="AD32" s="9">
        <v>10.0</v>
      </c>
      <c r="AE32" s="9">
        <v>2.0</v>
      </c>
      <c r="AF32" s="9">
        <v>1.0</v>
      </c>
      <c r="AG32" s="12">
        <v>1000.0</v>
      </c>
      <c r="AH32" s="13"/>
    </row>
    <row r="33">
      <c r="A33" s="7">
        <v>44404.311825069446</v>
      </c>
      <c r="B33" s="8">
        <f t="shared" si="1"/>
        <v>2021</v>
      </c>
      <c r="C33" s="9" t="s">
        <v>49</v>
      </c>
      <c r="D33" s="9">
        <v>23.0</v>
      </c>
      <c r="E33" s="9" t="s">
        <v>35</v>
      </c>
      <c r="F33" s="9" t="s">
        <v>36</v>
      </c>
      <c r="G33" s="8" t="s">
        <v>63</v>
      </c>
      <c r="H33" s="9" t="s">
        <v>259</v>
      </c>
      <c r="I33" s="9" t="s">
        <v>38</v>
      </c>
      <c r="J33" s="9" t="s">
        <v>75</v>
      </c>
      <c r="K33" s="9" t="s">
        <v>134</v>
      </c>
      <c r="L33" s="9" t="s">
        <v>39</v>
      </c>
      <c r="M33" s="9" t="s">
        <v>40</v>
      </c>
      <c r="N33" s="9" t="s">
        <v>40</v>
      </c>
      <c r="Q33" s="9" t="s">
        <v>76</v>
      </c>
      <c r="R33" s="9" t="s">
        <v>42</v>
      </c>
      <c r="S33" s="10">
        <v>1500.0</v>
      </c>
      <c r="T33" s="11">
        <v>0.0</v>
      </c>
      <c r="U33" s="9">
        <v>0.0</v>
      </c>
      <c r="V33" s="9">
        <v>60.0</v>
      </c>
      <c r="W33" s="9" t="s">
        <v>260</v>
      </c>
      <c r="X33" s="9" t="s">
        <v>261</v>
      </c>
      <c r="Y33" s="9" t="s">
        <v>58</v>
      </c>
      <c r="Z33" s="9" t="s">
        <v>155</v>
      </c>
      <c r="AA33" s="9" t="s">
        <v>47</v>
      </c>
      <c r="AB33" s="9" t="s">
        <v>61</v>
      </c>
      <c r="AD33" s="9">
        <v>8.0</v>
      </c>
      <c r="AE33" s="9">
        <v>3.0</v>
      </c>
      <c r="AF33" s="9">
        <v>1.0</v>
      </c>
      <c r="AG33" s="12">
        <v>1000.0</v>
      </c>
      <c r="AH33" s="13"/>
    </row>
    <row r="34">
      <c r="A34" s="7">
        <v>44451.844206435184</v>
      </c>
      <c r="B34" s="8">
        <f t="shared" si="1"/>
        <v>2021</v>
      </c>
      <c r="C34" s="9" t="s">
        <v>49</v>
      </c>
      <c r="D34" s="9">
        <v>33.0</v>
      </c>
      <c r="E34" s="9" t="s">
        <v>35</v>
      </c>
      <c r="F34" s="9" t="s">
        <v>36</v>
      </c>
      <c r="G34" s="8" t="s">
        <v>63</v>
      </c>
      <c r="H34" s="9" t="s">
        <v>262</v>
      </c>
      <c r="I34" s="9" t="s">
        <v>93</v>
      </c>
      <c r="J34" s="9" t="s">
        <v>263</v>
      </c>
      <c r="K34" s="9" t="s">
        <v>84</v>
      </c>
      <c r="L34" s="9" t="s">
        <v>39</v>
      </c>
      <c r="M34" s="9" t="s">
        <v>40</v>
      </c>
      <c r="N34" s="9" t="s">
        <v>40</v>
      </c>
      <c r="Q34" s="9" t="s">
        <v>264</v>
      </c>
      <c r="R34" s="9" t="s">
        <v>42</v>
      </c>
      <c r="S34" s="10">
        <v>3150.0</v>
      </c>
      <c r="T34" s="11">
        <v>0.0</v>
      </c>
      <c r="U34" s="9">
        <v>0.0</v>
      </c>
      <c r="V34" s="9">
        <v>18.0</v>
      </c>
      <c r="W34" s="9" t="s">
        <v>265</v>
      </c>
      <c r="X34" s="9" t="s">
        <v>266</v>
      </c>
      <c r="Y34" s="9" t="s">
        <v>267</v>
      </c>
      <c r="Z34" s="9" t="s">
        <v>268</v>
      </c>
      <c r="AA34" s="9" t="s">
        <v>60</v>
      </c>
      <c r="AB34" s="9" t="s">
        <v>61</v>
      </c>
      <c r="AD34" s="9">
        <v>4.0</v>
      </c>
      <c r="AE34" s="9">
        <v>12.0</v>
      </c>
      <c r="AF34" s="9">
        <v>1.0</v>
      </c>
      <c r="AG34" s="12">
        <v>1100.0</v>
      </c>
      <c r="AH34" s="13"/>
    </row>
    <row r="35">
      <c r="A35" s="7">
        <v>44614.36241887731</v>
      </c>
      <c r="B35" s="8">
        <f t="shared" si="1"/>
        <v>2022</v>
      </c>
      <c r="C35" s="9" t="s">
        <v>49</v>
      </c>
      <c r="D35" s="9">
        <v>24.0</v>
      </c>
      <c r="E35" s="9" t="s">
        <v>35</v>
      </c>
      <c r="F35" s="9" t="s">
        <v>36</v>
      </c>
      <c r="G35" s="8" t="s">
        <v>50</v>
      </c>
      <c r="H35" s="8" t="s">
        <v>180</v>
      </c>
      <c r="I35" s="9" t="s">
        <v>38</v>
      </c>
      <c r="J35" s="9" t="s">
        <v>75</v>
      </c>
      <c r="K35" s="9" t="s">
        <v>84</v>
      </c>
      <c r="L35" s="9" t="s">
        <v>39</v>
      </c>
      <c r="M35" s="9" t="s">
        <v>40</v>
      </c>
      <c r="N35" s="9" t="s">
        <v>40</v>
      </c>
      <c r="Q35" s="9" t="s">
        <v>41</v>
      </c>
      <c r="R35" s="9" t="s">
        <v>42</v>
      </c>
      <c r="S35" s="10">
        <v>3000.0</v>
      </c>
      <c r="T35" s="11">
        <v>0.0</v>
      </c>
      <c r="U35" s="9">
        <v>0.0</v>
      </c>
      <c r="V35" s="9">
        <v>12.0</v>
      </c>
      <c r="W35" s="9" t="s">
        <v>269</v>
      </c>
      <c r="X35" s="9" t="s">
        <v>270</v>
      </c>
      <c r="Y35" s="9" t="s">
        <v>58</v>
      </c>
      <c r="Z35" s="9" t="s">
        <v>271</v>
      </c>
      <c r="AA35" s="9" t="s">
        <v>71</v>
      </c>
      <c r="AB35" s="9" t="s">
        <v>91</v>
      </c>
      <c r="AD35" s="9">
        <v>4.0</v>
      </c>
      <c r="AE35" s="9">
        <v>0.0</v>
      </c>
      <c r="AF35" s="9">
        <v>1.0</v>
      </c>
      <c r="AG35" s="12">
        <v>1200.0</v>
      </c>
      <c r="AH35" s="9" t="s">
        <v>42</v>
      </c>
    </row>
    <row r="36">
      <c r="A36" s="7">
        <v>44476.894576493054</v>
      </c>
      <c r="B36" s="8">
        <f t="shared" si="1"/>
        <v>2021</v>
      </c>
      <c r="C36" s="9" t="s">
        <v>49</v>
      </c>
      <c r="D36" s="9">
        <v>22.0</v>
      </c>
      <c r="E36" s="9" t="s">
        <v>35</v>
      </c>
      <c r="F36" s="9" t="s">
        <v>36</v>
      </c>
      <c r="G36" s="8" t="s">
        <v>50</v>
      </c>
      <c r="H36" s="9" t="s">
        <v>106</v>
      </c>
      <c r="I36" s="9" t="s">
        <v>38</v>
      </c>
      <c r="J36" s="9" t="s">
        <v>75</v>
      </c>
      <c r="K36" s="9" t="s">
        <v>221</v>
      </c>
      <c r="L36" s="9" t="s">
        <v>39</v>
      </c>
      <c r="M36" s="9" t="s">
        <v>40</v>
      </c>
      <c r="N36" s="9" t="s">
        <v>40</v>
      </c>
      <c r="Q36" s="9" t="s">
        <v>272</v>
      </c>
      <c r="R36" s="9" t="s">
        <v>42</v>
      </c>
      <c r="S36" s="10">
        <v>3000.0</v>
      </c>
      <c r="T36" s="11">
        <v>0.0</v>
      </c>
      <c r="U36" s="9">
        <v>0.0</v>
      </c>
      <c r="V36" s="9">
        <v>12.0</v>
      </c>
      <c r="W36" s="9" t="s">
        <v>273</v>
      </c>
      <c r="X36" s="9" t="s">
        <v>274</v>
      </c>
      <c r="Y36" s="9" t="s">
        <v>58</v>
      </c>
      <c r="Z36" s="9" t="s">
        <v>89</v>
      </c>
      <c r="AA36" s="9" t="s">
        <v>132</v>
      </c>
      <c r="AB36" s="9" t="s">
        <v>61</v>
      </c>
      <c r="AD36" s="9">
        <v>7.0</v>
      </c>
      <c r="AE36" s="9">
        <v>0.0</v>
      </c>
      <c r="AF36" s="9">
        <v>1.0</v>
      </c>
      <c r="AG36" s="12">
        <v>1200.0</v>
      </c>
      <c r="AH36" s="9" t="s">
        <v>42</v>
      </c>
    </row>
    <row r="37">
      <c r="A37" s="7">
        <v>44534.85428403935</v>
      </c>
      <c r="B37" s="8">
        <f t="shared" si="1"/>
        <v>2021</v>
      </c>
      <c r="C37" s="9" t="s">
        <v>49</v>
      </c>
      <c r="D37" s="9">
        <v>30.0</v>
      </c>
      <c r="E37" s="9" t="s">
        <v>35</v>
      </c>
      <c r="F37" s="9" t="s">
        <v>36</v>
      </c>
      <c r="G37" s="9" t="s">
        <v>275</v>
      </c>
      <c r="H37" s="9" t="s">
        <v>276</v>
      </c>
      <c r="I37" s="9" t="s">
        <v>38</v>
      </c>
      <c r="J37" s="9" t="s">
        <v>160</v>
      </c>
      <c r="K37" s="9" t="s">
        <v>134</v>
      </c>
      <c r="L37" s="9" t="s">
        <v>39</v>
      </c>
      <c r="M37" s="9" t="s">
        <v>40</v>
      </c>
      <c r="N37" s="9" t="s">
        <v>40</v>
      </c>
      <c r="Q37" s="9" t="s">
        <v>277</v>
      </c>
      <c r="R37" s="9" t="s">
        <v>42</v>
      </c>
      <c r="S37" s="10">
        <v>1600.0</v>
      </c>
      <c r="T37" s="11">
        <v>0.0</v>
      </c>
      <c r="V37" s="9">
        <v>12.0</v>
      </c>
      <c r="W37" s="9" t="s">
        <v>278</v>
      </c>
      <c r="X37" s="9" t="s">
        <v>279</v>
      </c>
      <c r="Y37" s="9" t="s">
        <v>276</v>
      </c>
      <c r="Z37" s="9" t="s">
        <v>70</v>
      </c>
      <c r="AA37" s="9" t="s">
        <v>132</v>
      </c>
      <c r="AB37" s="9" t="s">
        <v>48</v>
      </c>
      <c r="AD37" s="9">
        <v>1.0</v>
      </c>
      <c r="AE37" s="9">
        <v>3.0</v>
      </c>
      <c r="AF37" s="9">
        <v>4.0</v>
      </c>
      <c r="AG37" s="12">
        <v>1200.0</v>
      </c>
      <c r="AH37" s="9" t="s">
        <v>42</v>
      </c>
    </row>
    <row r="38">
      <c r="A38" s="7">
        <v>44501.42611540509</v>
      </c>
      <c r="B38" s="8">
        <f t="shared" si="1"/>
        <v>2021</v>
      </c>
      <c r="C38" s="9" t="s">
        <v>49</v>
      </c>
      <c r="D38" s="9">
        <v>30.0</v>
      </c>
      <c r="E38" s="9" t="s">
        <v>35</v>
      </c>
      <c r="F38" s="9" t="s">
        <v>36</v>
      </c>
      <c r="G38" s="9" t="s">
        <v>275</v>
      </c>
      <c r="H38" s="9" t="s">
        <v>276</v>
      </c>
      <c r="I38" s="9" t="s">
        <v>38</v>
      </c>
      <c r="J38" s="9" t="s">
        <v>160</v>
      </c>
      <c r="K38" s="9" t="s">
        <v>134</v>
      </c>
      <c r="L38" s="9" t="s">
        <v>39</v>
      </c>
      <c r="M38" s="9" t="s">
        <v>39</v>
      </c>
      <c r="N38" s="9" t="s">
        <v>40</v>
      </c>
      <c r="O38" s="9" t="s">
        <v>280</v>
      </c>
      <c r="Q38" s="9" t="s">
        <v>281</v>
      </c>
      <c r="R38" s="9" t="s">
        <v>42</v>
      </c>
      <c r="S38" s="10">
        <v>1600.0</v>
      </c>
      <c r="T38" s="11">
        <v>0.0</v>
      </c>
      <c r="U38" s="9">
        <v>0.0</v>
      </c>
      <c r="V38" s="9">
        <v>14.0</v>
      </c>
      <c r="W38" s="9" t="s">
        <v>282</v>
      </c>
      <c r="X38" s="9" t="s">
        <v>283</v>
      </c>
      <c r="Y38" s="9" t="s">
        <v>284</v>
      </c>
      <c r="Z38" s="9" t="s">
        <v>285</v>
      </c>
      <c r="AA38" s="9" t="s">
        <v>132</v>
      </c>
      <c r="AB38" s="9" t="s">
        <v>48</v>
      </c>
      <c r="AC38" s="9" t="s">
        <v>286</v>
      </c>
      <c r="AD38" s="9">
        <v>3.0</v>
      </c>
      <c r="AE38" s="9">
        <v>3.0</v>
      </c>
      <c r="AF38" s="9">
        <v>4.0</v>
      </c>
      <c r="AG38" s="12">
        <v>1200.0</v>
      </c>
      <c r="AH38" s="9" t="s">
        <v>42</v>
      </c>
    </row>
    <row r="39">
      <c r="A39" s="7">
        <v>44411.40803663194</v>
      </c>
      <c r="B39" s="8">
        <f t="shared" si="1"/>
        <v>2021</v>
      </c>
      <c r="C39" s="9" t="s">
        <v>49</v>
      </c>
      <c r="D39" s="9">
        <v>24.0</v>
      </c>
      <c r="E39" s="9" t="s">
        <v>35</v>
      </c>
      <c r="F39" s="9" t="s">
        <v>36</v>
      </c>
      <c r="G39" s="8" t="s">
        <v>50</v>
      </c>
      <c r="H39" s="9" t="s">
        <v>106</v>
      </c>
      <c r="I39" s="9" t="s">
        <v>38</v>
      </c>
      <c r="J39" s="9" t="s">
        <v>75</v>
      </c>
      <c r="K39" s="9" t="s">
        <v>234</v>
      </c>
      <c r="L39" s="9" t="s">
        <v>39</v>
      </c>
      <c r="M39" s="9" t="s">
        <v>40</v>
      </c>
      <c r="N39" s="9" t="s">
        <v>40</v>
      </c>
      <c r="Q39" s="9" t="s">
        <v>287</v>
      </c>
      <c r="R39" s="9" t="s">
        <v>42</v>
      </c>
      <c r="S39" s="10">
        <v>3500.0</v>
      </c>
      <c r="T39" s="11">
        <v>7176.0</v>
      </c>
      <c r="U39" s="9">
        <v>0.0</v>
      </c>
      <c r="V39" s="9">
        <v>15.0</v>
      </c>
      <c r="W39" s="9" t="s">
        <v>288</v>
      </c>
      <c r="X39" s="9" t="s">
        <v>289</v>
      </c>
      <c r="Y39" s="9" t="s">
        <v>290</v>
      </c>
      <c r="Z39" s="9" t="s">
        <v>116</v>
      </c>
      <c r="AA39" s="9" t="s">
        <v>81</v>
      </c>
      <c r="AB39" s="9" t="s">
        <v>61</v>
      </c>
      <c r="AC39" s="9" t="s">
        <v>291</v>
      </c>
      <c r="AD39" s="9">
        <v>10.0</v>
      </c>
      <c r="AE39" s="9">
        <v>0.5</v>
      </c>
      <c r="AF39" s="9">
        <v>1.0</v>
      </c>
      <c r="AG39" s="12">
        <v>1200.0</v>
      </c>
      <c r="AH39" s="13"/>
    </row>
    <row r="40">
      <c r="A40" s="7">
        <v>44404.92729756945</v>
      </c>
      <c r="B40" s="8">
        <f t="shared" si="1"/>
        <v>2021</v>
      </c>
      <c r="C40" s="9" t="s">
        <v>49</v>
      </c>
      <c r="D40" s="9">
        <v>34.0</v>
      </c>
      <c r="E40" s="9" t="s">
        <v>35</v>
      </c>
      <c r="F40" s="9" t="s">
        <v>36</v>
      </c>
      <c r="G40" s="8" t="s">
        <v>50</v>
      </c>
      <c r="H40" s="8" t="s">
        <v>99</v>
      </c>
      <c r="I40" s="9" t="s">
        <v>93</v>
      </c>
      <c r="J40" s="9" t="s">
        <v>93</v>
      </c>
      <c r="K40" s="9" t="s">
        <v>292</v>
      </c>
      <c r="L40" s="9" t="s">
        <v>40</v>
      </c>
      <c r="M40" s="9" t="s">
        <v>40</v>
      </c>
      <c r="N40" s="9" t="s">
        <v>40</v>
      </c>
      <c r="Q40" s="8" t="s">
        <v>293</v>
      </c>
      <c r="R40" s="9" t="s">
        <v>42</v>
      </c>
      <c r="S40" s="10">
        <v>10000.0</v>
      </c>
      <c r="T40" s="11">
        <v>25000.0</v>
      </c>
      <c r="V40" s="9">
        <v>18.0</v>
      </c>
      <c r="W40" s="9" t="s">
        <v>294</v>
      </c>
      <c r="X40" s="9" t="s">
        <v>295</v>
      </c>
      <c r="Y40" s="9" t="s">
        <v>296</v>
      </c>
      <c r="Z40" s="9" t="s">
        <v>297</v>
      </c>
      <c r="AA40" s="9" t="s">
        <v>60</v>
      </c>
      <c r="AB40" s="9" t="s">
        <v>91</v>
      </c>
      <c r="AD40" s="9">
        <v>8.0</v>
      </c>
      <c r="AE40" s="9">
        <v>12.0</v>
      </c>
      <c r="AF40" s="9">
        <v>3.0</v>
      </c>
      <c r="AG40" s="12">
        <v>1200.0</v>
      </c>
      <c r="AH40" s="13"/>
    </row>
    <row r="41">
      <c r="A41" s="7">
        <v>44404.04706508102</v>
      </c>
      <c r="B41" s="8">
        <f t="shared" si="1"/>
        <v>2021</v>
      </c>
      <c r="C41" s="9" t="s">
        <v>49</v>
      </c>
      <c r="D41" s="9">
        <v>27.0</v>
      </c>
      <c r="E41" s="9" t="s">
        <v>35</v>
      </c>
      <c r="F41" s="9" t="s">
        <v>36</v>
      </c>
      <c r="G41" s="8" t="s">
        <v>124</v>
      </c>
      <c r="H41" s="9" t="s">
        <v>298</v>
      </c>
      <c r="I41" s="9" t="s">
        <v>247</v>
      </c>
      <c r="J41" s="9" t="s">
        <v>65</v>
      </c>
      <c r="K41" s="9" t="s">
        <v>161</v>
      </c>
      <c r="L41" s="9" t="s">
        <v>39</v>
      </c>
      <c r="M41" s="9" t="s">
        <v>40</v>
      </c>
      <c r="N41" s="9" t="s">
        <v>39</v>
      </c>
      <c r="Q41" s="9" t="s">
        <v>128</v>
      </c>
      <c r="R41" s="9" t="s">
        <v>42</v>
      </c>
      <c r="S41" s="10">
        <v>1400.0</v>
      </c>
      <c r="T41" s="11">
        <v>700.0</v>
      </c>
      <c r="V41" s="9">
        <v>10.0</v>
      </c>
      <c r="W41" s="9" t="s">
        <v>67</v>
      </c>
      <c r="X41" s="9" t="s">
        <v>299</v>
      </c>
      <c r="Y41" s="9" t="s">
        <v>300</v>
      </c>
      <c r="Z41" s="9" t="s">
        <v>59</v>
      </c>
      <c r="AA41" s="9" t="s">
        <v>132</v>
      </c>
      <c r="AB41" s="9" t="s">
        <v>91</v>
      </c>
      <c r="AD41" s="9">
        <v>7.0</v>
      </c>
      <c r="AE41" s="9">
        <v>4.0</v>
      </c>
      <c r="AF41" s="9">
        <v>2.0</v>
      </c>
      <c r="AG41" s="12">
        <v>1200.0</v>
      </c>
      <c r="AH41" s="13"/>
    </row>
    <row r="42">
      <c r="A42" s="7">
        <v>44403.97147493056</v>
      </c>
      <c r="B42" s="8">
        <f t="shared" si="1"/>
        <v>2021</v>
      </c>
      <c r="C42" s="9" t="s">
        <v>49</v>
      </c>
      <c r="D42" s="9">
        <v>19.0</v>
      </c>
      <c r="E42" s="9" t="s">
        <v>35</v>
      </c>
      <c r="F42" s="9" t="s">
        <v>36</v>
      </c>
      <c r="G42" s="8" t="s">
        <v>63</v>
      </c>
      <c r="H42" s="9" t="s">
        <v>301</v>
      </c>
      <c r="I42" s="9" t="s">
        <v>302</v>
      </c>
      <c r="J42" s="9" t="s">
        <v>126</v>
      </c>
      <c r="K42" s="9" t="s">
        <v>100</v>
      </c>
      <c r="L42" s="9" t="s">
        <v>39</v>
      </c>
      <c r="M42" s="9" t="s">
        <v>40</v>
      </c>
      <c r="N42" s="9" t="s">
        <v>40</v>
      </c>
      <c r="Q42" s="9" t="s">
        <v>303</v>
      </c>
      <c r="R42" s="9" t="s">
        <v>42</v>
      </c>
      <c r="S42" s="10">
        <v>1800.0</v>
      </c>
      <c r="T42" s="11">
        <v>0.0</v>
      </c>
      <c r="U42" s="9">
        <v>0.0</v>
      </c>
      <c r="V42" s="9">
        <v>12.0</v>
      </c>
      <c r="W42" s="9" t="s">
        <v>304</v>
      </c>
      <c r="X42" s="9" t="s">
        <v>305</v>
      </c>
      <c r="Y42" s="9" t="s">
        <v>306</v>
      </c>
      <c r="Z42" s="9" t="s">
        <v>89</v>
      </c>
      <c r="AA42" s="9" t="s">
        <v>47</v>
      </c>
      <c r="AB42" s="9" t="s">
        <v>61</v>
      </c>
      <c r="AD42" s="9">
        <v>7.0</v>
      </c>
      <c r="AE42" s="9">
        <v>0.0</v>
      </c>
      <c r="AF42" s="9">
        <v>0.0</v>
      </c>
      <c r="AG42" s="12">
        <v>1200.0</v>
      </c>
      <c r="AH42" s="13"/>
    </row>
    <row r="43">
      <c r="A43" s="7">
        <v>44403.927692557874</v>
      </c>
      <c r="B43" s="8">
        <f t="shared" si="1"/>
        <v>2021</v>
      </c>
      <c r="C43" s="9" t="s">
        <v>49</v>
      </c>
      <c r="D43" s="9">
        <v>39.0</v>
      </c>
      <c r="E43" s="9" t="s">
        <v>35</v>
      </c>
      <c r="F43" s="9" t="s">
        <v>36</v>
      </c>
      <c r="G43" s="8" t="s">
        <v>124</v>
      </c>
      <c r="H43" s="9" t="s">
        <v>307</v>
      </c>
      <c r="I43" s="9" t="s">
        <v>38</v>
      </c>
      <c r="K43" s="9" t="s">
        <v>221</v>
      </c>
      <c r="L43" s="9" t="s">
        <v>39</v>
      </c>
      <c r="M43" s="9" t="s">
        <v>40</v>
      </c>
      <c r="N43" s="9" t="s">
        <v>40</v>
      </c>
      <c r="Q43" s="9" t="s">
        <v>308</v>
      </c>
      <c r="R43" s="9" t="s">
        <v>42</v>
      </c>
      <c r="S43" s="10">
        <v>17500.0</v>
      </c>
      <c r="T43" s="11">
        <v>8750.0</v>
      </c>
      <c r="U43" s="9">
        <v>0.0</v>
      </c>
      <c r="V43" s="9">
        <v>14.0</v>
      </c>
      <c r="W43" s="9" t="s">
        <v>309</v>
      </c>
      <c r="X43" s="9" t="s">
        <v>310</v>
      </c>
      <c r="Y43" s="9" t="s">
        <v>122</v>
      </c>
      <c r="Z43" s="9" t="s">
        <v>89</v>
      </c>
      <c r="AA43" s="9" t="s">
        <v>71</v>
      </c>
      <c r="AB43" s="9" t="s">
        <v>61</v>
      </c>
      <c r="AD43" s="9">
        <v>9.0</v>
      </c>
      <c r="AE43" s="9">
        <v>15.0</v>
      </c>
      <c r="AF43" s="9">
        <v>7.0</v>
      </c>
      <c r="AG43" s="12">
        <v>1200.0</v>
      </c>
      <c r="AH43" s="13"/>
    </row>
    <row r="44">
      <c r="A44" s="14">
        <v>44403.85154363426</v>
      </c>
      <c r="B44" s="8">
        <f t="shared" si="1"/>
        <v>2021</v>
      </c>
      <c r="C44" s="8" t="s">
        <v>49</v>
      </c>
      <c r="D44" s="8">
        <v>21.0</v>
      </c>
      <c r="E44" s="8" t="s">
        <v>35</v>
      </c>
      <c r="F44" s="8" t="s">
        <v>36</v>
      </c>
      <c r="G44" s="8" t="s">
        <v>50</v>
      </c>
      <c r="H44" s="8" t="s">
        <v>106</v>
      </c>
      <c r="I44" s="8" t="s">
        <v>38</v>
      </c>
      <c r="J44" s="9" t="s">
        <v>160</v>
      </c>
      <c r="K44" s="8" t="s">
        <v>311</v>
      </c>
      <c r="L44" s="8" t="s">
        <v>39</v>
      </c>
      <c r="M44" s="8" t="s">
        <v>40</v>
      </c>
      <c r="N44" s="8" t="s">
        <v>40</v>
      </c>
      <c r="O44" s="15"/>
      <c r="P44" s="15"/>
      <c r="Q44" s="9" t="s">
        <v>312</v>
      </c>
      <c r="R44" s="9" t="s">
        <v>42</v>
      </c>
      <c r="S44" s="16">
        <v>1500.0</v>
      </c>
      <c r="T44" s="17">
        <v>0.0</v>
      </c>
      <c r="U44" s="8">
        <v>0.0</v>
      </c>
      <c r="V44" s="8">
        <v>16.0</v>
      </c>
      <c r="W44" s="8" t="s">
        <v>223</v>
      </c>
      <c r="X44" s="8" t="s">
        <v>313</v>
      </c>
      <c r="Y44" s="8" t="s">
        <v>314</v>
      </c>
      <c r="Z44" s="8" t="s">
        <v>155</v>
      </c>
      <c r="AA44" s="8" t="s">
        <v>71</v>
      </c>
      <c r="AB44" s="8" t="s">
        <v>61</v>
      </c>
      <c r="AC44" s="8" t="s">
        <v>315</v>
      </c>
      <c r="AD44" s="8">
        <v>1.0</v>
      </c>
      <c r="AE44" s="8">
        <v>0.0</v>
      </c>
      <c r="AF44" s="8">
        <v>0.0</v>
      </c>
      <c r="AG44" s="18">
        <v>1200.0</v>
      </c>
      <c r="AH44" s="13"/>
      <c r="AI44" s="15"/>
      <c r="AJ44" s="15"/>
      <c r="AK44" s="15"/>
      <c r="AL44" s="15"/>
      <c r="AM44" s="15"/>
      <c r="AN44" s="15"/>
    </row>
    <row r="45">
      <c r="A45" s="7">
        <v>44403.933878020835</v>
      </c>
      <c r="B45" s="8">
        <f t="shared" si="1"/>
        <v>2021</v>
      </c>
      <c r="C45" s="9" t="s">
        <v>49</v>
      </c>
      <c r="D45" s="9">
        <v>29.0</v>
      </c>
      <c r="E45" s="9" t="s">
        <v>35</v>
      </c>
      <c r="F45" s="9" t="s">
        <v>36</v>
      </c>
      <c r="G45" s="8" t="s">
        <v>74</v>
      </c>
      <c r="H45" s="9" t="s">
        <v>316</v>
      </c>
      <c r="I45" s="9" t="s">
        <v>38</v>
      </c>
      <c r="J45" s="9" t="s">
        <v>75</v>
      </c>
      <c r="K45" s="8" t="s">
        <v>188</v>
      </c>
      <c r="L45" s="9" t="s">
        <v>39</v>
      </c>
      <c r="M45" s="9" t="s">
        <v>40</v>
      </c>
      <c r="N45" s="9" t="s">
        <v>40</v>
      </c>
      <c r="Q45" s="9" t="s">
        <v>128</v>
      </c>
      <c r="R45" s="9" t="s">
        <v>42</v>
      </c>
      <c r="S45" s="10">
        <v>9500.0</v>
      </c>
      <c r="T45" s="11">
        <v>9500.0</v>
      </c>
      <c r="U45" s="9">
        <v>0.0</v>
      </c>
      <c r="V45" s="9">
        <v>15.0</v>
      </c>
      <c r="W45" s="9" t="s">
        <v>317</v>
      </c>
      <c r="X45" s="9" t="s">
        <v>318</v>
      </c>
      <c r="Y45" s="9" t="s">
        <v>122</v>
      </c>
      <c r="Z45" s="9" t="s">
        <v>89</v>
      </c>
      <c r="AA45" s="9" t="s">
        <v>132</v>
      </c>
      <c r="AB45" s="9" t="s">
        <v>91</v>
      </c>
      <c r="AD45" s="9">
        <v>9.0</v>
      </c>
      <c r="AE45" s="9">
        <v>3.5</v>
      </c>
      <c r="AF45" s="9">
        <v>6.0</v>
      </c>
      <c r="AG45" s="12">
        <v>1250.0</v>
      </c>
      <c r="AH45" s="13"/>
    </row>
    <row r="46">
      <c r="A46" s="14">
        <v>44403.840983726855</v>
      </c>
      <c r="B46" s="8">
        <f t="shared" si="1"/>
        <v>2021</v>
      </c>
      <c r="C46" s="8" t="s">
        <v>49</v>
      </c>
      <c r="D46" s="8">
        <v>41.0</v>
      </c>
      <c r="E46" s="8" t="s">
        <v>35</v>
      </c>
      <c r="F46" s="8" t="s">
        <v>36</v>
      </c>
      <c r="G46" s="8" t="s">
        <v>50</v>
      </c>
      <c r="H46" s="8" t="s">
        <v>117</v>
      </c>
      <c r="I46" s="8" t="s">
        <v>302</v>
      </c>
      <c r="J46" s="8" t="s">
        <v>113</v>
      </c>
      <c r="K46" s="8" t="s">
        <v>319</v>
      </c>
      <c r="L46" s="8" t="s">
        <v>39</v>
      </c>
      <c r="M46" s="8" t="s">
        <v>40</v>
      </c>
      <c r="N46" s="8" t="s">
        <v>40</v>
      </c>
      <c r="O46" s="8"/>
      <c r="P46" s="8"/>
      <c r="Q46" s="8" t="s">
        <v>119</v>
      </c>
      <c r="R46" s="9" t="s">
        <v>42</v>
      </c>
      <c r="S46" s="16">
        <v>16800.0</v>
      </c>
      <c r="T46" s="17">
        <v>0.0</v>
      </c>
      <c r="U46" s="8" t="s">
        <v>113</v>
      </c>
      <c r="V46" s="8">
        <v>20.0</v>
      </c>
      <c r="W46" s="8" t="s">
        <v>320</v>
      </c>
      <c r="X46" s="8" t="s">
        <v>321</v>
      </c>
      <c r="Y46" s="8" t="s">
        <v>122</v>
      </c>
      <c r="Z46" s="8" t="s">
        <v>70</v>
      </c>
      <c r="AA46" s="8" t="s">
        <v>71</v>
      </c>
      <c r="AB46" s="8" t="s">
        <v>61</v>
      </c>
      <c r="AC46" s="15"/>
      <c r="AD46" s="8">
        <v>7.0</v>
      </c>
      <c r="AE46" s="8">
        <v>18.0</v>
      </c>
      <c r="AF46" s="8">
        <v>7.0</v>
      </c>
      <c r="AG46" s="18">
        <v>1250.0</v>
      </c>
      <c r="AH46" s="13"/>
      <c r="AI46" s="15"/>
      <c r="AJ46" s="15"/>
      <c r="AK46" s="15"/>
      <c r="AL46" s="15"/>
      <c r="AM46" s="15"/>
      <c r="AN46" s="15"/>
    </row>
    <row r="47">
      <c r="A47" s="7">
        <v>44404.39964428241</v>
      </c>
      <c r="B47" s="8">
        <f t="shared" si="1"/>
        <v>2021</v>
      </c>
      <c r="C47" s="9" t="s">
        <v>49</v>
      </c>
      <c r="D47" s="9">
        <v>24.0</v>
      </c>
      <c r="E47" s="9" t="s">
        <v>35</v>
      </c>
      <c r="F47" s="9" t="s">
        <v>36</v>
      </c>
      <c r="G47" s="8" t="s">
        <v>50</v>
      </c>
      <c r="H47" s="9" t="s">
        <v>106</v>
      </c>
      <c r="I47" s="9" t="s">
        <v>38</v>
      </c>
      <c r="J47" s="9" t="s">
        <v>75</v>
      </c>
      <c r="K47" s="9" t="s">
        <v>322</v>
      </c>
      <c r="L47" s="9" t="s">
        <v>39</v>
      </c>
      <c r="M47" s="9" t="s">
        <v>40</v>
      </c>
      <c r="N47" s="9" t="s">
        <v>40</v>
      </c>
      <c r="Q47" s="9" t="s">
        <v>128</v>
      </c>
      <c r="R47" s="9" t="s">
        <v>42</v>
      </c>
      <c r="S47" s="10">
        <v>1300.0</v>
      </c>
      <c r="T47" s="11">
        <v>0.0</v>
      </c>
      <c r="U47" s="9">
        <v>0.0</v>
      </c>
      <c r="V47" s="9">
        <v>4.0</v>
      </c>
      <c r="W47" s="9" t="s">
        <v>323</v>
      </c>
      <c r="X47" s="9" t="s">
        <v>324</v>
      </c>
      <c r="Y47" s="9" t="s">
        <v>325</v>
      </c>
      <c r="Z47" s="9" t="s">
        <v>59</v>
      </c>
      <c r="AA47" s="9" t="s">
        <v>60</v>
      </c>
      <c r="AB47" s="9" t="s">
        <v>61</v>
      </c>
      <c r="AD47" s="9">
        <v>5.0</v>
      </c>
      <c r="AE47" s="9">
        <v>0.5</v>
      </c>
      <c r="AF47" s="9">
        <v>0.0</v>
      </c>
      <c r="AG47" s="12">
        <v>1300.0</v>
      </c>
      <c r="AH47" s="13"/>
    </row>
    <row r="48">
      <c r="A48" s="14">
        <v>44403.87644195602</v>
      </c>
      <c r="B48" s="8">
        <f t="shared" si="1"/>
        <v>2021</v>
      </c>
      <c r="C48" s="8" t="s">
        <v>49</v>
      </c>
      <c r="D48" s="8">
        <v>24.0</v>
      </c>
      <c r="E48" s="8" t="s">
        <v>35</v>
      </c>
      <c r="F48" s="8" t="s">
        <v>36</v>
      </c>
      <c r="G48" s="8" t="s">
        <v>50</v>
      </c>
      <c r="H48" s="8" t="s">
        <v>51</v>
      </c>
      <c r="I48" s="8" t="s">
        <v>38</v>
      </c>
      <c r="J48" s="9" t="s">
        <v>326</v>
      </c>
      <c r="K48" s="9" t="s">
        <v>327</v>
      </c>
      <c r="L48" s="8" t="s">
        <v>39</v>
      </c>
      <c r="M48" s="8" t="s">
        <v>40</v>
      </c>
      <c r="N48" s="8" t="s">
        <v>40</v>
      </c>
      <c r="O48" s="15"/>
      <c r="P48" s="15"/>
      <c r="Q48" s="8" t="s">
        <v>328</v>
      </c>
      <c r="R48" s="9" t="s">
        <v>42</v>
      </c>
      <c r="S48" s="16">
        <v>3800.0</v>
      </c>
      <c r="T48" s="17">
        <v>0.0</v>
      </c>
      <c r="U48" s="8">
        <v>0.0</v>
      </c>
      <c r="V48" s="8">
        <v>8.0</v>
      </c>
      <c r="W48" s="8" t="s">
        <v>329</v>
      </c>
      <c r="X48" s="8" t="s">
        <v>330</v>
      </c>
      <c r="Y48" s="8" t="s">
        <v>331</v>
      </c>
      <c r="Z48" s="8" t="s">
        <v>80</v>
      </c>
      <c r="AA48" s="8" t="s">
        <v>71</v>
      </c>
      <c r="AB48" s="8" t="s">
        <v>61</v>
      </c>
      <c r="AC48" s="15"/>
      <c r="AD48" s="8">
        <v>5.0</v>
      </c>
      <c r="AE48" s="8">
        <v>1.0</v>
      </c>
      <c r="AF48" s="8">
        <v>2.0</v>
      </c>
      <c r="AG48" s="18">
        <v>1300.0</v>
      </c>
      <c r="AH48" s="13"/>
      <c r="AI48" s="15"/>
      <c r="AJ48" s="15"/>
      <c r="AK48" s="15"/>
      <c r="AL48" s="15"/>
      <c r="AM48" s="15"/>
      <c r="AN48" s="15"/>
    </row>
    <row r="49">
      <c r="A49" s="7">
        <v>44403.89841091435</v>
      </c>
      <c r="B49" s="8">
        <f t="shared" si="1"/>
        <v>2021</v>
      </c>
      <c r="C49" s="9" t="s">
        <v>49</v>
      </c>
      <c r="D49" s="9">
        <v>38.0</v>
      </c>
      <c r="E49" s="9" t="s">
        <v>35</v>
      </c>
      <c r="F49" s="9" t="s">
        <v>36</v>
      </c>
      <c r="G49" s="8" t="s">
        <v>50</v>
      </c>
      <c r="H49" s="8" t="s">
        <v>82</v>
      </c>
      <c r="I49" s="9" t="s">
        <v>38</v>
      </c>
      <c r="J49" s="9" t="s">
        <v>160</v>
      </c>
      <c r="K49" s="8" t="s">
        <v>332</v>
      </c>
      <c r="L49" s="9" t="s">
        <v>39</v>
      </c>
      <c r="M49" s="9" t="s">
        <v>40</v>
      </c>
      <c r="N49" s="9" t="s">
        <v>40</v>
      </c>
      <c r="Q49" s="9" t="s">
        <v>333</v>
      </c>
      <c r="R49" s="9" t="s">
        <v>42</v>
      </c>
      <c r="S49" s="10">
        <v>12000.0</v>
      </c>
      <c r="T49" s="11">
        <v>0.0</v>
      </c>
      <c r="U49" s="9">
        <v>0.0</v>
      </c>
      <c r="V49" s="9">
        <v>28.0</v>
      </c>
      <c r="W49" s="9" t="s">
        <v>334</v>
      </c>
      <c r="X49" s="9" t="s">
        <v>335</v>
      </c>
      <c r="Y49" s="9" t="s">
        <v>336</v>
      </c>
      <c r="Z49" s="9" t="s">
        <v>159</v>
      </c>
      <c r="AA49" s="9" t="s">
        <v>47</v>
      </c>
      <c r="AB49" s="9" t="s">
        <v>61</v>
      </c>
      <c r="AD49" s="9">
        <v>10.0</v>
      </c>
      <c r="AE49" s="9">
        <v>10.0</v>
      </c>
      <c r="AF49" s="9">
        <v>2.0</v>
      </c>
      <c r="AG49" s="12">
        <v>1400.0</v>
      </c>
      <c r="AH49" s="13"/>
    </row>
    <row r="50">
      <c r="A50" s="7">
        <v>44405.7380570949</v>
      </c>
      <c r="B50" s="8">
        <f t="shared" si="1"/>
        <v>2021</v>
      </c>
      <c r="C50" s="9" t="s">
        <v>73</v>
      </c>
      <c r="D50" s="9">
        <v>25.0</v>
      </c>
      <c r="E50" s="9" t="s">
        <v>35</v>
      </c>
      <c r="F50" s="9" t="s">
        <v>36</v>
      </c>
      <c r="G50" s="8" t="s">
        <v>50</v>
      </c>
      <c r="H50" s="8" t="s">
        <v>180</v>
      </c>
      <c r="I50" s="9" t="s">
        <v>38</v>
      </c>
      <c r="J50" s="9" t="s">
        <v>160</v>
      </c>
      <c r="K50" s="9" t="s">
        <v>337</v>
      </c>
      <c r="L50" s="9" t="s">
        <v>39</v>
      </c>
      <c r="M50" s="9" t="s">
        <v>40</v>
      </c>
      <c r="N50" s="9" t="s">
        <v>40</v>
      </c>
      <c r="Q50" s="9" t="s">
        <v>54</v>
      </c>
      <c r="R50" s="9" t="s">
        <v>42</v>
      </c>
      <c r="S50" s="10">
        <v>2700.0</v>
      </c>
      <c r="T50" s="11">
        <v>2400.0</v>
      </c>
      <c r="V50" s="9">
        <v>9.0</v>
      </c>
      <c r="W50" s="9" t="s">
        <v>157</v>
      </c>
      <c r="X50" s="9" t="s">
        <v>87</v>
      </c>
      <c r="Y50" s="9" t="s">
        <v>50</v>
      </c>
      <c r="Z50" s="9" t="s">
        <v>155</v>
      </c>
      <c r="AA50" s="9" t="s">
        <v>47</v>
      </c>
      <c r="AB50" s="9" t="s">
        <v>61</v>
      </c>
      <c r="AD50" s="9">
        <v>7.0</v>
      </c>
      <c r="AE50" s="9">
        <v>0.0</v>
      </c>
      <c r="AF50" s="9">
        <v>2.0</v>
      </c>
      <c r="AG50" s="12">
        <v>1500.0</v>
      </c>
      <c r="AH50" s="9" t="s">
        <v>42</v>
      </c>
    </row>
    <row r="51">
      <c r="A51" s="7">
        <v>44520.78969167824</v>
      </c>
      <c r="B51" s="8">
        <f t="shared" si="1"/>
        <v>2021</v>
      </c>
      <c r="C51" s="9" t="s">
        <v>49</v>
      </c>
      <c r="D51" s="9">
        <v>24.0</v>
      </c>
      <c r="E51" s="9" t="s">
        <v>35</v>
      </c>
      <c r="F51" s="9" t="s">
        <v>36</v>
      </c>
      <c r="G51" s="9" t="s">
        <v>124</v>
      </c>
      <c r="H51" s="8" t="s">
        <v>37</v>
      </c>
      <c r="I51" s="9" t="s">
        <v>38</v>
      </c>
      <c r="L51" s="9" t="s">
        <v>39</v>
      </c>
      <c r="M51" s="9" t="s">
        <v>40</v>
      </c>
      <c r="N51" s="9" t="s">
        <v>40</v>
      </c>
      <c r="Q51" s="9" t="s">
        <v>338</v>
      </c>
      <c r="R51" s="9" t="s">
        <v>42</v>
      </c>
      <c r="S51" s="10">
        <v>3800.0</v>
      </c>
      <c r="T51" s="11" t="s">
        <v>37</v>
      </c>
      <c r="V51" s="9">
        <v>10.0</v>
      </c>
      <c r="W51" s="9" t="s">
        <v>339</v>
      </c>
      <c r="X51" s="9" t="s">
        <v>163</v>
      </c>
      <c r="Y51" s="9" t="s">
        <v>340</v>
      </c>
      <c r="Z51" s="9" t="s">
        <v>105</v>
      </c>
      <c r="AA51" s="9" t="s">
        <v>132</v>
      </c>
      <c r="AB51" s="9" t="s">
        <v>91</v>
      </c>
      <c r="AD51" s="9">
        <v>8.0</v>
      </c>
      <c r="AE51" s="9">
        <v>2.0</v>
      </c>
      <c r="AF51" s="9">
        <v>0.0</v>
      </c>
      <c r="AG51" s="12">
        <v>1500.0</v>
      </c>
      <c r="AH51" s="9" t="s">
        <v>42</v>
      </c>
    </row>
    <row r="52">
      <c r="A52" s="7">
        <v>44407.83484081019</v>
      </c>
      <c r="B52" s="8">
        <f t="shared" si="1"/>
        <v>2021</v>
      </c>
      <c r="C52" s="9" t="s">
        <v>49</v>
      </c>
      <c r="D52" s="9">
        <v>35.0</v>
      </c>
      <c r="E52" s="9" t="s">
        <v>35</v>
      </c>
      <c r="F52" s="9" t="s">
        <v>36</v>
      </c>
      <c r="G52" s="8" t="s">
        <v>50</v>
      </c>
      <c r="H52" s="8" t="s">
        <v>341</v>
      </c>
      <c r="I52" s="9" t="s">
        <v>38</v>
      </c>
      <c r="J52" s="9" t="s">
        <v>342</v>
      </c>
      <c r="K52" s="9" t="s">
        <v>343</v>
      </c>
      <c r="L52" s="9" t="s">
        <v>39</v>
      </c>
      <c r="M52" s="9" t="s">
        <v>40</v>
      </c>
      <c r="N52" s="9" t="s">
        <v>40</v>
      </c>
      <c r="Q52" s="9" t="s">
        <v>344</v>
      </c>
      <c r="R52" s="9" t="s">
        <v>42</v>
      </c>
      <c r="S52" s="10">
        <v>8000.0</v>
      </c>
      <c r="T52" s="11">
        <v>1000.0</v>
      </c>
      <c r="U52" s="9">
        <v>0.0</v>
      </c>
      <c r="V52" s="9">
        <v>12.0</v>
      </c>
      <c r="W52" s="9" t="s">
        <v>345</v>
      </c>
      <c r="X52" s="9" t="s">
        <v>346</v>
      </c>
      <c r="Y52" s="9" t="s">
        <v>124</v>
      </c>
      <c r="Z52" s="9" t="s">
        <v>347</v>
      </c>
      <c r="AA52" s="9" t="s">
        <v>71</v>
      </c>
      <c r="AB52" s="9" t="s">
        <v>61</v>
      </c>
      <c r="AD52" s="9">
        <v>6.0</v>
      </c>
      <c r="AE52" s="9">
        <v>9.0</v>
      </c>
      <c r="AF52" s="9">
        <v>6.0</v>
      </c>
      <c r="AG52" s="12">
        <v>1500.0</v>
      </c>
      <c r="AH52" s="9" t="s">
        <v>42</v>
      </c>
    </row>
    <row r="53">
      <c r="A53" s="7">
        <v>44409.46124234954</v>
      </c>
      <c r="B53" s="8">
        <f t="shared" si="1"/>
        <v>2021</v>
      </c>
      <c r="C53" s="9" t="s">
        <v>49</v>
      </c>
      <c r="D53" s="9">
        <v>27.0</v>
      </c>
      <c r="E53" s="9" t="s">
        <v>35</v>
      </c>
      <c r="F53" s="9" t="s">
        <v>36</v>
      </c>
      <c r="G53" s="8" t="s">
        <v>50</v>
      </c>
      <c r="H53" s="8" t="s">
        <v>51</v>
      </c>
      <c r="I53" s="9" t="s">
        <v>38</v>
      </c>
      <c r="J53" s="9" t="s">
        <v>75</v>
      </c>
      <c r="K53" s="8" t="s">
        <v>332</v>
      </c>
      <c r="L53" s="9" t="s">
        <v>39</v>
      </c>
      <c r="M53" s="9" t="s">
        <v>40</v>
      </c>
      <c r="N53" s="9" t="s">
        <v>40</v>
      </c>
      <c r="Q53" s="9" t="s">
        <v>146</v>
      </c>
      <c r="R53" s="9" t="s">
        <v>42</v>
      </c>
      <c r="S53" s="10">
        <v>2500.0</v>
      </c>
      <c r="T53" s="11">
        <v>0.0</v>
      </c>
      <c r="U53" s="9">
        <v>0.0</v>
      </c>
      <c r="V53" s="9">
        <v>14.0</v>
      </c>
      <c r="W53" s="9" t="s">
        <v>320</v>
      </c>
      <c r="X53" s="9" t="s">
        <v>348</v>
      </c>
      <c r="Y53" s="9" t="s">
        <v>349</v>
      </c>
      <c r="Z53" s="9" t="s">
        <v>350</v>
      </c>
      <c r="AA53" s="9" t="s">
        <v>132</v>
      </c>
      <c r="AB53" s="9" t="s">
        <v>91</v>
      </c>
      <c r="AD53" s="9">
        <v>9.0</v>
      </c>
      <c r="AE53" s="9">
        <v>4.0</v>
      </c>
      <c r="AF53" s="9">
        <v>1.0</v>
      </c>
      <c r="AG53" s="12">
        <v>1500.0</v>
      </c>
      <c r="AH53" s="13"/>
    </row>
    <row r="54">
      <c r="A54" s="7">
        <v>44613.99240407407</v>
      </c>
      <c r="B54" s="8">
        <f t="shared" si="1"/>
        <v>2022</v>
      </c>
      <c r="C54" s="9" t="s">
        <v>49</v>
      </c>
      <c r="D54" s="9">
        <v>26.0</v>
      </c>
      <c r="E54" s="9" t="s">
        <v>35</v>
      </c>
      <c r="F54" s="9" t="s">
        <v>36</v>
      </c>
      <c r="G54" s="8" t="s">
        <v>50</v>
      </c>
      <c r="H54" s="9" t="s">
        <v>82</v>
      </c>
      <c r="I54" s="9" t="s">
        <v>38</v>
      </c>
      <c r="J54" s="9" t="s">
        <v>65</v>
      </c>
      <c r="K54" s="9" t="s">
        <v>109</v>
      </c>
      <c r="L54" s="9" t="s">
        <v>39</v>
      </c>
      <c r="M54" s="9" t="s">
        <v>40</v>
      </c>
      <c r="N54" s="9" t="s">
        <v>40</v>
      </c>
      <c r="Q54" s="9" t="s">
        <v>146</v>
      </c>
      <c r="R54" s="9" t="s">
        <v>42</v>
      </c>
      <c r="S54" s="10">
        <v>3700.0</v>
      </c>
      <c r="T54" s="11">
        <v>0.0</v>
      </c>
      <c r="U54" s="9">
        <v>0.0</v>
      </c>
      <c r="V54" s="9">
        <v>14.0</v>
      </c>
      <c r="W54" s="9" t="s">
        <v>351</v>
      </c>
      <c r="X54" s="9" t="s">
        <v>352</v>
      </c>
      <c r="Y54" s="9" t="s">
        <v>124</v>
      </c>
      <c r="Z54" s="9" t="s">
        <v>353</v>
      </c>
      <c r="AA54" s="9" t="s">
        <v>71</v>
      </c>
      <c r="AB54" s="9" t="s">
        <v>61</v>
      </c>
      <c r="AD54" s="9">
        <v>6.0</v>
      </c>
      <c r="AE54" s="9">
        <v>4.0</v>
      </c>
      <c r="AF54" s="9">
        <v>3.0</v>
      </c>
      <c r="AG54" s="12">
        <v>1500.0</v>
      </c>
      <c r="AH54" s="13"/>
    </row>
    <row r="55">
      <c r="A55" s="7">
        <v>44405.52562571759</v>
      </c>
      <c r="B55" s="8">
        <f t="shared" si="1"/>
        <v>2021</v>
      </c>
      <c r="C55" s="9" t="s">
        <v>49</v>
      </c>
      <c r="D55" s="9">
        <v>27.0</v>
      </c>
      <c r="E55" s="9" t="s">
        <v>35</v>
      </c>
      <c r="F55" s="9" t="s">
        <v>36</v>
      </c>
      <c r="G55" s="8" t="s">
        <v>50</v>
      </c>
      <c r="H55" s="9" t="s">
        <v>354</v>
      </c>
      <c r="I55" s="9" t="s">
        <v>38</v>
      </c>
      <c r="J55" s="9" t="s">
        <v>75</v>
      </c>
      <c r="K55" s="9" t="s">
        <v>355</v>
      </c>
      <c r="L55" s="9" t="s">
        <v>39</v>
      </c>
      <c r="M55" s="9" t="s">
        <v>40</v>
      </c>
      <c r="N55" s="9" t="s">
        <v>40</v>
      </c>
      <c r="P55" s="9" t="s">
        <v>356</v>
      </c>
      <c r="Q55" s="9" t="s">
        <v>182</v>
      </c>
      <c r="R55" s="9" t="s">
        <v>42</v>
      </c>
      <c r="S55" s="10">
        <v>8500.0</v>
      </c>
      <c r="T55" s="11">
        <v>0.0</v>
      </c>
      <c r="U55" s="9">
        <v>0.0</v>
      </c>
      <c r="V55" s="9">
        <v>14.0</v>
      </c>
      <c r="W55" s="9" t="s">
        <v>357</v>
      </c>
      <c r="X55" s="9" t="s">
        <v>358</v>
      </c>
      <c r="Y55" s="9" t="s">
        <v>58</v>
      </c>
      <c r="Z55" s="9" t="s">
        <v>116</v>
      </c>
      <c r="AA55" s="9" t="s">
        <v>71</v>
      </c>
      <c r="AB55" s="9" t="s">
        <v>61</v>
      </c>
      <c r="AD55" s="9">
        <v>8.0</v>
      </c>
      <c r="AE55" s="9">
        <v>6.0</v>
      </c>
      <c r="AF55" s="9">
        <v>4.0</v>
      </c>
      <c r="AG55" s="12">
        <v>1500.0</v>
      </c>
      <c r="AH55" s="13"/>
    </row>
    <row r="56">
      <c r="A56" s="7">
        <v>44405.8661171412</v>
      </c>
      <c r="B56" s="8">
        <f t="shared" si="1"/>
        <v>2021</v>
      </c>
      <c r="C56" s="9" t="s">
        <v>49</v>
      </c>
      <c r="D56" s="9">
        <v>33.0</v>
      </c>
      <c r="E56" s="9" t="s">
        <v>35</v>
      </c>
      <c r="F56" s="9" t="s">
        <v>36</v>
      </c>
      <c r="G56" s="8" t="s">
        <v>50</v>
      </c>
      <c r="H56" s="9" t="s">
        <v>106</v>
      </c>
      <c r="I56" s="9" t="s">
        <v>93</v>
      </c>
      <c r="J56" s="9" t="s">
        <v>359</v>
      </c>
      <c r="K56" s="9" t="s">
        <v>221</v>
      </c>
      <c r="L56" s="9" t="s">
        <v>39</v>
      </c>
      <c r="M56" s="9" t="s">
        <v>40</v>
      </c>
      <c r="N56" s="9" t="s">
        <v>40</v>
      </c>
      <c r="Q56" s="9" t="s">
        <v>360</v>
      </c>
      <c r="R56" s="9" t="s">
        <v>42</v>
      </c>
      <c r="S56" s="10">
        <v>15000.0</v>
      </c>
      <c r="T56" s="11">
        <v>30000.0</v>
      </c>
      <c r="V56" s="9">
        <v>20.0</v>
      </c>
      <c r="W56" s="9" t="s">
        <v>361</v>
      </c>
      <c r="X56" s="9" t="s">
        <v>362</v>
      </c>
      <c r="Y56" s="9" t="s">
        <v>363</v>
      </c>
      <c r="Z56" s="9" t="s">
        <v>59</v>
      </c>
      <c r="AA56" s="9" t="s">
        <v>60</v>
      </c>
      <c r="AB56" s="9" t="s">
        <v>91</v>
      </c>
      <c r="AD56" s="9">
        <v>7.0</v>
      </c>
      <c r="AE56" s="9">
        <v>10.0</v>
      </c>
      <c r="AF56" s="9">
        <v>4.0</v>
      </c>
      <c r="AG56" s="12">
        <v>1500.0</v>
      </c>
      <c r="AH56" s="13"/>
    </row>
    <row r="57">
      <c r="A57" s="7">
        <v>44592.978987939816</v>
      </c>
      <c r="B57" s="8">
        <f t="shared" si="1"/>
        <v>2022</v>
      </c>
      <c r="C57" s="9" t="s">
        <v>49</v>
      </c>
      <c r="D57" s="9">
        <v>48.0</v>
      </c>
      <c r="E57" s="9" t="s">
        <v>35</v>
      </c>
      <c r="F57" s="9" t="s">
        <v>36</v>
      </c>
      <c r="G57" s="8" t="s">
        <v>50</v>
      </c>
      <c r="H57" s="9" t="s">
        <v>106</v>
      </c>
      <c r="I57" s="9" t="s">
        <v>93</v>
      </c>
      <c r="J57" s="9" t="s">
        <v>364</v>
      </c>
      <c r="K57" s="9" t="s">
        <v>161</v>
      </c>
      <c r="L57" s="9" t="s">
        <v>39</v>
      </c>
      <c r="M57" s="9" t="s">
        <v>40</v>
      </c>
      <c r="N57" s="9" t="s">
        <v>40</v>
      </c>
      <c r="Q57" s="9" t="s">
        <v>333</v>
      </c>
      <c r="R57" s="9" t="s">
        <v>42</v>
      </c>
      <c r="S57" s="10">
        <v>20000.0</v>
      </c>
      <c r="T57" s="11" t="s">
        <v>37</v>
      </c>
      <c r="V57" s="9">
        <v>21.0</v>
      </c>
      <c r="W57" s="9" t="s">
        <v>365</v>
      </c>
      <c r="X57" s="9" t="s">
        <v>366</v>
      </c>
      <c r="Y57" s="9" t="s">
        <v>204</v>
      </c>
      <c r="Z57" s="9" t="s">
        <v>59</v>
      </c>
      <c r="AA57" s="9" t="s">
        <v>132</v>
      </c>
      <c r="AB57" s="9" t="s">
        <v>91</v>
      </c>
      <c r="AD57" s="9">
        <v>9.0</v>
      </c>
      <c r="AE57" s="9">
        <v>30.0</v>
      </c>
      <c r="AF57" s="9">
        <v>10.0</v>
      </c>
      <c r="AG57" s="12">
        <v>1500.0</v>
      </c>
      <c r="AH57" s="13"/>
    </row>
    <row r="58">
      <c r="A58" s="7">
        <v>44403.98672969907</v>
      </c>
      <c r="B58" s="8">
        <f t="shared" si="1"/>
        <v>2021</v>
      </c>
      <c r="C58" s="9" t="s">
        <v>49</v>
      </c>
      <c r="D58" s="9">
        <v>19.0</v>
      </c>
      <c r="E58" s="9" t="s">
        <v>35</v>
      </c>
      <c r="F58" s="9" t="s">
        <v>36</v>
      </c>
      <c r="G58" s="8" t="s">
        <v>63</v>
      </c>
      <c r="H58" s="9" t="s">
        <v>301</v>
      </c>
      <c r="I58" s="9" t="s">
        <v>118</v>
      </c>
      <c r="J58" s="9" t="s">
        <v>367</v>
      </c>
      <c r="K58" s="9" t="s">
        <v>200</v>
      </c>
      <c r="L58" s="9" t="s">
        <v>39</v>
      </c>
      <c r="M58" s="9" t="s">
        <v>39</v>
      </c>
      <c r="N58" s="9" t="s">
        <v>40</v>
      </c>
      <c r="O58" s="9" t="s">
        <v>94</v>
      </c>
      <c r="Q58" s="9" t="s">
        <v>95</v>
      </c>
      <c r="R58" s="9" t="s">
        <v>42</v>
      </c>
      <c r="S58" s="10">
        <v>2.0</v>
      </c>
      <c r="T58" s="11">
        <v>0.0</v>
      </c>
      <c r="U58" s="9" t="s">
        <v>368</v>
      </c>
      <c r="V58" s="9">
        <v>0.0</v>
      </c>
      <c r="W58" s="9" t="s">
        <v>369</v>
      </c>
      <c r="X58" s="9" t="s">
        <v>370</v>
      </c>
      <c r="Y58" s="9" t="s">
        <v>371</v>
      </c>
      <c r="Z58" s="9" t="s">
        <v>347</v>
      </c>
      <c r="AA58" s="9" t="s">
        <v>47</v>
      </c>
      <c r="AB58" s="9" t="s">
        <v>48</v>
      </c>
      <c r="AC58" s="9" t="s">
        <v>372</v>
      </c>
      <c r="AD58" s="9">
        <v>8.0</v>
      </c>
      <c r="AE58" s="9">
        <v>2.0</v>
      </c>
      <c r="AF58" s="9">
        <v>1.0</v>
      </c>
      <c r="AG58" s="12">
        <v>1500.0</v>
      </c>
      <c r="AH58" s="13"/>
    </row>
    <row r="59">
      <c r="A59" s="7">
        <v>44404.44910563657</v>
      </c>
      <c r="B59" s="8">
        <f t="shared" si="1"/>
        <v>2021</v>
      </c>
      <c r="C59" s="9" t="s">
        <v>49</v>
      </c>
      <c r="D59" s="9">
        <v>21.0</v>
      </c>
      <c r="E59" s="9" t="s">
        <v>35</v>
      </c>
      <c r="F59" s="9" t="s">
        <v>36</v>
      </c>
      <c r="G59" s="9" t="s">
        <v>124</v>
      </c>
      <c r="H59" s="8" t="s">
        <v>37</v>
      </c>
      <c r="I59" s="9" t="s">
        <v>38</v>
      </c>
      <c r="L59" s="9" t="s">
        <v>39</v>
      </c>
      <c r="M59" s="9" t="s">
        <v>40</v>
      </c>
      <c r="N59" s="9" t="s">
        <v>40</v>
      </c>
      <c r="Q59" s="9" t="s">
        <v>76</v>
      </c>
      <c r="R59" s="9" t="s">
        <v>42</v>
      </c>
      <c r="S59" s="10">
        <v>500.0</v>
      </c>
      <c r="T59" s="11">
        <v>0.0</v>
      </c>
      <c r="V59" s="9">
        <v>0.0</v>
      </c>
      <c r="W59" s="9" t="s">
        <v>67</v>
      </c>
      <c r="X59" s="9" t="s">
        <v>373</v>
      </c>
      <c r="Y59" s="9" t="s">
        <v>122</v>
      </c>
      <c r="Z59" s="9" t="s">
        <v>59</v>
      </c>
      <c r="AA59" s="9" t="s">
        <v>132</v>
      </c>
      <c r="AB59" s="9" t="s">
        <v>91</v>
      </c>
      <c r="AC59" s="9" t="s">
        <v>374</v>
      </c>
      <c r="AD59" s="9">
        <v>5.0</v>
      </c>
      <c r="AE59" s="9">
        <v>0.0</v>
      </c>
      <c r="AF59" s="9">
        <v>2.0</v>
      </c>
      <c r="AG59" s="12">
        <v>1500.0</v>
      </c>
      <c r="AH59" s="13"/>
    </row>
    <row r="60">
      <c r="A60" s="14">
        <v>44403.892201967596</v>
      </c>
      <c r="B60" s="8">
        <f t="shared" si="1"/>
        <v>2021</v>
      </c>
      <c r="C60" s="8" t="s">
        <v>49</v>
      </c>
      <c r="D60" s="8">
        <v>24.0</v>
      </c>
      <c r="E60" s="8" t="s">
        <v>35</v>
      </c>
      <c r="F60" s="8" t="s">
        <v>36</v>
      </c>
      <c r="G60" s="8" t="s">
        <v>50</v>
      </c>
      <c r="H60" s="8" t="s">
        <v>180</v>
      </c>
      <c r="I60" s="8" t="s">
        <v>93</v>
      </c>
      <c r="J60" s="8" t="s">
        <v>326</v>
      </c>
      <c r="K60" s="8" t="s">
        <v>375</v>
      </c>
      <c r="L60" s="9" t="s">
        <v>40</v>
      </c>
      <c r="M60" s="8" t="s">
        <v>39</v>
      </c>
      <c r="N60" s="8" t="s">
        <v>40</v>
      </c>
      <c r="O60" s="8" t="s">
        <v>376</v>
      </c>
      <c r="P60" s="15"/>
      <c r="Q60" s="8" t="s">
        <v>377</v>
      </c>
      <c r="R60" s="9" t="s">
        <v>42</v>
      </c>
      <c r="S60" s="16">
        <v>3000.0</v>
      </c>
      <c r="T60" s="17">
        <v>0.0</v>
      </c>
      <c r="U60" s="8">
        <v>0.0</v>
      </c>
      <c r="V60" s="8">
        <v>14.0</v>
      </c>
      <c r="W60" s="8" t="s">
        <v>378</v>
      </c>
      <c r="X60" s="8" t="s">
        <v>87</v>
      </c>
      <c r="Y60" s="8" t="s">
        <v>349</v>
      </c>
      <c r="Z60" s="8" t="s">
        <v>80</v>
      </c>
      <c r="AA60" s="8" t="s">
        <v>47</v>
      </c>
      <c r="AB60" s="8" t="s">
        <v>61</v>
      </c>
      <c r="AC60" s="15"/>
      <c r="AD60" s="8">
        <v>10.0</v>
      </c>
      <c r="AE60" s="8">
        <v>3.0</v>
      </c>
      <c r="AF60" s="8">
        <v>0.0</v>
      </c>
      <c r="AG60" s="18">
        <v>1500.0</v>
      </c>
      <c r="AH60" s="13"/>
      <c r="AI60" s="15"/>
      <c r="AJ60" s="15"/>
      <c r="AK60" s="15"/>
      <c r="AL60" s="15"/>
      <c r="AM60" s="15"/>
      <c r="AN60" s="15"/>
    </row>
    <row r="61">
      <c r="A61" s="7">
        <v>44403.95712726851</v>
      </c>
      <c r="B61" s="8">
        <f t="shared" si="1"/>
        <v>2021</v>
      </c>
      <c r="C61" s="9" t="s">
        <v>49</v>
      </c>
      <c r="D61" s="9">
        <v>38.0</v>
      </c>
      <c r="E61" s="9" t="s">
        <v>35</v>
      </c>
      <c r="F61" s="9" t="s">
        <v>36</v>
      </c>
      <c r="G61" s="8" t="s">
        <v>50</v>
      </c>
      <c r="H61" s="9" t="s">
        <v>298</v>
      </c>
      <c r="I61" s="9" t="s">
        <v>38</v>
      </c>
      <c r="J61" s="9" t="s">
        <v>83</v>
      </c>
      <c r="K61" s="9" t="s">
        <v>166</v>
      </c>
      <c r="L61" s="9" t="s">
        <v>39</v>
      </c>
      <c r="M61" s="9" t="s">
        <v>40</v>
      </c>
      <c r="N61" s="9" t="s">
        <v>40</v>
      </c>
      <c r="Q61" s="9" t="s">
        <v>146</v>
      </c>
      <c r="R61" s="9" t="s">
        <v>42</v>
      </c>
      <c r="S61" s="10">
        <v>7000.0</v>
      </c>
      <c r="T61" s="11">
        <v>0.0</v>
      </c>
      <c r="U61" s="9">
        <v>0.0</v>
      </c>
      <c r="V61" s="9">
        <v>14.0</v>
      </c>
      <c r="W61" s="9" t="s">
        <v>67</v>
      </c>
      <c r="X61" s="9" t="s">
        <v>379</v>
      </c>
      <c r="Y61" s="9" t="s">
        <v>124</v>
      </c>
      <c r="Z61" s="9" t="s">
        <v>380</v>
      </c>
      <c r="AA61" s="9" t="s">
        <v>71</v>
      </c>
      <c r="AB61" s="9" t="s">
        <v>61</v>
      </c>
      <c r="AD61" s="9">
        <v>10.0</v>
      </c>
      <c r="AE61" s="9">
        <v>7.0</v>
      </c>
      <c r="AF61" s="9">
        <v>5.0</v>
      </c>
      <c r="AG61" s="12">
        <v>1500.0</v>
      </c>
      <c r="AH61" s="13"/>
    </row>
    <row r="62">
      <c r="A62" s="7">
        <v>44403.959217800926</v>
      </c>
      <c r="B62" s="8">
        <f t="shared" si="1"/>
        <v>2021</v>
      </c>
      <c r="C62" s="9" t="s">
        <v>49</v>
      </c>
      <c r="D62" s="9">
        <v>24.0</v>
      </c>
      <c r="E62" s="9" t="s">
        <v>35</v>
      </c>
      <c r="F62" s="9" t="s">
        <v>36</v>
      </c>
      <c r="G62" s="8" t="s">
        <v>50</v>
      </c>
      <c r="H62" s="9" t="s">
        <v>82</v>
      </c>
      <c r="I62" s="9" t="s">
        <v>38</v>
      </c>
      <c r="J62" s="9" t="s">
        <v>75</v>
      </c>
      <c r="K62" s="9" t="s">
        <v>381</v>
      </c>
      <c r="L62" s="9" t="s">
        <v>39</v>
      </c>
      <c r="M62" s="9" t="s">
        <v>40</v>
      </c>
      <c r="N62" s="9" t="s">
        <v>40</v>
      </c>
      <c r="Q62" s="9" t="s">
        <v>128</v>
      </c>
      <c r="R62" s="9" t="s">
        <v>42</v>
      </c>
      <c r="S62" s="10">
        <v>2800.0</v>
      </c>
      <c r="T62" s="11" t="s">
        <v>37</v>
      </c>
      <c r="V62" s="9">
        <v>14.0</v>
      </c>
      <c r="W62" s="9" t="s">
        <v>382</v>
      </c>
      <c r="X62" s="9" t="s">
        <v>44</v>
      </c>
      <c r="Y62" s="9" t="s">
        <v>58</v>
      </c>
      <c r="Z62" s="9" t="s">
        <v>59</v>
      </c>
      <c r="AA62" s="9" t="s">
        <v>132</v>
      </c>
      <c r="AB62" s="9" t="s">
        <v>133</v>
      </c>
      <c r="AD62" s="9">
        <v>4.0</v>
      </c>
      <c r="AE62" s="9">
        <v>2.0</v>
      </c>
      <c r="AF62" s="9">
        <v>1.0</v>
      </c>
      <c r="AG62" s="12">
        <v>1500.0</v>
      </c>
      <c r="AH62" s="13"/>
    </row>
    <row r="63">
      <c r="A63" s="7">
        <v>44404.07714145833</v>
      </c>
      <c r="B63" s="8">
        <f t="shared" si="1"/>
        <v>2021</v>
      </c>
      <c r="C63" s="9" t="s">
        <v>73</v>
      </c>
      <c r="D63" s="9">
        <v>26.0</v>
      </c>
      <c r="E63" s="9" t="s">
        <v>35</v>
      </c>
      <c r="F63" s="9" t="s">
        <v>36</v>
      </c>
      <c r="G63" s="8" t="s">
        <v>50</v>
      </c>
      <c r="H63" s="9" t="s">
        <v>106</v>
      </c>
      <c r="I63" s="9" t="s">
        <v>38</v>
      </c>
      <c r="J63" s="8" t="s">
        <v>160</v>
      </c>
      <c r="K63" s="9" t="s">
        <v>337</v>
      </c>
      <c r="L63" s="9" t="s">
        <v>39</v>
      </c>
      <c r="M63" s="9" t="s">
        <v>40</v>
      </c>
      <c r="N63" s="9" t="s">
        <v>40</v>
      </c>
      <c r="Q63" s="9" t="s">
        <v>146</v>
      </c>
      <c r="R63" s="9" t="s">
        <v>42</v>
      </c>
      <c r="S63" s="10">
        <v>5000.0</v>
      </c>
      <c r="T63" s="11">
        <v>0.0</v>
      </c>
      <c r="U63" s="9">
        <v>0.0</v>
      </c>
      <c r="V63" s="9">
        <v>18.0</v>
      </c>
      <c r="W63" s="9" t="s">
        <v>383</v>
      </c>
      <c r="X63" s="9" t="s">
        <v>384</v>
      </c>
      <c r="Y63" s="9" t="s">
        <v>296</v>
      </c>
      <c r="Z63" s="9" t="s">
        <v>89</v>
      </c>
      <c r="AA63" s="9" t="s">
        <v>60</v>
      </c>
      <c r="AB63" s="9" t="s">
        <v>61</v>
      </c>
      <c r="AD63" s="9">
        <v>6.0</v>
      </c>
      <c r="AE63" s="9" t="s">
        <v>385</v>
      </c>
      <c r="AF63" s="9">
        <v>3.0</v>
      </c>
      <c r="AG63" s="12">
        <v>1500.0</v>
      </c>
      <c r="AH63" s="13"/>
    </row>
    <row r="64">
      <c r="A64" s="7">
        <v>44403.92304569445</v>
      </c>
      <c r="B64" s="8">
        <f t="shared" si="1"/>
        <v>2021</v>
      </c>
      <c r="C64" s="9" t="s">
        <v>49</v>
      </c>
      <c r="D64" s="9">
        <v>38.0</v>
      </c>
      <c r="E64" s="9" t="s">
        <v>35</v>
      </c>
      <c r="F64" s="9" t="s">
        <v>36</v>
      </c>
      <c r="G64" s="8" t="s">
        <v>50</v>
      </c>
      <c r="H64" s="8" t="s">
        <v>82</v>
      </c>
      <c r="I64" s="9" t="s">
        <v>38</v>
      </c>
      <c r="J64" s="9" t="s">
        <v>160</v>
      </c>
      <c r="K64" s="9" t="s">
        <v>200</v>
      </c>
      <c r="L64" s="9" t="s">
        <v>39</v>
      </c>
      <c r="M64" s="9" t="s">
        <v>40</v>
      </c>
      <c r="N64" s="9" t="s">
        <v>39</v>
      </c>
      <c r="P64" s="9" t="s">
        <v>386</v>
      </c>
      <c r="Q64" s="9" t="s">
        <v>387</v>
      </c>
      <c r="R64" s="9" t="s">
        <v>42</v>
      </c>
      <c r="S64" s="10">
        <v>18000.0</v>
      </c>
      <c r="T64" s="11">
        <v>540000.0</v>
      </c>
      <c r="U64" s="9">
        <v>0.0</v>
      </c>
      <c r="V64" s="9">
        <v>22.0</v>
      </c>
      <c r="W64" s="9" t="s">
        <v>388</v>
      </c>
      <c r="X64" s="9" t="s">
        <v>389</v>
      </c>
      <c r="Y64" s="9" t="s">
        <v>390</v>
      </c>
      <c r="Z64" s="9" t="s">
        <v>59</v>
      </c>
      <c r="AA64" s="9" t="s">
        <v>81</v>
      </c>
      <c r="AB64" s="9" t="s">
        <v>133</v>
      </c>
      <c r="AD64" s="9">
        <v>7.0</v>
      </c>
      <c r="AE64" s="9">
        <v>14.0</v>
      </c>
      <c r="AF64" s="9">
        <v>7.0</v>
      </c>
      <c r="AG64" s="12">
        <v>1500.0</v>
      </c>
      <c r="AH64" s="13"/>
    </row>
    <row r="65">
      <c r="A65" s="7">
        <v>44579.442705821755</v>
      </c>
      <c r="B65" s="8">
        <f t="shared" si="1"/>
        <v>2022</v>
      </c>
      <c r="C65" s="9" t="s">
        <v>49</v>
      </c>
      <c r="D65" s="9">
        <v>39.0</v>
      </c>
      <c r="E65" s="9" t="s">
        <v>35</v>
      </c>
      <c r="F65" s="9" t="s">
        <v>36</v>
      </c>
      <c r="G65" s="8" t="s">
        <v>124</v>
      </c>
      <c r="H65" s="9" t="s">
        <v>156</v>
      </c>
      <c r="I65" s="9" t="s">
        <v>38</v>
      </c>
      <c r="J65" s="9" t="s">
        <v>174</v>
      </c>
      <c r="K65" s="9" t="s">
        <v>391</v>
      </c>
      <c r="L65" s="9" t="s">
        <v>40</v>
      </c>
      <c r="M65" s="9" t="s">
        <v>40</v>
      </c>
      <c r="N65" s="9" t="s">
        <v>40</v>
      </c>
      <c r="Q65" s="9" t="s">
        <v>392</v>
      </c>
      <c r="R65" s="9" t="s">
        <v>42</v>
      </c>
      <c r="S65" s="10">
        <v>17000.0</v>
      </c>
      <c r="T65" s="11">
        <v>51000.0</v>
      </c>
      <c r="U65" s="9">
        <v>0.0</v>
      </c>
      <c r="V65" s="9">
        <v>14.0</v>
      </c>
      <c r="W65" s="9" t="s">
        <v>393</v>
      </c>
      <c r="X65" s="9" t="s">
        <v>394</v>
      </c>
      <c r="Y65" s="9" t="s">
        <v>124</v>
      </c>
      <c r="Z65" s="9" t="s">
        <v>395</v>
      </c>
      <c r="AA65" s="9" t="s">
        <v>71</v>
      </c>
      <c r="AB65" s="9" t="s">
        <v>91</v>
      </c>
      <c r="AD65" s="9">
        <v>8.0</v>
      </c>
      <c r="AE65" s="9">
        <v>15.0</v>
      </c>
      <c r="AF65" s="9">
        <v>5.0</v>
      </c>
      <c r="AG65" s="12">
        <v>1600.0</v>
      </c>
      <c r="AH65" s="13"/>
    </row>
    <row r="66">
      <c r="A66" s="7">
        <v>44579.82518616898</v>
      </c>
      <c r="B66" s="8">
        <f t="shared" si="1"/>
        <v>2022</v>
      </c>
      <c r="C66" s="9" t="s">
        <v>73</v>
      </c>
      <c r="D66" s="9">
        <v>29.0</v>
      </c>
      <c r="E66" s="9" t="s">
        <v>35</v>
      </c>
      <c r="F66" s="9" t="s">
        <v>36</v>
      </c>
      <c r="G66" s="8" t="s">
        <v>63</v>
      </c>
      <c r="H66" s="9" t="s">
        <v>301</v>
      </c>
      <c r="I66" s="9" t="s">
        <v>38</v>
      </c>
      <c r="J66" s="9" t="s">
        <v>75</v>
      </c>
      <c r="K66" s="9" t="s">
        <v>166</v>
      </c>
      <c r="L66" s="9" t="s">
        <v>39</v>
      </c>
      <c r="M66" s="9" t="s">
        <v>40</v>
      </c>
      <c r="N66" s="9" t="s">
        <v>40</v>
      </c>
      <c r="Q66" s="9" t="s">
        <v>146</v>
      </c>
      <c r="R66" s="9" t="s">
        <v>42</v>
      </c>
      <c r="S66" s="10">
        <v>5000.0</v>
      </c>
      <c r="T66" s="11">
        <v>5000.0</v>
      </c>
      <c r="V66" s="9">
        <v>16.0</v>
      </c>
      <c r="W66" s="9" t="s">
        <v>396</v>
      </c>
      <c r="X66" s="9" t="s">
        <v>397</v>
      </c>
      <c r="Y66" s="9" t="s">
        <v>246</v>
      </c>
      <c r="Z66" s="9" t="s">
        <v>116</v>
      </c>
      <c r="AA66" s="9" t="s">
        <v>71</v>
      </c>
      <c r="AB66" s="9" t="s">
        <v>91</v>
      </c>
      <c r="AD66" s="9">
        <v>8.0</v>
      </c>
      <c r="AE66" s="9">
        <v>3.0</v>
      </c>
      <c r="AF66" s="9">
        <v>2.0</v>
      </c>
      <c r="AG66" s="12">
        <v>1600.0</v>
      </c>
      <c r="AH66" s="13"/>
    </row>
    <row r="67">
      <c r="A67" s="14">
        <v>44403.84559886574</v>
      </c>
      <c r="B67" s="8">
        <f t="shared" si="1"/>
        <v>2021</v>
      </c>
      <c r="C67" s="8" t="s">
        <v>73</v>
      </c>
      <c r="D67" s="8">
        <v>22.0</v>
      </c>
      <c r="E67" s="8" t="s">
        <v>35</v>
      </c>
      <c r="F67" s="8" t="s">
        <v>36</v>
      </c>
      <c r="G67" s="8" t="s">
        <v>124</v>
      </c>
      <c r="H67" s="8" t="s">
        <v>206</v>
      </c>
      <c r="I67" s="8" t="s">
        <v>38</v>
      </c>
      <c r="J67" s="9" t="s">
        <v>160</v>
      </c>
      <c r="K67" s="9" t="s">
        <v>84</v>
      </c>
      <c r="L67" s="8" t="s">
        <v>39</v>
      </c>
      <c r="M67" s="8" t="s">
        <v>40</v>
      </c>
      <c r="N67" s="8" t="s">
        <v>39</v>
      </c>
      <c r="O67" s="15"/>
      <c r="P67" s="8" t="s">
        <v>398</v>
      </c>
      <c r="Q67" s="9" t="s">
        <v>146</v>
      </c>
      <c r="R67" s="9" t="s">
        <v>42</v>
      </c>
      <c r="S67" s="16">
        <v>3000.0</v>
      </c>
      <c r="T67" s="17">
        <v>0.0</v>
      </c>
      <c r="U67" s="8">
        <v>0.0</v>
      </c>
      <c r="V67" s="8">
        <v>4.0</v>
      </c>
      <c r="W67" s="8" t="s">
        <v>399</v>
      </c>
      <c r="X67" s="8" t="s">
        <v>400</v>
      </c>
      <c r="Y67" s="8" t="s">
        <v>58</v>
      </c>
      <c r="Z67" s="8" t="s">
        <v>70</v>
      </c>
      <c r="AA67" s="8" t="s">
        <v>71</v>
      </c>
      <c r="AB67" s="8" t="s">
        <v>61</v>
      </c>
      <c r="AC67" s="15"/>
      <c r="AD67" s="8">
        <v>10.0</v>
      </c>
      <c r="AE67" s="8">
        <v>0.0</v>
      </c>
      <c r="AF67" s="8">
        <v>3.0</v>
      </c>
      <c r="AG67" s="18">
        <v>1600.0</v>
      </c>
      <c r="AH67" s="13"/>
      <c r="AI67" s="15"/>
      <c r="AJ67" s="15"/>
      <c r="AK67" s="15"/>
      <c r="AL67" s="15"/>
      <c r="AM67" s="15"/>
      <c r="AN67" s="15"/>
    </row>
    <row r="68">
      <c r="A68" s="7">
        <v>44403.93781325231</v>
      </c>
      <c r="B68" s="8">
        <f t="shared" si="1"/>
        <v>2021</v>
      </c>
      <c r="C68" s="9" t="s">
        <v>49</v>
      </c>
      <c r="D68" s="9">
        <v>23.0</v>
      </c>
      <c r="E68" s="9" t="s">
        <v>35</v>
      </c>
      <c r="F68" s="9" t="s">
        <v>36</v>
      </c>
      <c r="G68" s="8" t="s">
        <v>50</v>
      </c>
      <c r="H68" s="8" t="s">
        <v>180</v>
      </c>
      <c r="I68" s="9" t="s">
        <v>38</v>
      </c>
      <c r="J68" s="9" t="s">
        <v>75</v>
      </c>
      <c r="K68" s="9" t="s">
        <v>161</v>
      </c>
      <c r="L68" s="9" t="s">
        <v>39</v>
      </c>
      <c r="M68" s="9" t="s">
        <v>40</v>
      </c>
      <c r="N68" s="9" t="s">
        <v>40</v>
      </c>
      <c r="Q68" s="9" t="s">
        <v>146</v>
      </c>
      <c r="R68" s="9" t="s">
        <v>42</v>
      </c>
      <c r="S68" s="10">
        <v>7400.0</v>
      </c>
      <c r="T68" s="11">
        <v>0.0</v>
      </c>
      <c r="U68" s="9">
        <v>6000.0</v>
      </c>
      <c r="V68" s="9">
        <v>15.0</v>
      </c>
      <c r="W68" s="9" t="s">
        <v>401</v>
      </c>
      <c r="X68" s="9" t="s">
        <v>402</v>
      </c>
      <c r="Y68" s="9" t="s">
        <v>58</v>
      </c>
      <c r="Z68" s="9" t="s">
        <v>59</v>
      </c>
      <c r="AA68" s="9" t="s">
        <v>47</v>
      </c>
      <c r="AB68" s="9" t="s">
        <v>61</v>
      </c>
      <c r="AD68" s="9">
        <v>8.0</v>
      </c>
      <c r="AE68" s="9">
        <v>4.0</v>
      </c>
      <c r="AF68" s="9">
        <v>4.0</v>
      </c>
      <c r="AG68" s="12">
        <v>1600.0</v>
      </c>
      <c r="AH68" s="13"/>
    </row>
    <row r="69">
      <c r="A69" s="7">
        <v>44404.040786446756</v>
      </c>
      <c r="B69" s="8">
        <f t="shared" si="1"/>
        <v>2021</v>
      </c>
      <c r="C69" s="9" t="s">
        <v>49</v>
      </c>
      <c r="D69" s="9">
        <v>33.0</v>
      </c>
      <c r="E69" s="9" t="s">
        <v>35</v>
      </c>
      <c r="F69" s="9" t="s">
        <v>36</v>
      </c>
      <c r="G69" s="8" t="s">
        <v>124</v>
      </c>
      <c r="H69" s="9" t="s">
        <v>156</v>
      </c>
      <c r="I69" s="9" t="s">
        <v>93</v>
      </c>
      <c r="J69" s="9" t="s">
        <v>75</v>
      </c>
      <c r="K69" s="9" t="s">
        <v>200</v>
      </c>
      <c r="L69" s="9" t="s">
        <v>39</v>
      </c>
      <c r="M69" s="9" t="s">
        <v>40</v>
      </c>
      <c r="N69" s="9" t="s">
        <v>40</v>
      </c>
      <c r="Q69" s="9" t="s">
        <v>403</v>
      </c>
      <c r="R69" s="9" t="s">
        <v>42</v>
      </c>
      <c r="S69" s="10">
        <v>10500.0</v>
      </c>
      <c r="T69" s="11">
        <v>10500.0</v>
      </c>
      <c r="U69" s="9">
        <v>0.0</v>
      </c>
      <c r="V69" s="9">
        <v>18.0</v>
      </c>
      <c r="W69" s="9" t="s">
        <v>404</v>
      </c>
      <c r="X69" s="9" t="s">
        <v>405</v>
      </c>
      <c r="Y69" s="9" t="s">
        <v>124</v>
      </c>
      <c r="Z69" s="9" t="s">
        <v>406</v>
      </c>
      <c r="AA69" s="9" t="s">
        <v>81</v>
      </c>
      <c r="AB69" s="9" t="s">
        <v>91</v>
      </c>
      <c r="AD69" s="9">
        <v>9.0</v>
      </c>
      <c r="AE69" s="9">
        <v>11.0</v>
      </c>
      <c r="AF69" s="9">
        <v>5.0</v>
      </c>
      <c r="AG69" s="12">
        <v>1600.0</v>
      </c>
      <c r="AH69" s="13"/>
    </row>
    <row r="70">
      <c r="A70" s="7">
        <v>44404.216555555555</v>
      </c>
      <c r="B70" s="8">
        <f t="shared" si="1"/>
        <v>2021</v>
      </c>
      <c r="C70" s="9" t="s">
        <v>49</v>
      </c>
      <c r="D70" s="9">
        <v>38.0</v>
      </c>
      <c r="E70" s="9" t="s">
        <v>35</v>
      </c>
      <c r="F70" s="9" t="s">
        <v>36</v>
      </c>
      <c r="G70" s="8" t="s">
        <v>50</v>
      </c>
      <c r="H70" s="9" t="s">
        <v>82</v>
      </c>
      <c r="I70" s="9" t="s">
        <v>38</v>
      </c>
      <c r="J70" s="9" t="s">
        <v>83</v>
      </c>
      <c r="K70" s="8" t="s">
        <v>407</v>
      </c>
      <c r="L70" s="9" t="s">
        <v>39</v>
      </c>
      <c r="M70" s="9" t="s">
        <v>39</v>
      </c>
      <c r="N70" s="9" t="s">
        <v>40</v>
      </c>
      <c r="O70" s="9" t="s">
        <v>408</v>
      </c>
      <c r="Q70" s="9" t="s">
        <v>119</v>
      </c>
      <c r="R70" s="9" t="s">
        <v>42</v>
      </c>
      <c r="S70" s="10">
        <v>7700.0</v>
      </c>
      <c r="T70" s="11">
        <v>14750.0</v>
      </c>
      <c r="V70" s="9">
        <v>20.0</v>
      </c>
      <c r="W70" s="9" t="s">
        <v>409</v>
      </c>
      <c r="X70" s="9" t="s">
        <v>410</v>
      </c>
      <c r="Y70" s="9" t="s">
        <v>122</v>
      </c>
      <c r="Z70" s="9" t="s">
        <v>411</v>
      </c>
      <c r="AA70" s="9" t="s">
        <v>90</v>
      </c>
      <c r="AB70" s="9" t="s">
        <v>91</v>
      </c>
      <c r="AD70" s="9">
        <v>7.0</v>
      </c>
      <c r="AE70" s="9">
        <v>11.0</v>
      </c>
      <c r="AF70" s="9">
        <v>5.0</v>
      </c>
      <c r="AG70" s="12">
        <v>1600.0</v>
      </c>
      <c r="AH70" s="13"/>
    </row>
    <row r="71">
      <c r="A71" s="7">
        <v>44405.57042584491</v>
      </c>
      <c r="B71" s="8">
        <f t="shared" si="1"/>
        <v>2021</v>
      </c>
      <c r="C71" s="9" t="s">
        <v>49</v>
      </c>
      <c r="D71" s="9">
        <v>33.0</v>
      </c>
      <c r="E71" s="9" t="s">
        <v>35</v>
      </c>
      <c r="F71" s="9" t="s">
        <v>36</v>
      </c>
      <c r="G71" s="9" t="s">
        <v>412</v>
      </c>
      <c r="H71" s="9" t="s">
        <v>413</v>
      </c>
      <c r="I71" s="9" t="s">
        <v>107</v>
      </c>
      <c r="J71" s="9" t="s">
        <v>160</v>
      </c>
      <c r="K71" s="9" t="s">
        <v>414</v>
      </c>
      <c r="L71" s="9" t="s">
        <v>39</v>
      </c>
      <c r="M71" s="9" t="s">
        <v>40</v>
      </c>
      <c r="N71" s="9" t="s">
        <v>40</v>
      </c>
      <c r="Q71" s="9" t="s">
        <v>415</v>
      </c>
      <c r="R71" s="9" t="s">
        <v>42</v>
      </c>
      <c r="S71" s="10">
        <v>10500.0</v>
      </c>
      <c r="T71" s="11">
        <v>0.0</v>
      </c>
      <c r="U71" s="20">
        <v>0.51</v>
      </c>
      <c r="V71" s="9">
        <v>15.0</v>
      </c>
      <c r="W71" s="9" t="s">
        <v>416</v>
      </c>
      <c r="X71" s="9" t="s">
        <v>417</v>
      </c>
      <c r="Y71" s="9" t="s">
        <v>418</v>
      </c>
      <c r="Z71" s="9" t="s">
        <v>105</v>
      </c>
      <c r="AA71" s="9" t="s">
        <v>47</v>
      </c>
      <c r="AB71" s="9" t="s">
        <v>61</v>
      </c>
      <c r="AC71" s="9" t="s">
        <v>419</v>
      </c>
      <c r="AD71" s="9">
        <v>10.0</v>
      </c>
      <c r="AE71" s="9">
        <v>9.0</v>
      </c>
      <c r="AF71" s="9">
        <v>2.0</v>
      </c>
      <c r="AG71" s="12">
        <v>1650.0</v>
      </c>
      <c r="AH71" s="13"/>
    </row>
    <row r="72">
      <c r="A72" s="7">
        <v>44408.75719638889</v>
      </c>
      <c r="B72" s="8">
        <f t="shared" si="1"/>
        <v>2021</v>
      </c>
      <c r="C72" s="9" t="s">
        <v>49</v>
      </c>
      <c r="D72" s="9">
        <v>44.0</v>
      </c>
      <c r="E72" s="9" t="s">
        <v>35</v>
      </c>
      <c r="F72" s="9" t="s">
        <v>36</v>
      </c>
      <c r="G72" s="8" t="s">
        <v>50</v>
      </c>
      <c r="H72" s="9" t="s">
        <v>82</v>
      </c>
      <c r="I72" s="9" t="s">
        <v>302</v>
      </c>
      <c r="L72" s="9" t="s">
        <v>40</v>
      </c>
      <c r="M72" s="9" t="s">
        <v>40</v>
      </c>
      <c r="N72" s="9" t="s">
        <v>40</v>
      </c>
      <c r="Q72" s="9" t="s">
        <v>420</v>
      </c>
      <c r="R72" s="9" t="s">
        <v>42</v>
      </c>
      <c r="S72" s="10">
        <v>10000.0</v>
      </c>
      <c r="T72" s="11">
        <v>0.0</v>
      </c>
      <c r="U72" s="9">
        <v>0.0</v>
      </c>
      <c r="V72" s="9">
        <v>21.0</v>
      </c>
      <c r="W72" s="9" t="s">
        <v>421</v>
      </c>
      <c r="X72" s="9" t="s">
        <v>422</v>
      </c>
      <c r="Y72" s="9" t="s">
        <v>58</v>
      </c>
      <c r="Z72" s="9" t="s">
        <v>423</v>
      </c>
      <c r="AA72" s="9" t="s">
        <v>132</v>
      </c>
      <c r="AB72" s="9" t="s">
        <v>61</v>
      </c>
      <c r="AD72" s="9">
        <v>8.0</v>
      </c>
      <c r="AE72" s="9" t="s">
        <v>424</v>
      </c>
      <c r="AF72" s="9">
        <v>1.0</v>
      </c>
      <c r="AG72" s="12">
        <v>1700.0</v>
      </c>
      <c r="AH72" s="13"/>
    </row>
    <row r="73">
      <c r="A73" s="7">
        <v>44635.25705112268</v>
      </c>
      <c r="B73" s="8">
        <f t="shared" si="1"/>
        <v>2022</v>
      </c>
      <c r="C73" s="9" t="s">
        <v>73</v>
      </c>
      <c r="D73" s="9">
        <v>32.0</v>
      </c>
      <c r="E73" s="9" t="s">
        <v>35</v>
      </c>
      <c r="F73" s="9" t="s">
        <v>425</v>
      </c>
      <c r="G73" s="9" t="s">
        <v>426</v>
      </c>
      <c r="H73" s="9" t="s">
        <v>427</v>
      </c>
      <c r="I73" s="9" t="s">
        <v>38</v>
      </c>
      <c r="L73" s="9" t="s">
        <v>39</v>
      </c>
      <c r="M73" s="9" t="s">
        <v>40</v>
      </c>
      <c r="N73" s="9" t="s">
        <v>40</v>
      </c>
      <c r="Q73" s="9" t="s">
        <v>146</v>
      </c>
      <c r="R73" s="9" t="s">
        <v>112</v>
      </c>
      <c r="S73" s="10">
        <v>10000.0</v>
      </c>
      <c r="T73" s="11">
        <v>18000.0</v>
      </c>
      <c r="U73" s="9">
        <v>25000.0</v>
      </c>
      <c r="V73" s="9">
        <v>60.0</v>
      </c>
      <c r="W73" s="9" t="s">
        <v>428</v>
      </c>
      <c r="X73" s="9" t="s">
        <v>429</v>
      </c>
      <c r="Y73" s="9" t="s">
        <v>430</v>
      </c>
      <c r="Z73" s="9" t="s">
        <v>297</v>
      </c>
      <c r="AA73" s="9" t="s">
        <v>81</v>
      </c>
      <c r="AB73" s="9" t="s">
        <v>91</v>
      </c>
      <c r="AD73" s="9">
        <v>8.0</v>
      </c>
      <c r="AE73" s="9">
        <v>7.0</v>
      </c>
      <c r="AF73" s="9">
        <v>3.0</v>
      </c>
      <c r="AG73" s="12">
        <v>1700.0</v>
      </c>
      <c r="AH73" s="13"/>
    </row>
    <row r="74">
      <c r="A74" s="7">
        <v>44404.7419140625</v>
      </c>
      <c r="B74" s="8">
        <f t="shared" si="1"/>
        <v>2021</v>
      </c>
      <c r="C74" s="9" t="s">
        <v>49</v>
      </c>
      <c r="D74" s="9">
        <v>20.0</v>
      </c>
      <c r="E74" s="9" t="s">
        <v>431</v>
      </c>
      <c r="F74" s="9" t="s">
        <v>432</v>
      </c>
      <c r="G74" s="8" t="s">
        <v>50</v>
      </c>
      <c r="H74" s="8" t="s">
        <v>37</v>
      </c>
      <c r="I74" s="9" t="s">
        <v>302</v>
      </c>
      <c r="L74" s="9" t="s">
        <v>39</v>
      </c>
      <c r="M74" s="9" t="s">
        <v>39</v>
      </c>
      <c r="N74" s="9" t="s">
        <v>40</v>
      </c>
      <c r="Q74" s="9" t="s">
        <v>76</v>
      </c>
      <c r="R74" s="9" t="s">
        <v>42</v>
      </c>
      <c r="S74" s="10">
        <v>1700.0</v>
      </c>
      <c r="T74" s="11" t="s">
        <v>37</v>
      </c>
      <c r="V74" s="9">
        <v>0.0</v>
      </c>
      <c r="W74" s="9" t="s">
        <v>433</v>
      </c>
      <c r="X74" s="9" t="s">
        <v>434</v>
      </c>
      <c r="Y74" s="9" t="s">
        <v>58</v>
      </c>
      <c r="Z74" s="9" t="s">
        <v>70</v>
      </c>
      <c r="AA74" s="9" t="s">
        <v>132</v>
      </c>
      <c r="AB74" s="9" t="s">
        <v>61</v>
      </c>
      <c r="AD74" s="9">
        <v>7.0</v>
      </c>
      <c r="AE74" s="9" t="s">
        <v>435</v>
      </c>
      <c r="AF74" s="9" t="s">
        <v>436</v>
      </c>
      <c r="AG74" s="12">
        <v>1700.0</v>
      </c>
      <c r="AH74" s="13"/>
    </row>
    <row r="75">
      <c r="A75" s="7">
        <v>44403.966599884254</v>
      </c>
      <c r="B75" s="8">
        <f t="shared" si="1"/>
        <v>2021</v>
      </c>
      <c r="C75" s="9" t="s">
        <v>49</v>
      </c>
      <c r="D75" s="9">
        <v>42.0</v>
      </c>
      <c r="E75" s="9" t="s">
        <v>35</v>
      </c>
      <c r="F75" s="9" t="s">
        <v>36</v>
      </c>
      <c r="G75" s="8" t="s">
        <v>74</v>
      </c>
      <c r="H75" s="9" t="s">
        <v>437</v>
      </c>
      <c r="I75" s="9" t="s">
        <v>38</v>
      </c>
      <c r="J75" s="9" t="s">
        <v>75</v>
      </c>
      <c r="K75" s="9" t="s">
        <v>188</v>
      </c>
      <c r="L75" s="9" t="s">
        <v>39</v>
      </c>
      <c r="M75" s="9" t="s">
        <v>40</v>
      </c>
      <c r="N75" s="9" t="s">
        <v>40</v>
      </c>
      <c r="P75" s="9" t="s">
        <v>438</v>
      </c>
      <c r="Q75" s="9" t="s">
        <v>128</v>
      </c>
      <c r="R75" s="9" t="s">
        <v>42</v>
      </c>
      <c r="S75" s="10">
        <v>11000.0</v>
      </c>
      <c r="T75" s="11">
        <v>14600.0</v>
      </c>
      <c r="V75" s="9">
        <v>14.0</v>
      </c>
      <c r="W75" s="9" t="s">
        <v>439</v>
      </c>
      <c r="X75" s="9" t="s">
        <v>440</v>
      </c>
      <c r="Y75" s="9" t="s">
        <v>441</v>
      </c>
      <c r="Z75" s="9" t="s">
        <v>80</v>
      </c>
      <c r="AA75" s="9" t="s">
        <v>90</v>
      </c>
      <c r="AB75" s="9" t="s">
        <v>61</v>
      </c>
      <c r="AD75" s="9">
        <v>8.0</v>
      </c>
      <c r="AE75" s="9">
        <v>15.0</v>
      </c>
      <c r="AF75" s="9">
        <v>5.0</v>
      </c>
      <c r="AG75" s="12">
        <v>1700.0</v>
      </c>
      <c r="AH75" s="13"/>
    </row>
    <row r="76">
      <c r="A76" s="7">
        <v>44405.02492847222</v>
      </c>
      <c r="B76" s="8">
        <f t="shared" si="1"/>
        <v>2021</v>
      </c>
      <c r="C76" s="9" t="s">
        <v>73</v>
      </c>
      <c r="D76" s="9">
        <v>30.0</v>
      </c>
      <c r="E76" s="9" t="s">
        <v>35</v>
      </c>
      <c r="F76" s="9" t="s">
        <v>36</v>
      </c>
      <c r="G76" s="8" t="s">
        <v>74</v>
      </c>
      <c r="H76" s="8" t="s">
        <v>37</v>
      </c>
      <c r="I76" s="9" t="s">
        <v>118</v>
      </c>
      <c r="L76" s="9" t="s">
        <v>40</v>
      </c>
      <c r="M76" s="9" t="s">
        <v>39</v>
      </c>
      <c r="N76" s="9" t="s">
        <v>40</v>
      </c>
      <c r="O76" s="9" t="s">
        <v>442</v>
      </c>
      <c r="Q76" s="9" t="s">
        <v>146</v>
      </c>
      <c r="R76" s="9" t="s">
        <v>42</v>
      </c>
      <c r="S76" s="10">
        <v>3300.0</v>
      </c>
      <c r="T76" s="11" t="s">
        <v>37</v>
      </c>
      <c r="V76" s="9">
        <v>8.0</v>
      </c>
      <c r="W76" s="9" t="s">
        <v>443</v>
      </c>
      <c r="X76" s="9" t="s">
        <v>444</v>
      </c>
      <c r="Y76" s="9" t="s">
        <v>79</v>
      </c>
      <c r="Z76" s="9" t="s">
        <v>59</v>
      </c>
      <c r="AA76" s="9" t="s">
        <v>71</v>
      </c>
      <c r="AB76" s="9" t="s">
        <v>61</v>
      </c>
      <c r="AD76" s="9">
        <v>4.0</v>
      </c>
      <c r="AE76" s="9">
        <v>3.0</v>
      </c>
      <c r="AF76" s="9">
        <v>0.0</v>
      </c>
      <c r="AG76" s="12">
        <v>1800.0</v>
      </c>
      <c r="AH76" s="9" t="s">
        <v>42</v>
      </c>
    </row>
    <row r="77">
      <c r="A77" s="7">
        <v>44406.50236922454</v>
      </c>
      <c r="B77" s="8">
        <f t="shared" si="1"/>
        <v>2021</v>
      </c>
      <c r="C77" s="9" t="s">
        <v>49</v>
      </c>
      <c r="D77" s="9">
        <v>34.0</v>
      </c>
      <c r="E77" s="9" t="s">
        <v>35</v>
      </c>
      <c r="F77" s="9" t="s">
        <v>445</v>
      </c>
      <c r="G77" s="9" t="s">
        <v>446</v>
      </c>
      <c r="H77" s="9" t="s">
        <v>446</v>
      </c>
      <c r="I77" s="9" t="s">
        <v>38</v>
      </c>
      <c r="L77" s="9" t="s">
        <v>39</v>
      </c>
      <c r="M77" s="9" t="s">
        <v>40</v>
      </c>
      <c r="N77" s="9" t="s">
        <v>39</v>
      </c>
      <c r="P77" s="9" t="s">
        <v>447</v>
      </c>
      <c r="Q77" s="9" t="s">
        <v>448</v>
      </c>
      <c r="R77" s="9" t="s">
        <v>449</v>
      </c>
      <c r="S77" s="10">
        <v>83000.0</v>
      </c>
      <c r="T77" s="11">
        <v>83000.0</v>
      </c>
      <c r="U77" s="9">
        <v>0.0</v>
      </c>
      <c r="V77" s="9">
        <v>10.0</v>
      </c>
      <c r="W77" s="9" t="s">
        <v>450</v>
      </c>
      <c r="X77" s="9" t="s">
        <v>451</v>
      </c>
      <c r="Y77" s="9" t="s">
        <v>452</v>
      </c>
      <c r="Z77" s="9" t="s">
        <v>453</v>
      </c>
      <c r="AA77" s="9" t="s">
        <v>71</v>
      </c>
      <c r="AB77" s="9" t="s">
        <v>61</v>
      </c>
      <c r="AD77" s="9">
        <v>7.0</v>
      </c>
      <c r="AE77" s="9">
        <v>9.0</v>
      </c>
      <c r="AF77" s="9">
        <v>2.0</v>
      </c>
      <c r="AG77" s="12">
        <v>1800.0</v>
      </c>
      <c r="AH77" s="9" t="s">
        <v>42</v>
      </c>
    </row>
    <row r="78">
      <c r="A78" s="7">
        <v>44538.498834502316</v>
      </c>
      <c r="B78" s="8">
        <f t="shared" si="1"/>
        <v>2021</v>
      </c>
      <c r="C78" s="9" t="s">
        <v>49</v>
      </c>
      <c r="D78" s="9">
        <v>23.0</v>
      </c>
      <c r="E78" s="9" t="s">
        <v>35</v>
      </c>
      <c r="F78" s="9" t="s">
        <v>36</v>
      </c>
      <c r="G78" s="8" t="s">
        <v>50</v>
      </c>
      <c r="H78" s="9" t="s">
        <v>106</v>
      </c>
      <c r="I78" s="9" t="s">
        <v>93</v>
      </c>
      <c r="J78" s="9" t="s">
        <v>160</v>
      </c>
      <c r="K78" s="9" t="s">
        <v>454</v>
      </c>
      <c r="L78" s="9" t="s">
        <v>39</v>
      </c>
      <c r="M78" s="9" t="s">
        <v>40</v>
      </c>
      <c r="N78" s="9" t="s">
        <v>40</v>
      </c>
      <c r="Q78" s="9" t="s">
        <v>455</v>
      </c>
      <c r="R78" s="9" t="s">
        <v>42</v>
      </c>
      <c r="S78" s="10">
        <v>3200.0</v>
      </c>
      <c r="T78" s="11">
        <v>0.0</v>
      </c>
      <c r="U78" s="9">
        <v>0.0</v>
      </c>
      <c r="V78" s="9">
        <v>12.0</v>
      </c>
      <c r="W78" s="9" t="s">
        <v>456</v>
      </c>
      <c r="X78" s="9" t="s">
        <v>457</v>
      </c>
      <c r="Y78" s="9" t="s">
        <v>58</v>
      </c>
      <c r="Z78" s="9" t="s">
        <v>159</v>
      </c>
      <c r="AA78" s="9" t="s">
        <v>132</v>
      </c>
      <c r="AB78" s="9" t="s">
        <v>61</v>
      </c>
      <c r="AD78" s="9">
        <v>8.0</v>
      </c>
      <c r="AE78" s="9">
        <v>3.0</v>
      </c>
      <c r="AF78" s="9">
        <v>1.0</v>
      </c>
      <c r="AG78" s="12">
        <v>1800.0</v>
      </c>
      <c r="AH78" s="9" t="s">
        <v>42</v>
      </c>
    </row>
    <row r="79">
      <c r="A79" s="7">
        <v>44422.98406967593</v>
      </c>
      <c r="B79" s="8">
        <f t="shared" si="1"/>
        <v>2021</v>
      </c>
      <c r="C79" s="9" t="s">
        <v>49</v>
      </c>
      <c r="D79" s="9">
        <v>28.0</v>
      </c>
      <c r="E79" s="9" t="s">
        <v>35</v>
      </c>
      <c r="F79" s="9" t="s">
        <v>36</v>
      </c>
      <c r="G79" s="8" t="s">
        <v>50</v>
      </c>
      <c r="H79" s="9" t="s">
        <v>82</v>
      </c>
      <c r="I79" s="9" t="s">
        <v>93</v>
      </c>
      <c r="J79" s="9" t="s">
        <v>83</v>
      </c>
      <c r="K79" s="9" t="s">
        <v>458</v>
      </c>
      <c r="L79" s="9" t="s">
        <v>40</v>
      </c>
      <c r="M79" s="9" t="s">
        <v>40</v>
      </c>
      <c r="N79" s="9" t="s">
        <v>40</v>
      </c>
      <c r="Q79" s="9" t="s">
        <v>101</v>
      </c>
      <c r="R79" s="9" t="s">
        <v>42</v>
      </c>
      <c r="S79" s="10">
        <v>5000.0</v>
      </c>
      <c r="T79" s="11">
        <v>0.0</v>
      </c>
      <c r="U79" s="9">
        <v>0.0</v>
      </c>
      <c r="V79" s="9">
        <v>12.0</v>
      </c>
      <c r="W79" s="9" t="s">
        <v>459</v>
      </c>
      <c r="X79" s="9" t="s">
        <v>154</v>
      </c>
      <c r="Y79" s="9" t="s">
        <v>131</v>
      </c>
      <c r="Z79" s="9" t="s">
        <v>97</v>
      </c>
      <c r="AA79" s="9" t="s">
        <v>47</v>
      </c>
      <c r="AB79" s="9" t="s">
        <v>61</v>
      </c>
      <c r="AD79" s="9">
        <v>8.0</v>
      </c>
      <c r="AE79" s="9">
        <v>4.0</v>
      </c>
      <c r="AF79" s="9">
        <v>4.0</v>
      </c>
      <c r="AG79" s="12">
        <v>1800.0</v>
      </c>
      <c r="AH79" s="9" t="s">
        <v>42</v>
      </c>
    </row>
    <row r="80">
      <c r="A80" s="7">
        <v>44554.711774236115</v>
      </c>
      <c r="B80" s="8">
        <f t="shared" si="1"/>
        <v>2021</v>
      </c>
      <c r="C80" s="9" t="s">
        <v>49</v>
      </c>
      <c r="D80" s="9">
        <v>37.0</v>
      </c>
      <c r="E80" s="9" t="s">
        <v>35</v>
      </c>
      <c r="F80" s="9" t="s">
        <v>36</v>
      </c>
      <c r="G80" s="8" t="s">
        <v>50</v>
      </c>
      <c r="H80" s="9" t="s">
        <v>460</v>
      </c>
      <c r="I80" s="9" t="s">
        <v>38</v>
      </c>
      <c r="J80" s="9" t="s">
        <v>160</v>
      </c>
      <c r="K80" s="9" t="s">
        <v>461</v>
      </c>
      <c r="L80" s="9" t="s">
        <v>39</v>
      </c>
      <c r="M80" s="9" t="s">
        <v>40</v>
      </c>
      <c r="N80" s="9" t="s">
        <v>40</v>
      </c>
      <c r="Q80" s="9" t="s">
        <v>462</v>
      </c>
      <c r="R80" s="9" t="s">
        <v>42</v>
      </c>
      <c r="S80" s="10">
        <v>13500.0</v>
      </c>
      <c r="T80" s="11">
        <v>0.0</v>
      </c>
      <c r="U80" s="9">
        <v>0.0</v>
      </c>
      <c r="V80" s="9">
        <v>14.0</v>
      </c>
      <c r="W80" s="9" t="s">
        <v>463</v>
      </c>
      <c r="X80" s="9" t="s">
        <v>464</v>
      </c>
      <c r="Y80" s="9" t="s">
        <v>131</v>
      </c>
      <c r="Z80" s="9" t="s">
        <v>70</v>
      </c>
      <c r="AA80" s="9" t="s">
        <v>71</v>
      </c>
      <c r="AB80" s="9" t="s">
        <v>91</v>
      </c>
      <c r="AD80" s="9">
        <v>6.0</v>
      </c>
      <c r="AE80" s="9">
        <v>15.0</v>
      </c>
      <c r="AF80" s="9">
        <v>5.0</v>
      </c>
      <c r="AG80" s="12">
        <v>1800.0</v>
      </c>
      <c r="AH80" s="13"/>
    </row>
    <row r="81">
      <c r="A81" s="7">
        <v>44422.45704418981</v>
      </c>
      <c r="B81" s="8">
        <f t="shared" si="1"/>
        <v>2021</v>
      </c>
      <c r="C81" s="9" t="s">
        <v>49</v>
      </c>
      <c r="D81" s="9">
        <v>33.0</v>
      </c>
      <c r="E81" s="9" t="s">
        <v>35</v>
      </c>
      <c r="F81" s="9" t="s">
        <v>36</v>
      </c>
      <c r="G81" s="8" t="s">
        <v>50</v>
      </c>
      <c r="H81" s="8" t="s">
        <v>180</v>
      </c>
      <c r="I81" s="9" t="s">
        <v>93</v>
      </c>
      <c r="J81" s="9" t="s">
        <v>75</v>
      </c>
      <c r="K81" s="9" t="s">
        <v>465</v>
      </c>
      <c r="L81" s="9" t="s">
        <v>39</v>
      </c>
      <c r="M81" s="9" t="s">
        <v>40</v>
      </c>
      <c r="N81" s="9" t="s">
        <v>40</v>
      </c>
      <c r="Q81" s="9" t="s">
        <v>466</v>
      </c>
      <c r="R81" s="9" t="s">
        <v>42</v>
      </c>
      <c r="S81" s="10">
        <v>12400.0</v>
      </c>
      <c r="T81" s="11">
        <v>12400.0</v>
      </c>
      <c r="U81" s="9">
        <v>0.0</v>
      </c>
      <c r="V81" s="9">
        <v>14.0</v>
      </c>
      <c r="W81" s="9" t="s">
        <v>467</v>
      </c>
      <c r="X81" s="9" t="s">
        <v>468</v>
      </c>
      <c r="Y81" s="9" t="s">
        <v>246</v>
      </c>
      <c r="Z81" s="9" t="s">
        <v>155</v>
      </c>
      <c r="AA81" s="9" t="s">
        <v>71</v>
      </c>
      <c r="AB81" s="9" t="s">
        <v>61</v>
      </c>
      <c r="AD81" s="9">
        <v>10.0</v>
      </c>
      <c r="AE81" s="9">
        <v>10.0</v>
      </c>
      <c r="AF81" s="9">
        <v>8.0</v>
      </c>
      <c r="AG81" s="12">
        <v>1800.0</v>
      </c>
      <c r="AH81" s="13"/>
    </row>
    <row r="82">
      <c r="A82" s="7">
        <v>44422.01005321759</v>
      </c>
      <c r="B82" s="8">
        <f t="shared" si="1"/>
        <v>2021</v>
      </c>
      <c r="C82" s="9" t="s">
        <v>49</v>
      </c>
      <c r="D82" s="9">
        <v>35.0</v>
      </c>
      <c r="E82" s="9" t="s">
        <v>35</v>
      </c>
      <c r="F82" s="9" t="s">
        <v>36</v>
      </c>
      <c r="G82" s="8" t="s">
        <v>124</v>
      </c>
      <c r="H82" s="9" t="s">
        <v>156</v>
      </c>
      <c r="I82" s="9" t="s">
        <v>38</v>
      </c>
      <c r="J82" s="9" t="s">
        <v>160</v>
      </c>
      <c r="K82" s="9" t="s">
        <v>166</v>
      </c>
      <c r="L82" s="9" t="s">
        <v>40</v>
      </c>
      <c r="M82" s="9" t="s">
        <v>40</v>
      </c>
      <c r="N82" s="9" t="s">
        <v>40</v>
      </c>
      <c r="Q82" s="9" t="s">
        <v>119</v>
      </c>
      <c r="R82" s="9" t="s">
        <v>42</v>
      </c>
      <c r="S82" s="10">
        <v>8000.0</v>
      </c>
      <c r="T82" s="11">
        <v>0.0</v>
      </c>
      <c r="U82" s="9">
        <v>0.0</v>
      </c>
      <c r="V82" s="9">
        <v>21.0</v>
      </c>
      <c r="W82" s="9" t="s">
        <v>469</v>
      </c>
      <c r="X82" s="9" t="s">
        <v>470</v>
      </c>
      <c r="Y82" s="9" t="s">
        <v>122</v>
      </c>
      <c r="Z82" s="9" t="s">
        <v>423</v>
      </c>
      <c r="AA82" s="9" t="s">
        <v>47</v>
      </c>
      <c r="AB82" s="9" t="s">
        <v>61</v>
      </c>
      <c r="AD82" s="9">
        <v>7.0</v>
      </c>
      <c r="AE82" s="9">
        <v>7.0</v>
      </c>
      <c r="AF82" s="9">
        <v>4.0</v>
      </c>
      <c r="AG82" s="12">
        <v>1800.0</v>
      </c>
      <c r="AH82" s="13"/>
    </row>
    <row r="83">
      <c r="A83" s="7">
        <v>44616.8631934375</v>
      </c>
      <c r="B83" s="8">
        <f t="shared" si="1"/>
        <v>2022</v>
      </c>
      <c r="C83" s="9" t="s">
        <v>49</v>
      </c>
      <c r="D83" s="9">
        <v>39.0</v>
      </c>
      <c r="E83" s="9" t="s">
        <v>35</v>
      </c>
      <c r="F83" s="9" t="s">
        <v>36</v>
      </c>
      <c r="G83" s="8" t="s">
        <v>50</v>
      </c>
      <c r="H83" s="8" t="s">
        <v>180</v>
      </c>
      <c r="I83" s="9" t="s">
        <v>38</v>
      </c>
      <c r="J83" s="9" t="s">
        <v>207</v>
      </c>
      <c r="L83" s="9" t="s">
        <v>39</v>
      </c>
      <c r="M83" s="9" t="s">
        <v>40</v>
      </c>
      <c r="N83" s="9" t="s">
        <v>40</v>
      </c>
      <c r="Q83" s="9" t="s">
        <v>146</v>
      </c>
      <c r="R83" s="9" t="s">
        <v>112</v>
      </c>
      <c r="S83" s="10">
        <v>7000.0</v>
      </c>
      <c r="T83" s="11">
        <v>0.0</v>
      </c>
      <c r="U83" s="9">
        <v>0.0</v>
      </c>
      <c r="V83" s="9">
        <v>25.0</v>
      </c>
      <c r="W83" s="9" t="s">
        <v>471</v>
      </c>
      <c r="X83" s="9" t="s">
        <v>44</v>
      </c>
      <c r="Y83" s="9" t="s">
        <v>139</v>
      </c>
      <c r="Z83" s="9" t="s">
        <v>472</v>
      </c>
      <c r="AA83" s="9" t="s">
        <v>47</v>
      </c>
      <c r="AB83" s="9" t="s">
        <v>61</v>
      </c>
      <c r="AD83" s="9">
        <v>10.0</v>
      </c>
      <c r="AE83" s="9">
        <v>17.0</v>
      </c>
      <c r="AF83" s="9">
        <v>8.0</v>
      </c>
      <c r="AG83" s="12">
        <v>1800.0</v>
      </c>
      <c r="AH83" s="13"/>
    </row>
    <row r="84">
      <c r="A84" s="7">
        <v>44460.06272190972</v>
      </c>
      <c r="B84" s="8">
        <f t="shared" si="1"/>
        <v>2021</v>
      </c>
      <c r="C84" s="9" t="s">
        <v>49</v>
      </c>
      <c r="D84" s="9">
        <v>42.0</v>
      </c>
      <c r="E84" s="9" t="s">
        <v>35</v>
      </c>
      <c r="F84" s="9" t="s">
        <v>36</v>
      </c>
      <c r="G84" s="9" t="s">
        <v>473</v>
      </c>
      <c r="H84" s="9" t="s">
        <v>474</v>
      </c>
      <c r="I84" s="9" t="s">
        <v>247</v>
      </c>
      <c r="J84" s="9" t="s">
        <v>475</v>
      </c>
      <c r="K84" s="8" t="s">
        <v>476</v>
      </c>
      <c r="L84" s="9" t="s">
        <v>39</v>
      </c>
      <c r="M84" s="9" t="s">
        <v>40</v>
      </c>
      <c r="N84" s="9" t="s">
        <v>40</v>
      </c>
      <c r="Q84" s="9" t="s">
        <v>477</v>
      </c>
      <c r="R84" s="9" t="s">
        <v>42</v>
      </c>
      <c r="S84" s="10">
        <v>6700.0</v>
      </c>
      <c r="T84" s="11">
        <v>0.0</v>
      </c>
      <c r="U84" s="9">
        <v>0.0</v>
      </c>
      <c r="V84" s="9">
        <v>30.0</v>
      </c>
      <c r="W84" s="9" t="s">
        <v>478</v>
      </c>
      <c r="X84" s="9" t="s">
        <v>479</v>
      </c>
      <c r="Y84" s="9" t="s">
        <v>480</v>
      </c>
      <c r="Z84" s="9" t="s">
        <v>481</v>
      </c>
      <c r="AA84" s="9" t="s">
        <v>90</v>
      </c>
      <c r="AB84" s="9" t="s">
        <v>61</v>
      </c>
      <c r="AD84" s="9">
        <v>3.0</v>
      </c>
      <c r="AE84" s="9">
        <v>16.0</v>
      </c>
      <c r="AF84" s="9">
        <v>7.0</v>
      </c>
      <c r="AG84" s="12">
        <v>1800.0</v>
      </c>
      <c r="AH84" s="13"/>
    </row>
    <row r="85">
      <c r="A85" s="7">
        <v>44403.938399942126</v>
      </c>
      <c r="B85" s="8">
        <f t="shared" si="1"/>
        <v>2021</v>
      </c>
      <c r="C85" s="9" t="s">
        <v>49</v>
      </c>
      <c r="D85" s="9">
        <v>27.0</v>
      </c>
      <c r="E85" s="9" t="s">
        <v>35</v>
      </c>
      <c r="F85" s="9" t="s">
        <v>36</v>
      </c>
      <c r="G85" s="8" t="s">
        <v>74</v>
      </c>
      <c r="H85" s="8" t="s">
        <v>482</v>
      </c>
      <c r="I85" s="9" t="s">
        <v>38</v>
      </c>
      <c r="J85" s="9" t="s">
        <v>483</v>
      </c>
      <c r="K85" s="9" t="s">
        <v>484</v>
      </c>
      <c r="L85" s="9" t="s">
        <v>39</v>
      </c>
      <c r="M85" s="9" t="s">
        <v>40</v>
      </c>
      <c r="N85" s="9" t="s">
        <v>40</v>
      </c>
      <c r="Q85" s="9" t="s">
        <v>485</v>
      </c>
      <c r="R85" s="9" t="s">
        <v>42</v>
      </c>
      <c r="S85" s="10">
        <v>5400.0</v>
      </c>
      <c r="T85" s="11">
        <v>0.0</v>
      </c>
      <c r="V85" s="9">
        <v>0.0</v>
      </c>
      <c r="W85" s="9" t="s">
        <v>433</v>
      </c>
      <c r="X85" s="9" t="s">
        <v>486</v>
      </c>
      <c r="Y85" s="9" t="s">
        <v>79</v>
      </c>
      <c r="Z85" s="9" t="s">
        <v>268</v>
      </c>
      <c r="AA85" s="9" t="s">
        <v>71</v>
      </c>
      <c r="AB85" s="9" t="s">
        <v>61</v>
      </c>
      <c r="AC85" s="9" t="s">
        <v>487</v>
      </c>
      <c r="AD85" s="9">
        <v>9.0</v>
      </c>
      <c r="AE85" s="9">
        <v>3.0</v>
      </c>
      <c r="AF85" s="9">
        <v>2.0</v>
      </c>
      <c r="AG85" s="12">
        <v>1800.0</v>
      </c>
      <c r="AH85" s="13"/>
    </row>
    <row r="86">
      <c r="A86" s="7">
        <v>44404.1153974537</v>
      </c>
      <c r="B86" s="8">
        <f t="shared" si="1"/>
        <v>2021</v>
      </c>
      <c r="C86" s="9" t="s">
        <v>49</v>
      </c>
      <c r="D86" s="9">
        <v>28.0</v>
      </c>
      <c r="E86" s="9" t="s">
        <v>35</v>
      </c>
      <c r="F86" s="9" t="s">
        <v>36</v>
      </c>
      <c r="G86" s="8" t="s">
        <v>50</v>
      </c>
      <c r="H86" s="9" t="s">
        <v>82</v>
      </c>
      <c r="I86" s="9" t="s">
        <v>93</v>
      </c>
      <c r="K86" s="9" t="s">
        <v>458</v>
      </c>
      <c r="L86" s="9" t="s">
        <v>40</v>
      </c>
      <c r="M86" s="9" t="s">
        <v>40</v>
      </c>
      <c r="N86" s="9" t="s">
        <v>40</v>
      </c>
      <c r="Q86" s="9" t="s">
        <v>101</v>
      </c>
      <c r="R86" s="9" t="s">
        <v>42</v>
      </c>
      <c r="S86" s="10">
        <v>5000.0</v>
      </c>
      <c r="T86" s="11">
        <v>0.0</v>
      </c>
      <c r="U86" s="9">
        <v>0.0</v>
      </c>
      <c r="V86" s="9">
        <v>12.0</v>
      </c>
      <c r="W86" s="9" t="s">
        <v>459</v>
      </c>
      <c r="X86" s="9" t="s">
        <v>44</v>
      </c>
      <c r="Y86" s="9" t="s">
        <v>58</v>
      </c>
      <c r="Z86" s="9" t="s">
        <v>97</v>
      </c>
      <c r="AA86" s="9" t="s">
        <v>47</v>
      </c>
      <c r="AB86" s="9" t="s">
        <v>61</v>
      </c>
      <c r="AD86" s="9">
        <v>8.0</v>
      </c>
      <c r="AE86" s="9">
        <v>4.0</v>
      </c>
      <c r="AF86" s="9">
        <v>4.0</v>
      </c>
      <c r="AG86" s="12">
        <v>1800.0</v>
      </c>
      <c r="AH86" s="13"/>
    </row>
    <row r="87">
      <c r="A87" s="7">
        <v>44403.94749738426</v>
      </c>
      <c r="B87" s="8">
        <f t="shared" si="1"/>
        <v>2021</v>
      </c>
      <c r="C87" s="9" t="s">
        <v>49</v>
      </c>
      <c r="D87" s="9">
        <v>28.0</v>
      </c>
      <c r="E87" s="9" t="s">
        <v>35</v>
      </c>
      <c r="F87" s="9" t="s">
        <v>36</v>
      </c>
      <c r="G87" s="9" t="s">
        <v>412</v>
      </c>
      <c r="H87" s="9" t="s">
        <v>488</v>
      </c>
      <c r="I87" s="9" t="s">
        <v>38</v>
      </c>
      <c r="L87" s="9" t="s">
        <v>39</v>
      </c>
      <c r="M87" s="9" t="s">
        <v>40</v>
      </c>
      <c r="N87" s="9" t="s">
        <v>40</v>
      </c>
      <c r="Q87" s="9" t="s">
        <v>146</v>
      </c>
      <c r="R87" s="9" t="s">
        <v>42</v>
      </c>
      <c r="S87" s="10">
        <v>4000.0</v>
      </c>
      <c r="T87" s="11" t="s">
        <v>37</v>
      </c>
      <c r="V87" s="9">
        <v>12.0</v>
      </c>
      <c r="W87" s="9" t="s">
        <v>320</v>
      </c>
      <c r="X87" s="9" t="s">
        <v>224</v>
      </c>
      <c r="Y87" s="9" t="s">
        <v>489</v>
      </c>
      <c r="Z87" s="9" t="s">
        <v>347</v>
      </c>
      <c r="AA87" s="9" t="s">
        <v>71</v>
      </c>
      <c r="AB87" s="9" t="s">
        <v>61</v>
      </c>
      <c r="AD87" s="9">
        <v>5.0</v>
      </c>
      <c r="AE87" s="9">
        <v>4.0</v>
      </c>
      <c r="AF87" s="9">
        <v>4.0</v>
      </c>
      <c r="AG87" s="12">
        <v>1800.0</v>
      </c>
      <c r="AH87" s="13"/>
    </row>
    <row r="88">
      <c r="A88" s="7">
        <v>44403.96951384259</v>
      </c>
      <c r="B88" s="8">
        <f t="shared" si="1"/>
        <v>2021</v>
      </c>
      <c r="C88" s="9" t="s">
        <v>49</v>
      </c>
      <c r="D88" s="9">
        <v>27.0</v>
      </c>
      <c r="E88" s="9" t="s">
        <v>35</v>
      </c>
      <c r="F88" s="9" t="s">
        <v>36</v>
      </c>
      <c r="G88" s="8" t="s">
        <v>50</v>
      </c>
      <c r="H88" s="9" t="s">
        <v>82</v>
      </c>
      <c r="I88" s="9" t="s">
        <v>38</v>
      </c>
      <c r="J88" s="9" t="s">
        <v>160</v>
      </c>
      <c r="K88" s="9" t="s">
        <v>490</v>
      </c>
      <c r="L88" s="9" t="s">
        <v>39</v>
      </c>
      <c r="M88" s="9" t="s">
        <v>40</v>
      </c>
      <c r="N88" s="9" t="s">
        <v>40</v>
      </c>
      <c r="Q88" s="9" t="s">
        <v>41</v>
      </c>
      <c r="R88" s="9" t="s">
        <v>42</v>
      </c>
      <c r="S88" s="10">
        <v>2800.0</v>
      </c>
      <c r="T88" s="11">
        <v>0.0</v>
      </c>
      <c r="U88" s="9">
        <v>0.0</v>
      </c>
      <c r="V88" s="9">
        <v>14.0</v>
      </c>
      <c r="W88" s="9" t="s">
        <v>491</v>
      </c>
      <c r="X88" s="9" t="s">
        <v>103</v>
      </c>
      <c r="Y88" s="9" t="s">
        <v>492</v>
      </c>
      <c r="Z88" s="9" t="s">
        <v>232</v>
      </c>
      <c r="AA88" s="9" t="s">
        <v>71</v>
      </c>
      <c r="AB88" s="9" t="s">
        <v>91</v>
      </c>
      <c r="AD88" s="9">
        <v>8.0</v>
      </c>
      <c r="AE88" s="9">
        <v>2.0</v>
      </c>
      <c r="AF88" s="9">
        <v>1.0</v>
      </c>
      <c r="AG88" s="12">
        <v>1800.0</v>
      </c>
      <c r="AH88" s="13"/>
    </row>
    <row r="89">
      <c r="A89" s="14">
        <v>44403.8889394213</v>
      </c>
      <c r="B89" s="8">
        <f t="shared" si="1"/>
        <v>2021</v>
      </c>
      <c r="C89" s="8" t="s">
        <v>49</v>
      </c>
      <c r="D89" s="8">
        <v>27.0</v>
      </c>
      <c r="E89" s="8" t="s">
        <v>35</v>
      </c>
      <c r="F89" s="8" t="s">
        <v>36</v>
      </c>
      <c r="G89" s="8" t="s">
        <v>50</v>
      </c>
      <c r="H89" s="8" t="s">
        <v>493</v>
      </c>
      <c r="I89" s="8" t="s">
        <v>38</v>
      </c>
      <c r="J89" s="9" t="s">
        <v>65</v>
      </c>
      <c r="K89" s="9" t="s">
        <v>355</v>
      </c>
      <c r="L89" s="8" t="s">
        <v>39</v>
      </c>
      <c r="M89" s="8" t="s">
        <v>40</v>
      </c>
      <c r="N89" s="8" t="s">
        <v>40</v>
      </c>
      <c r="O89" s="15"/>
      <c r="P89" s="15"/>
      <c r="Q89" s="8" t="s">
        <v>41</v>
      </c>
      <c r="R89" s="9" t="s">
        <v>42</v>
      </c>
      <c r="S89" s="16">
        <v>3500.0</v>
      </c>
      <c r="T89" s="17">
        <v>0.0</v>
      </c>
      <c r="U89" s="8">
        <v>0.0</v>
      </c>
      <c r="V89" s="8">
        <v>14.0</v>
      </c>
      <c r="W89" s="8" t="s">
        <v>494</v>
      </c>
      <c r="X89" s="8" t="s">
        <v>495</v>
      </c>
      <c r="Y89" s="8" t="s">
        <v>58</v>
      </c>
      <c r="Z89" s="8" t="s">
        <v>155</v>
      </c>
      <c r="AA89" s="8" t="s">
        <v>132</v>
      </c>
      <c r="AB89" s="8" t="s">
        <v>61</v>
      </c>
      <c r="AC89" s="15"/>
      <c r="AD89" s="8">
        <v>6.0</v>
      </c>
      <c r="AE89" s="8">
        <v>1.0</v>
      </c>
      <c r="AF89" s="8">
        <v>0.0</v>
      </c>
      <c r="AG89" s="18">
        <v>1800.0</v>
      </c>
      <c r="AH89" s="13"/>
      <c r="AI89" s="15"/>
      <c r="AJ89" s="15"/>
      <c r="AK89" s="15"/>
      <c r="AL89" s="15"/>
      <c r="AM89" s="15"/>
      <c r="AN89" s="15"/>
    </row>
    <row r="90">
      <c r="A90" s="7">
        <v>44404.0288840162</v>
      </c>
      <c r="B90" s="8">
        <f t="shared" si="1"/>
        <v>2021</v>
      </c>
      <c r="C90" s="9" t="s">
        <v>49</v>
      </c>
      <c r="D90" s="9">
        <v>35.0</v>
      </c>
      <c r="E90" s="9" t="s">
        <v>35</v>
      </c>
      <c r="F90" s="9" t="s">
        <v>36</v>
      </c>
      <c r="G90" s="8" t="s">
        <v>50</v>
      </c>
      <c r="H90" s="9" t="s">
        <v>82</v>
      </c>
      <c r="I90" s="9" t="s">
        <v>38</v>
      </c>
      <c r="J90" s="9" t="s">
        <v>75</v>
      </c>
      <c r="K90" s="9" t="s">
        <v>496</v>
      </c>
      <c r="L90" s="9" t="s">
        <v>39</v>
      </c>
      <c r="M90" s="9" t="s">
        <v>40</v>
      </c>
      <c r="N90" s="9" t="s">
        <v>40</v>
      </c>
      <c r="Q90" s="9" t="s">
        <v>308</v>
      </c>
      <c r="R90" s="9" t="s">
        <v>42</v>
      </c>
      <c r="S90" s="10">
        <v>4800.0</v>
      </c>
      <c r="T90" s="11">
        <v>4800.0</v>
      </c>
      <c r="U90" s="9">
        <v>0.0</v>
      </c>
      <c r="V90" s="9">
        <v>14.0</v>
      </c>
      <c r="W90" s="9" t="s">
        <v>497</v>
      </c>
      <c r="X90" s="9" t="s">
        <v>498</v>
      </c>
      <c r="Y90" s="9" t="s">
        <v>58</v>
      </c>
      <c r="Z90" s="9" t="s">
        <v>70</v>
      </c>
      <c r="AA90" s="9" t="s">
        <v>60</v>
      </c>
      <c r="AB90" s="9" t="s">
        <v>61</v>
      </c>
      <c r="AD90" s="9">
        <v>7.0</v>
      </c>
      <c r="AE90" s="9">
        <v>10.0</v>
      </c>
      <c r="AF90" s="9">
        <v>1.0</v>
      </c>
      <c r="AG90" s="12">
        <v>1800.0</v>
      </c>
      <c r="AH90" s="13"/>
    </row>
    <row r="91">
      <c r="A91" s="7">
        <v>44404.627548530094</v>
      </c>
      <c r="B91" s="8">
        <f t="shared" si="1"/>
        <v>2021</v>
      </c>
      <c r="C91" s="9" t="s">
        <v>49</v>
      </c>
      <c r="D91" s="9">
        <v>35.0</v>
      </c>
      <c r="E91" s="9" t="s">
        <v>35</v>
      </c>
      <c r="F91" s="9" t="s">
        <v>36</v>
      </c>
      <c r="G91" s="8" t="s">
        <v>50</v>
      </c>
      <c r="H91" s="8" t="s">
        <v>499</v>
      </c>
      <c r="I91" s="9" t="s">
        <v>38</v>
      </c>
      <c r="J91" s="8" t="s">
        <v>75</v>
      </c>
      <c r="K91" s="9" t="s">
        <v>381</v>
      </c>
      <c r="L91" s="9" t="s">
        <v>39</v>
      </c>
      <c r="M91" s="9" t="s">
        <v>40</v>
      </c>
      <c r="N91" s="9" t="s">
        <v>40</v>
      </c>
      <c r="Q91" s="9" t="s">
        <v>128</v>
      </c>
      <c r="R91" s="9" t="s">
        <v>42</v>
      </c>
      <c r="S91" s="10">
        <v>8500.0</v>
      </c>
      <c r="T91" s="11">
        <v>0.0</v>
      </c>
      <c r="V91" s="9">
        <v>14.0</v>
      </c>
      <c r="W91" s="9" t="s">
        <v>500</v>
      </c>
      <c r="X91" s="9" t="s">
        <v>224</v>
      </c>
      <c r="Y91" s="9" t="s">
        <v>300</v>
      </c>
      <c r="Z91" s="9" t="s">
        <v>347</v>
      </c>
      <c r="AA91" s="9" t="s">
        <v>132</v>
      </c>
      <c r="AB91" s="9" t="s">
        <v>91</v>
      </c>
      <c r="AD91" s="9">
        <v>7.0</v>
      </c>
      <c r="AE91" s="9">
        <v>10.0</v>
      </c>
      <c r="AF91" s="9">
        <v>4.0</v>
      </c>
      <c r="AG91" s="12">
        <v>1800.0</v>
      </c>
      <c r="AH91" s="13"/>
    </row>
    <row r="92">
      <c r="A92" s="7">
        <v>44403.988925196754</v>
      </c>
      <c r="B92" s="8">
        <f t="shared" si="1"/>
        <v>2021</v>
      </c>
      <c r="C92" s="9" t="s">
        <v>49</v>
      </c>
      <c r="D92" s="9">
        <v>29.0</v>
      </c>
      <c r="E92" s="9" t="s">
        <v>35</v>
      </c>
      <c r="F92" s="9" t="s">
        <v>36</v>
      </c>
      <c r="G92" s="8" t="s">
        <v>63</v>
      </c>
      <c r="H92" s="9" t="s">
        <v>301</v>
      </c>
      <c r="I92" s="9" t="s">
        <v>38</v>
      </c>
      <c r="J92" s="9" t="s">
        <v>501</v>
      </c>
      <c r="K92" s="8" t="s">
        <v>502</v>
      </c>
      <c r="L92" s="9" t="s">
        <v>40</v>
      </c>
      <c r="M92" s="9" t="s">
        <v>40</v>
      </c>
      <c r="N92" s="9" t="s">
        <v>40</v>
      </c>
      <c r="Q92" s="9" t="s">
        <v>503</v>
      </c>
      <c r="R92" s="9" t="s">
        <v>42</v>
      </c>
      <c r="S92" s="10">
        <v>4945.0</v>
      </c>
      <c r="T92" s="11">
        <v>6000.0</v>
      </c>
      <c r="U92" s="9">
        <v>10000.0</v>
      </c>
      <c r="V92" s="9">
        <v>16.0</v>
      </c>
      <c r="W92" s="9" t="s">
        <v>504</v>
      </c>
      <c r="X92" s="9" t="s">
        <v>505</v>
      </c>
      <c r="Y92" s="9" t="s">
        <v>267</v>
      </c>
      <c r="Z92" s="9" t="s">
        <v>80</v>
      </c>
      <c r="AA92" s="9" t="s">
        <v>60</v>
      </c>
      <c r="AB92" s="9" t="s">
        <v>61</v>
      </c>
      <c r="AD92" s="9">
        <v>7.0</v>
      </c>
      <c r="AE92" s="9">
        <v>6.0</v>
      </c>
      <c r="AF92" s="9">
        <v>1.0</v>
      </c>
      <c r="AG92" s="12">
        <v>1800.0</v>
      </c>
      <c r="AH92" s="13"/>
    </row>
    <row r="93">
      <c r="A93" s="14">
        <v>44403.8849108912</v>
      </c>
      <c r="B93" s="8">
        <f t="shared" si="1"/>
        <v>2021</v>
      </c>
      <c r="C93" s="8" t="s">
        <v>49</v>
      </c>
      <c r="D93" s="8">
        <v>31.0</v>
      </c>
      <c r="E93" s="8" t="s">
        <v>35</v>
      </c>
      <c r="F93" s="8" t="s">
        <v>36</v>
      </c>
      <c r="G93" s="8" t="s">
        <v>50</v>
      </c>
      <c r="H93" s="8" t="s">
        <v>37</v>
      </c>
      <c r="I93" s="8" t="s">
        <v>38</v>
      </c>
      <c r="J93" s="9" t="s">
        <v>75</v>
      </c>
      <c r="K93" s="9" t="s">
        <v>84</v>
      </c>
      <c r="L93" s="8" t="s">
        <v>39</v>
      </c>
      <c r="M93" s="8" t="s">
        <v>40</v>
      </c>
      <c r="N93" s="8" t="s">
        <v>40</v>
      </c>
      <c r="O93" s="15"/>
      <c r="P93" s="15"/>
      <c r="Q93" s="9" t="s">
        <v>182</v>
      </c>
      <c r="R93" s="9" t="s">
        <v>42</v>
      </c>
      <c r="S93" s="16">
        <v>10500.0</v>
      </c>
      <c r="T93" s="17">
        <v>0.0</v>
      </c>
      <c r="U93" s="8">
        <v>0.0</v>
      </c>
      <c r="V93" s="8">
        <v>21.0</v>
      </c>
      <c r="W93" s="8" t="s">
        <v>506</v>
      </c>
      <c r="X93" s="8" t="s">
        <v>507</v>
      </c>
      <c r="Y93" s="8" t="s">
        <v>58</v>
      </c>
      <c r="Z93" s="8" t="s">
        <v>59</v>
      </c>
      <c r="AA93" s="8" t="s">
        <v>132</v>
      </c>
      <c r="AB93" s="8" t="s">
        <v>91</v>
      </c>
      <c r="AC93" s="15"/>
      <c r="AD93" s="8">
        <v>6.0</v>
      </c>
      <c r="AE93" s="8">
        <v>7.0</v>
      </c>
      <c r="AF93" s="8">
        <v>1.0</v>
      </c>
      <c r="AG93" s="18">
        <v>1800.0</v>
      </c>
      <c r="AH93" s="13"/>
      <c r="AI93" s="15"/>
      <c r="AJ93" s="15"/>
      <c r="AK93" s="15"/>
      <c r="AL93" s="15"/>
      <c r="AM93" s="15"/>
      <c r="AN93" s="15"/>
    </row>
    <row r="94">
      <c r="A94" s="7">
        <v>44403.97392858796</v>
      </c>
      <c r="B94" s="8">
        <f t="shared" si="1"/>
        <v>2021</v>
      </c>
      <c r="C94" s="9" t="s">
        <v>49</v>
      </c>
      <c r="D94" s="9">
        <v>40.0</v>
      </c>
      <c r="E94" s="9" t="s">
        <v>35</v>
      </c>
      <c r="F94" s="9" t="s">
        <v>36</v>
      </c>
      <c r="G94" s="8" t="s">
        <v>50</v>
      </c>
      <c r="H94" s="8" t="s">
        <v>493</v>
      </c>
      <c r="I94" s="9" t="s">
        <v>247</v>
      </c>
      <c r="J94" s="9" t="s">
        <v>475</v>
      </c>
      <c r="K94" s="8" t="s">
        <v>476</v>
      </c>
      <c r="L94" s="9" t="s">
        <v>39</v>
      </c>
      <c r="M94" s="9" t="s">
        <v>39</v>
      </c>
      <c r="N94" s="9" t="s">
        <v>40</v>
      </c>
      <c r="Q94" s="9" t="s">
        <v>249</v>
      </c>
      <c r="R94" s="9" t="s">
        <v>42</v>
      </c>
      <c r="S94" s="10">
        <v>10000.0</v>
      </c>
      <c r="T94" s="11">
        <v>0.0</v>
      </c>
      <c r="U94" s="9">
        <v>0.0</v>
      </c>
      <c r="V94" s="9">
        <v>24.0</v>
      </c>
      <c r="W94" s="9" t="s">
        <v>157</v>
      </c>
      <c r="X94" s="9" t="s">
        <v>508</v>
      </c>
      <c r="Y94" s="9" t="s">
        <v>509</v>
      </c>
      <c r="Z94" s="9" t="s">
        <v>350</v>
      </c>
      <c r="AA94" s="9" t="s">
        <v>47</v>
      </c>
      <c r="AB94" s="9" t="s">
        <v>61</v>
      </c>
      <c r="AD94" s="9">
        <v>10.0</v>
      </c>
      <c r="AE94" s="9">
        <v>17.0</v>
      </c>
      <c r="AF94" s="9">
        <v>3.0</v>
      </c>
      <c r="AG94" s="12">
        <v>1800.0</v>
      </c>
      <c r="AH94" s="13"/>
    </row>
    <row r="95">
      <c r="A95" s="7">
        <v>44404.29986452546</v>
      </c>
      <c r="B95" s="8">
        <f t="shared" si="1"/>
        <v>2021</v>
      </c>
      <c r="C95" s="9" t="s">
        <v>49</v>
      </c>
      <c r="D95" s="9">
        <v>35.0</v>
      </c>
      <c r="E95" s="9" t="s">
        <v>35</v>
      </c>
      <c r="F95" s="9" t="s">
        <v>36</v>
      </c>
      <c r="G95" s="8" t="s">
        <v>50</v>
      </c>
      <c r="H95" s="9" t="s">
        <v>298</v>
      </c>
      <c r="I95" s="9" t="s">
        <v>38</v>
      </c>
      <c r="J95" s="9" t="s">
        <v>510</v>
      </c>
      <c r="K95" s="8" t="s">
        <v>476</v>
      </c>
      <c r="L95" s="9" t="s">
        <v>39</v>
      </c>
      <c r="M95" s="9" t="s">
        <v>40</v>
      </c>
      <c r="N95" s="9" t="s">
        <v>40</v>
      </c>
      <c r="Q95" s="9" t="s">
        <v>511</v>
      </c>
      <c r="R95" s="9" t="s">
        <v>42</v>
      </c>
      <c r="S95" s="10">
        <v>13000.0</v>
      </c>
      <c r="T95" s="11">
        <v>20000.0</v>
      </c>
      <c r="V95" s="9">
        <v>24.0</v>
      </c>
      <c r="W95" s="9" t="s">
        <v>512</v>
      </c>
      <c r="X95" s="9" t="s">
        <v>513</v>
      </c>
      <c r="Y95" s="9" t="s">
        <v>122</v>
      </c>
      <c r="Z95" s="9" t="s">
        <v>59</v>
      </c>
      <c r="AA95" s="9" t="s">
        <v>90</v>
      </c>
      <c r="AB95" s="9" t="s">
        <v>61</v>
      </c>
      <c r="AC95" s="9" t="s">
        <v>514</v>
      </c>
      <c r="AD95" s="9">
        <v>8.0</v>
      </c>
      <c r="AE95" s="9">
        <v>12.0</v>
      </c>
      <c r="AF95" s="9">
        <v>4.0</v>
      </c>
      <c r="AG95" s="12">
        <v>1800.0</v>
      </c>
      <c r="AH95" s="13"/>
    </row>
    <row r="96">
      <c r="A96" s="7">
        <v>44404.028223657406</v>
      </c>
      <c r="B96" s="8">
        <f t="shared" si="1"/>
        <v>2021</v>
      </c>
      <c r="C96" s="9" t="s">
        <v>49</v>
      </c>
      <c r="D96" s="9">
        <v>25.0</v>
      </c>
      <c r="E96" s="9" t="s">
        <v>35</v>
      </c>
      <c r="F96" s="9" t="s">
        <v>36</v>
      </c>
      <c r="G96" s="8" t="s">
        <v>515</v>
      </c>
      <c r="H96" s="9" t="s">
        <v>516</v>
      </c>
      <c r="I96" s="9" t="s">
        <v>38</v>
      </c>
      <c r="J96" s="9" t="s">
        <v>160</v>
      </c>
      <c r="K96" s="9" t="s">
        <v>381</v>
      </c>
      <c r="L96" s="9" t="s">
        <v>39</v>
      </c>
      <c r="M96" s="9" t="s">
        <v>40</v>
      </c>
      <c r="N96" s="9" t="s">
        <v>40</v>
      </c>
      <c r="Q96" s="9" t="s">
        <v>146</v>
      </c>
      <c r="R96" s="9" t="s">
        <v>42</v>
      </c>
      <c r="S96" s="10">
        <v>2500.0</v>
      </c>
      <c r="T96" s="11">
        <v>0.0</v>
      </c>
      <c r="U96" s="9">
        <v>0.0</v>
      </c>
      <c r="V96" s="9">
        <v>28.0</v>
      </c>
      <c r="W96" s="9" t="s">
        <v>517</v>
      </c>
      <c r="X96" s="9" t="s">
        <v>518</v>
      </c>
      <c r="Y96" s="9" t="s">
        <v>519</v>
      </c>
      <c r="Z96" s="9" t="s">
        <v>350</v>
      </c>
      <c r="AA96" s="9" t="s">
        <v>71</v>
      </c>
      <c r="AB96" s="9" t="s">
        <v>91</v>
      </c>
      <c r="AC96" s="9" t="s">
        <v>520</v>
      </c>
      <c r="AD96" s="9">
        <v>5.0</v>
      </c>
      <c r="AE96" s="9">
        <v>2.0</v>
      </c>
      <c r="AF96" s="9">
        <v>1.0</v>
      </c>
      <c r="AG96" s="12">
        <v>1800.0</v>
      </c>
      <c r="AH96" s="13"/>
    </row>
    <row r="97">
      <c r="A97" s="7">
        <v>44492.526477060186</v>
      </c>
      <c r="B97" s="8">
        <f t="shared" si="1"/>
        <v>2021</v>
      </c>
      <c r="C97" s="9" t="s">
        <v>73</v>
      </c>
      <c r="D97" s="9">
        <v>28.0</v>
      </c>
      <c r="E97" s="9" t="s">
        <v>35</v>
      </c>
      <c r="F97" s="9" t="s">
        <v>36</v>
      </c>
      <c r="G97" s="8" t="s">
        <v>124</v>
      </c>
      <c r="H97" s="9" t="s">
        <v>156</v>
      </c>
      <c r="I97" s="9" t="s">
        <v>38</v>
      </c>
      <c r="J97" s="9" t="s">
        <v>521</v>
      </c>
      <c r="K97" s="9" t="s">
        <v>522</v>
      </c>
      <c r="L97" s="9" t="s">
        <v>40</v>
      </c>
      <c r="M97" s="9" t="s">
        <v>40</v>
      </c>
      <c r="N97" s="9" t="s">
        <v>40</v>
      </c>
      <c r="Q97" s="9" t="s">
        <v>277</v>
      </c>
      <c r="R97" s="9" t="s">
        <v>42</v>
      </c>
      <c r="S97" s="10">
        <v>4000.0</v>
      </c>
      <c r="T97" s="11">
        <v>0.0</v>
      </c>
      <c r="U97" s="9">
        <v>0.0</v>
      </c>
      <c r="V97" s="9">
        <v>12.0</v>
      </c>
      <c r="W97" s="9" t="s">
        <v>523</v>
      </c>
      <c r="X97" s="9" t="s">
        <v>524</v>
      </c>
      <c r="Y97" s="9" t="s">
        <v>122</v>
      </c>
      <c r="Z97" s="9" t="s">
        <v>59</v>
      </c>
      <c r="AA97" s="9" t="s">
        <v>60</v>
      </c>
      <c r="AB97" s="9" t="s">
        <v>61</v>
      </c>
      <c r="AD97" s="9">
        <v>6.0</v>
      </c>
      <c r="AE97" s="9">
        <v>0.8</v>
      </c>
      <c r="AF97" s="9">
        <v>3.0</v>
      </c>
      <c r="AG97" s="12">
        <v>1900.0</v>
      </c>
      <c r="AH97" s="9" t="s">
        <v>42</v>
      </c>
    </row>
    <row r="98">
      <c r="A98" s="7">
        <v>44404.89933652778</v>
      </c>
      <c r="B98" s="8">
        <f t="shared" si="1"/>
        <v>2021</v>
      </c>
      <c r="C98" s="9" t="s">
        <v>49</v>
      </c>
      <c r="D98" s="9">
        <v>30.0</v>
      </c>
      <c r="E98" s="9" t="s">
        <v>35</v>
      </c>
      <c r="F98" s="9" t="s">
        <v>246</v>
      </c>
      <c r="G98" s="9" t="s">
        <v>246</v>
      </c>
      <c r="H98" s="8" t="s">
        <v>37</v>
      </c>
      <c r="I98" s="9" t="s">
        <v>302</v>
      </c>
      <c r="L98" s="9" t="s">
        <v>40</v>
      </c>
      <c r="M98" s="9" t="s">
        <v>40</v>
      </c>
      <c r="N98" s="9" t="s">
        <v>40</v>
      </c>
      <c r="Q98" s="9" t="s">
        <v>119</v>
      </c>
      <c r="R98" s="9" t="s">
        <v>250</v>
      </c>
      <c r="S98" s="10">
        <v>9000.0</v>
      </c>
      <c r="T98" s="11">
        <v>21600.0</v>
      </c>
      <c r="V98" s="9">
        <v>21.0</v>
      </c>
      <c r="W98" s="9" t="s">
        <v>525</v>
      </c>
      <c r="X98" s="9" t="s">
        <v>526</v>
      </c>
      <c r="Y98" s="9" t="s">
        <v>246</v>
      </c>
      <c r="Z98" s="9" t="s">
        <v>285</v>
      </c>
      <c r="AA98" s="9" t="s">
        <v>90</v>
      </c>
      <c r="AB98" s="9" t="s">
        <v>91</v>
      </c>
      <c r="AD98" s="9">
        <v>10.0</v>
      </c>
      <c r="AE98" s="9">
        <v>6.0</v>
      </c>
      <c r="AF98" s="9">
        <v>7.0</v>
      </c>
      <c r="AG98" s="12">
        <v>1900.0</v>
      </c>
      <c r="AH98" s="13"/>
    </row>
    <row r="99">
      <c r="A99" s="7">
        <v>44409.757032222224</v>
      </c>
      <c r="B99" s="8">
        <f t="shared" si="1"/>
        <v>2021</v>
      </c>
      <c r="C99" s="9" t="s">
        <v>49</v>
      </c>
      <c r="D99" s="9">
        <v>25.0</v>
      </c>
      <c r="E99" s="9" t="s">
        <v>35</v>
      </c>
      <c r="F99" s="9" t="s">
        <v>36</v>
      </c>
      <c r="G99" s="8" t="s">
        <v>74</v>
      </c>
      <c r="H99" s="8" t="s">
        <v>527</v>
      </c>
      <c r="I99" s="9" t="s">
        <v>38</v>
      </c>
      <c r="J99" s="9" t="s">
        <v>75</v>
      </c>
      <c r="K99" s="9" t="s">
        <v>381</v>
      </c>
      <c r="L99" s="9" t="s">
        <v>40</v>
      </c>
      <c r="M99" s="9" t="s">
        <v>40</v>
      </c>
      <c r="N99" s="9" t="s">
        <v>40</v>
      </c>
      <c r="Q99" s="9" t="s">
        <v>146</v>
      </c>
      <c r="R99" s="9" t="s">
        <v>42</v>
      </c>
      <c r="S99" s="10">
        <v>3500.0</v>
      </c>
      <c r="T99" s="11">
        <v>0.0</v>
      </c>
      <c r="U99" s="9">
        <v>0.0</v>
      </c>
      <c r="V99" s="9">
        <v>12.0</v>
      </c>
      <c r="W99" s="9" t="s">
        <v>528</v>
      </c>
      <c r="X99" s="9" t="s">
        <v>529</v>
      </c>
      <c r="Y99" s="9" t="s">
        <v>530</v>
      </c>
      <c r="Z99" s="9" t="s">
        <v>531</v>
      </c>
      <c r="AA99" s="9" t="s">
        <v>47</v>
      </c>
      <c r="AB99" s="9" t="s">
        <v>61</v>
      </c>
      <c r="AD99" s="9">
        <v>9.0</v>
      </c>
      <c r="AE99" s="9">
        <v>1.5</v>
      </c>
      <c r="AF99" s="9">
        <v>1.0</v>
      </c>
      <c r="AG99" s="12">
        <v>1950.0</v>
      </c>
      <c r="AH99" s="9" t="s">
        <v>42</v>
      </c>
    </row>
    <row r="100">
      <c r="A100" s="7">
        <v>44423.79641778935</v>
      </c>
      <c r="B100" s="8">
        <f t="shared" si="1"/>
        <v>2021</v>
      </c>
      <c r="C100" s="9" t="s">
        <v>49</v>
      </c>
      <c r="D100" s="9">
        <v>25.0</v>
      </c>
      <c r="E100" s="9" t="s">
        <v>35</v>
      </c>
      <c r="F100" s="9" t="s">
        <v>36</v>
      </c>
      <c r="G100" s="8" t="s">
        <v>124</v>
      </c>
      <c r="H100" s="9" t="s">
        <v>532</v>
      </c>
      <c r="I100" s="9" t="s">
        <v>38</v>
      </c>
      <c r="J100" s="9" t="s">
        <v>533</v>
      </c>
      <c r="K100" s="9" t="s">
        <v>534</v>
      </c>
      <c r="L100" s="9" t="s">
        <v>39</v>
      </c>
      <c r="M100" s="9" t="s">
        <v>40</v>
      </c>
      <c r="N100" s="9" t="s">
        <v>40</v>
      </c>
      <c r="Q100" s="9" t="s">
        <v>535</v>
      </c>
      <c r="R100" s="9" t="s">
        <v>112</v>
      </c>
      <c r="S100" s="10">
        <v>5800.0</v>
      </c>
      <c r="T100" s="11">
        <v>0.0</v>
      </c>
      <c r="U100" s="21">
        <v>100000.0</v>
      </c>
      <c r="V100" s="9">
        <v>0.0</v>
      </c>
      <c r="W100" s="9" t="s">
        <v>536</v>
      </c>
      <c r="X100" s="9" t="s">
        <v>537</v>
      </c>
      <c r="Y100" s="9" t="s">
        <v>246</v>
      </c>
      <c r="Z100" s="9" t="s">
        <v>59</v>
      </c>
      <c r="AA100" s="9" t="s">
        <v>47</v>
      </c>
      <c r="AB100" s="9" t="s">
        <v>61</v>
      </c>
      <c r="AD100" s="9">
        <v>8.0</v>
      </c>
      <c r="AE100" s="9">
        <v>1.0</v>
      </c>
      <c r="AF100" s="9">
        <v>1.0</v>
      </c>
      <c r="AG100" s="12">
        <v>2000.0</v>
      </c>
      <c r="AH100" s="9" t="s">
        <v>538</v>
      </c>
    </row>
    <row r="101">
      <c r="A101" s="7">
        <v>44417.55943865741</v>
      </c>
      <c r="B101" s="8">
        <f t="shared" si="1"/>
        <v>2021</v>
      </c>
      <c r="C101" s="9" t="s">
        <v>49</v>
      </c>
      <c r="D101" s="9">
        <v>32.0</v>
      </c>
      <c r="E101" s="9" t="s">
        <v>35</v>
      </c>
      <c r="F101" s="9" t="s">
        <v>36</v>
      </c>
      <c r="G101" s="8" t="s">
        <v>50</v>
      </c>
      <c r="H101" s="8" t="s">
        <v>539</v>
      </c>
      <c r="I101" s="9" t="s">
        <v>38</v>
      </c>
      <c r="J101" s="9" t="s">
        <v>263</v>
      </c>
      <c r="K101" s="9" t="s">
        <v>84</v>
      </c>
      <c r="L101" s="9" t="s">
        <v>39</v>
      </c>
      <c r="M101" s="9" t="s">
        <v>40</v>
      </c>
      <c r="N101" s="9" t="s">
        <v>40</v>
      </c>
      <c r="Q101" s="9" t="s">
        <v>119</v>
      </c>
      <c r="R101" s="9" t="s">
        <v>42</v>
      </c>
      <c r="S101" s="10">
        <v>5000.0</v>
      </c>
      <c r="T101" s="11">
        <v>0.0</v>
      </c>
      <c r="U101" s="9">
        <v>0.0</v>
      </c>
      <c r="V101" s="9">
        <v>0.0</v>
      </c>
      <c r="W101" s="9" t="s">
        <v>540</v>
      </c>
      <c r="X101" s="9" t="s">
        <v>541</v>
      </c>
      <c r="Y101" s="9" t="s">
        <v>131</v>
      </c>
      <c r="Z101" s="9" t="s">
        <v>97</v>
      </c>
      <c r="AA101" s="9" t="s">
        <v>47</v>
      </c>
      <c r="AB101" s="9" t="s">
        <v>48</v>
      </c>
      <c r="AD101" s="9">
        <v>2.0</v>
      </c>
      <c r="AE101" s="9">
        <v>10.0</v>
      </c>
      <c r="AF101" s="9">
        <v>3.0</v>
      </c>
      <c r="AG101" s="12">
        <v>2000.0</v>
      </c>
      <c r="AH101" s="9" t="s">
        <v>42</v>
      </c>
    </row>
    <row r="102">
      <c r="A102" s="7">
        <v>44408.61985020833</v>
      </c>
      <c r="B102" s="8">
        <f t="shared" si="1"/>
        <v>2021</v>
      </c>
      <c r="C102" s="9" t="s">
        <v>49</v>
      </c>
      <c r="D102" s="9">
        <v>22.0</v>
      </c>
      <c r="E102" s="9" t="s">
        <v>542</v>
      </c>
      <c r="F102" s="9" t="s">
        <v>36</v>
      </c>
      <c r="G102" s="8" t="s">
        <v>63</v>
      </c>
      <c r="H102" s="9" t="s">
        <v>301</v>
      </c>
      <c r="I102" s="9" t="s">
        <v>38</v>
      </c>
      <c r="J102" s="9" t="s">
        <v>75</v>
      </c>
      <c r="K102" s="9" t="s">
        <v>66</v>
      </c>
      <c r="L102" s="9" t="s">
        <v>39</v>
      </c>
      <c r="M102" s="9" t="s">
        <v>40</v>
      </c>
      <c r="N102" s="9" t="s">
        <v>40</v>
      </c>
      <c r="Q102" s="9" t="s">
        <v>146</v>
      </c>
      <c r="R102" s="9" t="s">
        <v>42</v>
      </c>
      <c r="S102" s="10">
        <v>3000.0</v>
      </c>
      <c r="T102" s="11">
        <v>0.0</v>
      </c>
      <c r="U102" s="9">
        <v>0.0</v>
      </c>
      <c r="V102" s="9">
        <v>0.0</v>
      </c>
      <c r="W102" s="9" t="s">
        <v>223</v>
      </c>
      <c r="X102" s="9" t="s">
        <v>457</v>
      </c>
      <c r="Y102" s="9" t="s">
        <v>63</v>
      </c>
      <c r="Z102" s="9" t="s">
        <v>155</v>
      </c>
      <c r="AA102" s="9" t="s">
        <v>47</v>
      </c>
      <c r="AB102" s="9" t="s">
        <v>61</v>
      </c>
      <c r="AD102" s="9">
        <v>6.0</v>
      </c>
      <c r="AE102" s="9">
        <v>1.0</v>
      </c>
      <c r="AF102" s="9">
        <v>1.0</v>
      </c>
      <c r="AG102" s="12">
        <v>2000.0</v>
      </c>
      <c r="AH102" s="9" t="s">
        <v>42</v>
      </c>
    </row>
    <row r="103">
      <c r="A103" s="7">
        <v>44417.86252792824</v>
      </c>
      <c r="B103" s="8">
        <f t="shared" si="1"/>
        <v>2021</v>
      </c>
      <c r="C103" s="9" t="s">
        <v>49</v>
      </c>
      <c r="D103" s="9">
        <v>24.0</v>
      </c>
      <c r="E103" s="9" t="s">
        <v>34</v>
      </c>
      <c r="F103" s="9" t="s">
        <v>36</v>
      </c>
      <c r="G103" s="8" t="s">
        <v>50</v>
      </c>
      <c r="H103" s="9" t="s">
        <v>156</v>
      </c>
      <c r="I103" s="9" t="s">
        <v>38</v>
      </c>
      <c r="J103" s="9" t="s">
        <v>75</v>
      </c>
      <c r="L103" s="9" t="s">
        <v>39</v>
      </c>
      <c r="M103" s="9" t="s">
        <v>40</v>
      </c>
      <c r="N103" s="9" t="s">
        <v>39</v>
      </c>
      <c r="P103" s="9" t="s">
        <v>543</v>
      </c>
      <c r="Q103" s="9" t="s">
        <v>544</v>
      </c>
      <c r="R103" s="9" t="s">
        <v>42</v>
      </c>
      <c r="S103" s="10">
        <v>8000.0</v>
      </c>
      <c r="T103" s="11">
        <v>0.0</v>
      </c>
      <c r="U103" s="9">
        <v>0.0</v>
      </c>
      <c r="V103" s="9">
        <v>0.0</v>
      </c>
      <c r="W103" s="9" t="s">
        <v>320</v>
      </c>
      <c r="X103" s="9" t="s">
        <v>545</v>
      </c>
      <c r="Y103" s="9" t="s">
        <v>122</v>
      </c>
      <c r="Z103" s="9" t="s">
        <v>59</v>
      </c>
      <c r="AA103" s="9" t="s">
        <v>71</v>
      </c>
      <c r="AB103" s="9" t="s">
        <v>61</v>
      </c>
      <c r="AD103" s="9">
        <v>3.0</v>
      </c>
      <c r="AE103" s="9">
        <v>3.0</v>
      </c>
      <c r="AF103" s="9">
        <v>5.0</v>
      </c>
      <c r="AG103" s="12">
        <v>2000.0</v>
      </c>
      <c r="AH103" s="9" t="s">
        <v>42</v>
      </c>
    </row>
    <row r="104">
      <c r="A104" s="7">
        <v>44409.419887881944</v>
      </c>
      <c r="B104" s="8">
        <f t="shared" si="1"/>
        <v>2021</v>
      </c>
      <c r="C104" s="9" t="s">
        <v>49</v>
      </c>
      <c r="D104" s="9">
        <v>27.0</v>
      </c>
      <c r="E104" s="9" t="s">
        <v>35</v>
      </c>
      <c r="F104" s="9" t="s">
        <v>36</v>
      </c>
      <c r="G104" s="8" t="s">
        <v>50</v>
      </c>
      <c r="H104" s="9" t="s">
        <v>106</v>
      </c>
      <c r="I104" s="9" t="s">
        <v>38</v>
      </c>
      <c r="J104" s="9" t="s">
        <v>75</v>
      </c>
      <c r="K104" s="9" t="s">
        <v>337</v>
      </c>
      <c r="L104" s="9" t="s">
        <v>39</v>
      </c>
      <c r="M104" s="9" t="s">
        <v>40</v>
      </c>
      <c r="N104" s="9" t="s">
        <v>40</v>
      </c>
      <c r="Q104" s="9" t="s">
        <v>146</v>
      </c>
      <c r="R104" s="9" t="s">
        <v>42</v>
      </c>
      <c r="S104" s="10">
        <v>3800.0</v>
      </c>
      <c r="T104" s="11">
        <v>0.0</v>
      </c>
      <c r="U104" s="9">
        <v>0.0</v>
      </c>
      <c r="V104" s="9">
        <v>8.0</v>
      </c>
      <c r="W104" s="9" t="s">
        <v>67</v>
      </c>
      <c r="X104" s="9" t="s">
        <v>546</v>
      </c>
      <c r="Y104" s="9" t="s">
        <v>131</v>
      </c>
      <c r="Z104" s="9" t="s">
        <v>547</v>
      </c>
      <c r="AA104" s="9" t="s">
        <v>71</v>
      </c>
      <c r="AB104" s="9" t="s">
        <v>61</v>
      </c>
      <c r="AD104" s="9">
        <v>6.0</v>
      </c>
      <c r="AE104" s="9">
        <v>3.0</v>
      </c>
      <c r="AF104" s="9">
        <v>1.0</v>
      </c>
      <c r="AG104" s="12">
        <v>2000.0</v>
      </c>
      <c r="AH104" s="9" t="s">
        <v>42</v>
      </c>
    </row>
    <row r="105">
      <c r="A105" s="7">
        <v>44614.97642665509</v>
      </c>
      <c r="B105" s="8">
        <f t="shared" si="1"/>
        <v>2022</v>
      </c>
      <c r="C105" s="9" t="s">
        <v>49</v>
      </c>
      <c r="D105" s="9">
        <v>27.0</v>
      </c>
      <c r="E105" s="9" t="s">
        <v>35</v>
      </c>
      <c r="F105" s="9" t="s">
        <v>36</v>
      </c>
      <c r="G105" s="8" t="s">
        <v>50</v>
      </c>
      <c r="H105" s="9" t="s">
        <v>106</v>
      </c>
      <c r="I105" s="9" t="s">
        <v>38</v>
      </c>
      <c r="J105" s="9" t="s">
        <v>75</v>
      </c>
      <c r="K105" s="9" t="s">
        <v>166</v>
      </c>
      <c r="L105" s="9" t="s">
        <v>39</v>
      </c>
      <c r="M105" s="9" t="s">
        <v>40</v>
      </c>
      <c r="N105" s="9" t="s">
        <v>40</v>
      </c>
      <c r="Q105" s="9" t="s">
        <v>548</v>
      </c>
      <c r="R105" s="9" t="s">
        <v>42</v>
      </c>
      <c r="S105" s="10">
        <v>3000.0</v>
      </c>
      <c r="T105" s="11">
        <v>0.0</v>
      </c>
      <c r="U105" s="9">
        <v>0.0</v>
      </c>
      <c r="V105" s="9">
        <v>11.0</v>
      </c>
      <c r="W105" s="9" t="s">
        <v>393</v>
      </c>
      <c r="X105" s="9" t="s">
        <v>549</v>
      </c>
      <c r="Y105" s="9" t="s">
        <v>550</v>
      </c>
      <c r="Z105" s="9" t="s">
        <v>155</v>
      </c>
      <c r="AA105" s="9" t="s">
        <v>81</v>
      </c>
      <c r="AB105" s="9" t="s">
        <v>61</v>
      </c>
      <c r="AD105" s="9">
        <v>3.0</v>
      </c>
      <c r="AE105" s="9">
        <v>3.0</v>
      </c>
      <c r="AF105" s="9">
        <v>3.0</v>
      </c>
      <c r="AG105" s="12">
        <v>2000.0</v>
      </c>
      <c r="AH105" s="9" t="s">
        <v>42</v>
      </c>
    </row>
    <row r="106">
      <c r="A106" s="7">
        <v>44579.65698181713</v>
      </c>
      <c r="B106" s="8">
        <f t="shared" si="1"/>
        <v>2022</v>
      </c>
      <c r="C106" s="9" t="s">
        <v>49</v>
      </c>
      <c r="D106" s="9">
        <v>28.0</v>
      </c>
      <c r="E106" s="9" t="s">
        <v>35</v>
      </c>
      <c r="F106" s="9" t="s">
        <v>36</v>
      </c>
      <c r="G106" s="9" t="s">
        <v>172</v>
      </c>
      <c r="H106" s="9" t="s">
        <v>551</v>
      </c>
      <c r="I106" s="9" t="s">
        <v>38</v>
      </c>
      <c r="J106" s="9" t="s">
        <v>143</v>
      </c>
      <c r="K106" s="9" t="s">
        <v>552</v>
      </c>
      <c r="L106" s="9" t="s">
        <v>40</v>
      </c>
      <c r="M106" s="9" t="s">
        <v>40</v>
      </c>
      <c r="N106" s="9" t="s">
        <v>40</v>
      </c>
      <c r="Q106" s="9" t="s">
        <v>146</v>
      </c>
      <c r="R106" s="9" t="s">
        <v>42</v>
      </c>
      <c r="S106" s="10">
        <v>2000.0</v>
      </c>
      <c r="T106" s="11">
        <v>0.0</v>
      </c>
      <c r="U106" s="9">
        <v>0.0</v>
      </c>
      <c r="V106" s="9">
        <v>12.0</v>
      </c>
      <c r="W106" s="9" t="s">
        <v>67</v>
      </c>
      <c r="X106" s="9" t="s">
        <v>553</v>
      </c>
      <c r="Y106" s="9" t="s">
        <v>554</v>
      </c>
      <c r="Z106" s="9" t="s">
        <v>159</v>
      </c>
      <c r="AA106" s="9" t="s">
        <v>71</v>
      </c>
      <c r="AB106" s="9" t="s">
        <v>91</v>
      </c>
      <c r="AD106" s="9">
        <v>6.0</v>
      </c>
      <c r="AE106" s="9">
        <v>2.0</v>
      </c>
      <c r="AF106" s="9">
        <v>1.0</v>
      </c>
      <c r="AG106" s="12">
        <v>2000.0</v>
      </c>
      <c r="AH106" s="9" t="s">
        <v>42</v>
      </c>
    </row>
    <row r="107">
      <c r="A107" s="7">
        <v>44534.427220115744</v>
      </c>
      <c r="B107" s="8">
        <f t="shared" si="1"/>
        <v>2021</v>
      </c>
      <c r="C107" s="9" t="s">
        <v>49</v>
      </c>
      <c r="D107" s="9">
        <v>24.0</v>
      </c>
      <c r="E107" s="9" t="s">
        <v>35</v>
      </c>
      <c r="F107" s="9" t="s">
        <v>36</v>
      </c>
      <c r="G107" s="8" t="s">
        <v>50</v>
      </c>
      <c r="H107" s="9" t="s">
        <v>82</v>
      </c>
      <c r="I107" s="9" t="s">
        <v>38</v>
      </c>
      <c r="J107" s="9" t="s">
        <v>75</v>
      </c>
      <c r="K107" s="9" t="s">
        <v>134</v>
      </c>
      <c r="L107" s="9" t="s">
        <v>39</v>
      </c>
      <c r="M107" s="9" t="s">
        <v>40</v>
      </c>
      <c r="N107" s="9" t="s">
        <v>40</v>
      </c>
      <c r="Q107" s="9" t="s">
        <v>146</v>
      </c>
      <c r="R107" s="9" t="s">
        <v>42</v>
      </c>
      <c r="S107" s="10">
        <v>3500.0</v>
      </c>
      <c r="T107" s="11">
        <v>0.0</v>
      </c>
      <c r="U107" s="9">
        <v>0.0</v>
      </c>
      <c r="V107" s="9">
        <v>14.0</v>
      </c>
      <c r="W107" s="9" t="s">
        <v>555</v>
      </c>
      <c r="X107" s="9" t="s">
        <v>556</v>
      </c>
      <c r="Y107" s="9" t="s">
        <v>58</v>
      </c>
      <c r="Z107" s="9" t="s">
        <v>80</v>
      </c>
      <c r="AA107" s="9" t="s">
        <v>81</v>
      </c>
      <c r="AB107" s="9" t="s">
        <v>61</v>
      </c>
      <c r="AD107" s="9">
        <v>4.0</v>
      </c>
      <c r="AE107" s="9">
        <v>1.0</v>
      </c>
      <c r="AF107" s="9">
        <v>1.0</v>
      </c>
      <c r="AG107" s="12">
        <v>2000.0</v>
      </c>
      <c r="AH107" s="13"/>
    </row>
    <row r="108">
      <c r="A108" s="7">
        <v>44424.786546759264</v>
      </c>
      <c r="B108" s="8">
        <f t="shared" si="1"/>
        <v>2021</v>
      </c>
      <c r="C108" s="9" t="s">
        <v>49</v>
      </c>
      <c r="D108" s="9">
        <v>32.0</v>
      </c>
      <c r="E108" s="9" t="s">
        <v>35</v>
      </c>
      <c r="F108" s="9" t="s">
        <v>36</v>
      </c>
      <c r="G108" s="8" t="s">
        <v>50</v>
      </c>
      <c r="H108" s="9" t="s">
        <v>499</v>
      </c>
      <c r="I108" s="9" t="s">
        <v>38</v>
      </c>
      <c r="J108" s="9" t="s">
        <v>220</v>
      </c>
      <c r="K108" s="9" t="s">
        <v>66</v>
      </c>
      <c r="L108" s="9" t="s">
        <v>40</v>
      </c>
      <c r="M108" s="9" t="s">
        <v>40</v>
      </c>
      <c r="N108" s="9" t="s">
        <v>40</v>
      </c>
      <c r="Q108" s="9" t="s">
        <v>557</v>
      </c>
      <c r="R108" s="9" t="s">
        <v>42</v>
      </c>
      <c r="S108" s="10">
        <v>15000.0</v>
      </c>
      <c r="T108" s="11">
        <v>15000.0</v>
      </c>
      <c r="V108" s="9">
        <v>14.0</v>
      </c>
      <c r="W108" s="9" t="s">
        <v>558</v>
      </c>
      <c r="X108" s="9" t="s">
        <v>559</v>
      </c>
      <c r="Y108" s="9" t="s">
        <v>58</v>
      </c>
      <c r="Z108" s="9" t="s">
        <v>423</v>
      </c>
      <c r="AA108" s="9" t="s">
        <v>71</v>
      </c>
      <c r="AB108" s="9" t="s">
        <v>61</v>
      </c>
      <c r="AD108" s="9">
        <v>9.0</v>
      </c>
      <c r="AE108" s="9">
        <v>12.0</v>
      </c>
      <c r="AF108" s="9">
        <v>7.0</v>
      </c>
      <c r="AG108" s="12">
        <v>2000.0</v>
      </c>
      <c r="AH108" s="13"/>
    </row>
    <row r="109">
      <c r="A109" s="7">
        <v>44620.220314328704</v>
      </c>
      <c r="B109" s="8">
        <f t="shared" si="1"/>
        <v>2022</v>
      </c>
      <c r="C109" s="9" t="s">
        <v>49</v>
      </c>
      <c r="D109" s="9">
        <v>29.0</v>
      </c>
      <c r="E109" s="9" t="s">
        <v>35</v>
      </c>
      <c r="F109" s="9" t="s">
        <v>36</v>
      </c>
      <c r="G109" s="8" t="s">
        <v>50</v>
      </c>
      <c r="H109" s="9" t="s">
        <v>125</v>
      </c>
      <c r="I109" s="9" t="s">
        <v>38</v>
      </c>
      <c r="J109" s="9" t="s">
        <v>560</v>
      </c>
      <c r="K109" s="9" t="s">
        <v>134</v>
      </c>
      <c r="L109" s="9" t="s">
        <v>39</v>
      </c>
      <c r="M109" s="9" t="s">
        <v>40</v>
      </c>
      <c r="N109" s="9" t="s">
        <v>40</v>
      </c>
      <c r="Q109" s="9" t="s">
        <v>561</v>
      </c>
      <c r="R109" s="9" t="s">
        <v>42</v>
      </c>
      <c r="S109" s="10">
        <v>4200.0</v>
      </c>
      <c r="T109" s="11">
        <v>0.0</v>
      </c>
      <c r="U109" s="9">
        <v>0.0</v>
      </c>
      <c r="V109" s="9">
        <v>16.0</v>
      </c>
      <c r="W109" s="9" t="s">
        <v>562</v>
      </c>
      <c r="X109" s="9" t="s">
        <v>563</v>
      </c>
      <c r="Y109" s="9" t="s">
        <v>58</v>
      </c>
      <c r="Z109" s="9" t="s">
        <v>59</v>
      </c>
      <c r="AA109" s="9" t="s">
        <v>132</v>
      </c>
      <c r="AB109" s="9" t="s">
        <v>61</v>
      </c>
      <c r="AD109" s="9">
        <v>9.0</v>
      </c>
      <c r="AE109" s="9" t="s">
        <v>564</v>
      </c>
      <c r="AF109" s="9">
        <v>3.0</v>
      </c>
      <c r="AG109" s="12">
        <v>2000.0</v>
      </c>
      <c r="AH109" s="13"/>
    </row>
    <row r="110">
      <c r="A110" s="7">
        <v>44580.10013021991</v>
      </c>
      <c r="B110" s="8">
        <f t="shared" si="1"/>
        <v>2022</v>
      </c>
      <c r="C110" s="9" t="s">
        <v>49</v>
      </c>
      <c r="D110" s="9">
        <v>30.0</v>
      </c>
      <c r="E110" s="9" t="s">
        <v>35</v>
      </c>
      <c r="F110" s="9" t="s">
        <v>36</v>
      </c>
      <c r="G110" s="8" t="s">
        <v>50</v>
      </c>
      <c r="H110" s="9" t="s">
        <v>565</v>
      </c>
      <c r="I110" s="9" t="s">
        <v>38</v>
      </c>
      <c r="J110" s="9" t="s">
        <v>75</v>
      </c>
      <c r="K110" s="9" t="s">
        <v>66</v>
      </c>
      <c r="L110" s="9" t="s">
        <v>39</v>
      </c>
      <c r="M110" s="9" t="s">
        <v>40</v>
      </c>
      <c r="N110" s="9" t="s">
        <v>40</v>
      </c>
      <c r="Q110" s="9" t="s">
        <v>566</v>
      </c>
      <c r="R110" s="9" t="s">
        <v>42</v>
      </c>
      <c r="S110" s="10">
        <v>8000.0</v>
      </c>
      <c r="T110" s="11">
        <v>8000.0</v>
      </c>
      <c r="U110" s="9">
        <v>0.0</v>
      </c>
      <c r="V110" s="9">
        <v>16.0</v>
      </c>
      <c r="W110" s="9" t="s">
        <v>567</v>
      </c>
      <c r="X110" s="9" t="s">
        <v>568</v>
      </c>
      <c r="Y110" s="9" t="s">
        <v>246</v>
      </c>
      <c r="Z110" s="9" t="s">
        <v>228</v>
      </c>
      <c r="AA110" s="9" t="s">
        <v>71</v>
      </c>
      <c r="AB110" s="9" t="s">
        <v>61</v>
      </c>
      <c r="AC110" s="9" t="s">
        <v>569</v>
      </c>
      <c r="AD110" s="9">
        <v>10.0</v>
      </c>
      <c r="AE110" s="9">
        <v>8.0</v>
      </c>
      <c r="AF110" s="9">
        <v>3.0</v>
      </c>
      <c r="AG110" s="12">
        <v>2000.0</v>
      </c>
      <c r="AH110" s="13"/>
    </row>
    <row r="111">
      <c r="A111" s="7">
        <v>44405.40567609954</v>
      </c>
      <c r="B111" s="8">
        <f t="shared" si="1"/>
        <v>2021</v>
      </c>
      <c r="C111" s="9" t="s">
        <v>49</v>
      </c>
      <c r="D111" s="9">
        <v>32.0</v>
      </c>
      <c r="E111" s="9" t="s">
        <v>35</v>
      </c>
      <c r="F111" s="9" t="s">
        <v>36</v>
      </c>
      <c r="G111" s="8" t="s">
        <v>50</v>
      </c>
      <c r="H111" s="9" t="s">
        <v>570</v>
      </c>
      <c r="I111" s="9" t="s">
        <v>38</v>
      </c>
      <c r="J111" s="9" t="s">
        <v>160</v>
      </c>
      <c r="K111" s="9" t="s">
        <v>327</v>
      </c>
      <c r="L111" s="9" t="s">
        <v>39</v>
      </c>
      <c r="M111" s="9" t="s">
        <v>40</v>
      </c>
      <c r="N111" s="9" t="s">
        <v>40</v>
      </c>
      <c r="Q111" s="9" t="s">
        <v>571</v>
      </c>
      <c r="R111" s="9" t="s">
        <v>42</v>
      </c>
      <c r="S111" s="10">
        <v>7181.0</v>
      </c>
      <c r="T111" s="11">
        <v>28724.0</v>
      </c>
      <c r="U111" s="9">
        <v>0.0</v>
      </c>
      <c r="V111" s="9">
        <v>16.0</v>
      </c>
      <c r="W111" s="9" t="s">
        <v>572</v>
      </c>
      <c r="X111" s="9" t="s">
        <v>573</v>
      </c>
      <c r="Y111" s="9" t="s">
        <v>106</v>
      </c>
      <c r="Z111" s="9" t="s">
        <v>80</v>
      </c>
      <c r="AA111" s="9" t="s">
        <v>132</v>
      </c>
      <c r="AB111" s="9" t="s">
        <v>91</v>
      </c>
      <c r="AD111" s="9">
        <v>9.0</v>
      </c>
      <c r="AE111" s="9">
        <v>10.0</v>
      </c>
      <c r="AF111" s="9">
        <v>7.0</v>
      </c>
      <c r="AG111" s="12">
        <v>2000.0</v>
      </c>
      <c r="AH111" s="13"/>
    </row>
    <row r="112">
      <c r="A112" s="7">
        <v>44408.67469443287</v>
      </c>
      <c r="B112" s="8">
        <f t="shared" si="1"/>
        <v>2021</v>
      </c>
      <c r="C112" s="9" t="s">
        <v>49</v>
      </c>
      <c r="D112" s="9">
        <v>27.0</v>
      </c>
      <c r="E112" s="9" t="s">
        <v>35</v>
      </c>
      <c r="F112" s="9" t="s">
        <v>36</v>
      </c>
      <c r="G112" s="8" t="s">
        <v>50</v>
      </c>
      <c r="H112" s="8" t="s">
        <v>37</v>
      </c>
      <c r="I112" s="9" t="s">
        <v>38</v>
      </c>
      <c r="J112" s="9" t="s">
        <v>574</v>
      </c>
      <c r="K112" s="9" t="s">
        <v>166</v>
      </c>
      <c r="L112" s="9" t="s">
        <v>39</v>
      </c>
      <c r="M112" s="9" t="s">
        <v>40</v>
      </c>
      <c r="N112" s="9" t="s">
        <v>40</v>
      </c>
      <c r="Q112" s="8" t="s">
        <v>255</v>
      </c>
      <c r="R112" s="9" t="s">
        <v>42</v>
      </c>
      <c r="S112" s="10">
        <v>8000.0</v>
      </c>
      <c r="T112" s="11" t="s">
        <v>37</v>
      </c>
      <c r="V112" s="9">
        <v>18.0</v>
      </c>
      <c r="W112" s="9" t="s">
        <v>575</v>
      </c>
      <c r="X112" s="9" t="s">
        <v>576</v>
      </c>
      <c r="Y112" s="9" t="s">
        <v>36</v>
      </c>
      <c r="Z112" s="9" t="s">
        <v>59</v>
      </c>
      <c r="AA112" s="9" t="s">
        <v>71</v>
      </c>
      <c r="AB112" s="9" t="s">
        <v>61</v>
      </c>
      <c r="AD112" s="9">
        <v>8.0</v>
      </c>
      <c r="AE112" s="9">
        <v>3.0</v>
      </c>
      <c r="AF112" s="9">
        <v>4.0</v>
      </c>
      <c r="AG112" s="12">
        <v>2000.0</v>
      </c>
      <c r="AH112" s="13"/>
    </row>
    <row r="113">
      <c r="A113" s="7">
        <v>44635.599349895834</v>
      </c>
      <c r="B113" s="8">
        <f t="shared" si="1"/>
        <v>2022</v>
      </c>
      <c r="C113" s="9" t="s">
        <v>49</v>
      </c>
      <c r="D113" s="9">
        <v>21.0</v>
      </c>
      <c r="E113" s="9" t="s">
        <v>35</v>
      </c>
      <c r="F113" s="9" t="s">
        <v>36</v>
      </c>
      <c r="G113" s="8" t="s">
        <v>50</v>
      </c>
      <c r="H113" s="8" t="s">
        <v>180</v>
      </c>
      <c r="I113" s="9" t="s">
        <v>38</v>
      </c>
      <c r="J113" s="9" t="s">
        <v>577</v>
      </c>
      <c r="K113" s="9" t="s">
        <v>161</v>
      </c>
      <c r="L113" s="9" t="s">
        <v>39</v>
      </c>
      <c r="M113" s="9" t="s">
        <v>40</v>
      </c>
      <c r="N113" s="9" t="s">
        <v>39</v>
      </c>
      <c r="P113" s="9" t="s">
        <v>578</v>
      </c>
      <c r="Q113" s="9" t="s">
        <v>128</v>
      </c>
      <c r="R113" s="9" t="s">
        <v>42</v>
      </c>
      <c r="S113" s="10">
        <v>4000.0</v>
      </c>
      <c r="T113" s="11">
        <v>0.0</v>
      </c>
      <c r="U113" s="9">
        <v>0.0</v>
      </c>
      <c r="V113" s="9">
        <v>20.0</v>
      </c>
      <c r="W113" s="9" t="s">
        <v>579</v>
      </c>
      <c r="X113" s="9" t="s">
        <v>580</v>
      </c>
      <c r="Y113" s="9" t="s">
        <v>122</v>
      </c>
      <c r="Z113" s="9" t="s">
        <v>155</v>
      </c>
      <c r="AA113" s="9" t="s">
        <v>60</v>
      </c>
      <c r="AB113" s="9" t="s">
        <v>91</v>
      </c>
      <c r="AC113" s="9" t="s">
        <v>581</v>
      </c>
      <c r="AD113" s="9">
        <v>10.0</v>
      </c>
      <c r="AE113" s="9">
        <v>7.0</v>
      </c>
      <c r="AF113" s="9">
        <v>2.0</v>
      </c>
      <c r="AG113" s="12">
        <v>2000.0</v>
      </c>
      <c r="AH113" s="13"/>
    </row>
    <row r="114">
      <c r="A114" s="7">
        <v>44411.94918546296</v>
      </c>
      <c r="B114" s="8">
        <f t="shared" si="1"/>
        <v>2021</v>
      </c>
      <c r="C114" s="9" t="s">
        <v>49</v>
      </c>
      <c r="D114" s="9">
        <v>25.0</v>
      </c>
      <c r="E114" s="9" t="s">
        <v>35</v>
      </c>
      <c r="F114" s="9" t="s">
        <v>36</v>
      </c>
      <c r="G114" s="8" t="s">
        <v>164</v>
      </c>
      <c r="H114" s="9" t="s">
        <v>165</v>
      </c>
      <c r="I114" s="9" t="s">
        <v>38</v>
      </c>
      <c r="J114" s="9" t="s">
        <v>582</v>
      </c>
      <c r="K114" s="9" t="s">
        <v>414</v>
      </c>
      <c r="L114" s="9" t="s">
        <v>40</v>
      </c>
      <c r="M114" s="9" t="s">
        <v>39</v>
      </c>
      <c r="N114" s="9" t="s">
        <v>40</v>
      </c>
      <c r="O114" s="9" t="s">
        <v>583</v>
      </c>
      <c r="Q114" s="9" t="s">
        <v>584</v>
      </c>
      <c r="R114" s="9" t="s">
        <v>42</v>
      </c>
      <c r="S114" s="10">
        <v>5000.0</v>
      </c>
      <c r="T114" s="11">
        <v>0.0</v>
      </c>
      <c r="U114" s="9">
        <v>0.0</v>
      </c>
      <c r="V114" s="9">
        <v>20.0</v>
      </c>
      <c r="W114" s="9" t="s">
        <v>585</v>
      </c>
      <c r="X114" s="9" t="s">
        <v>586</v>
      </c>
      <c r="Y114" s="9" t="s">
        <v>587</v>
      </c>
      <c r="Z114" s="9" t="s">
        <v>59</v>
      </c>
      <c r="AA114" s="9" t="s">
        <v>60</v>
      </c>
      <c r="AB114" s="9" t="s">
        <v>61</v>
      </c>
      <c r="AC114" s="9" t="s">
        <v>588</v>
      </c>
      <c r="AD114" s="9">
        <v>8.0</v>
      </c>
      <c r="AE114" s="9">
        <v>2.0</v>
      </c>
      <c r="AF114" s="9">
        <v>3.0</v>
      </c>
      <c r="AG114" s="12">
        <v>2000.0</v>
      </c>
      <c r="AH114" s="13"/>
    </row>
    <row r="115">
      <c r="A115" s="7">
        <v>44458.8836144213</v>
      </c>
      <c r="B115" s="8">
        <f t="shared" si="1"/>
        <v>2021</v>
      </c>
      <c r="C115" s="9" t="s">
        <v>49</v>
      </c>
      <c r="D115" s="9">
        <v>26.0</v>
      </c>
      <c r="E115" s="9" t="s">
        <v>35</v>
      </c>
      <c r="F115" s="9" t="s">
        <v>36</v>
      </c>
      <c r="G115" s="9" t="s">
        <v>172</v>
      </c>
      <c r="H115" s="9" t="s">
        <v>173</v>
      </c>
      <c r="I115" s="9" t="s">
        <v>118</v>
      </c>
      <c r="J115" s="9" t="s">
        <v>367</v>
      </c>
      <c r="L115" s="9" t="s">
        <v>40</v>
      </c>
      <c r="M115" s="9" t="s">
        <v>40</v>
      </c>
      <c r="N115" s="9" t="s">
        <v>40</v>
      </c>
      <c r="Q115" s="9" t="s">
        <v>589</v>
      </c>
      <c r="R115" s="9" t="s">
        <v>42</v>
      </c>
      <c r="S115" s="10">
        <v>8000.0</v>
      </c>
      <c r="T115" s="11">
        <v>0.0</v>
      </c>
      <c r="U115" s="9">
        <v>0.0</v>
      </c>
      <c r="V115" s="9">
        <v>20.0</v>
      </c>
      <c r="W115" s="9" t="s">
        <v>590</v>
      </c>
      <c r="X115" s="9" t="s">
        <v>591</v>
      </c>
      <c r="Y115" s="9" t="s">
        <v>36</v>
      </c>
      <c r="Z115" s="9" t="s">
        <v>97</v>
      </c>
      <c r="AA115" s="9" t="s">
        <v>60</v>
      </c>
      <c r="AB115" s="9" t="s">
        <v>91</v>
      </c>
      <c r="AD115" s="9">
        <v>8.0</v>
      </c>
      <c r="AE115" s="9">
        <v>6.0</v>
      </c>
      <c r="AF115" s="9">
        <v>1.0</v>
      </c>
      <c r="AG115" s="12">
        <v>2000.0</v>
      </c>
      <c r="AH115" s="13"/>
    </row>
    <row r="116">
      <c r="A116" s="7">
        <v>44406.43818327546</v>
      </c>
      <c r="B116" s="8">
        <f t="shared" si="1"/>
        <v>2021</v>
      </c>
      <c r="C116" s="9" t="s">
        <v>49</v>
      </c>
      <c r="D116" s="9">
        <v>29.0</v>
      </c>
      <c r="E116" s="9" t="s">
        <v>35</v>
      </c>
      <c r="F116" s="9" t="s">
        <v>36</v>
      </c>
      <c r="G116" s="8" t="s">
        <v>50</v>
      </c>
      <c r="H116" s="8" t="s">
        <v>37</v>
      </c>
      <c r="I116" s="9" t="s">
        <v>38</v>
      </c>
      <c r="J116" s="9" t="s">
        <v>75</v>
      </c>
      <c r="K116" s="9" t="s">
        <v>381</v>
      </c>
      <c r="L116" s="9" t="s">
        <v>39</v>
      </c>
      <c r="M116" s="9" t="s">
        <v>40</v>
      </c>
      <c r="N116" s="9" t="s">
        <v>39</v>
      </c>
      <c r="P116" s="9" t="s">
        <v>592</v>
      </c>
      <c r="Q116" s="9" t="s">
        <v>119</v>
      </c>
      <c r="R116" s="9" t="s">
        <v>42</v>
      </c>
      <c r="S116" s="10">
        <v>8500.0</v>
      </c>
      <c r="T116" s="11" t="s">
        <v>37</v>
      </c>
      <c r="V116" s="9">
        <v>20.0</v>
      </c>
      <c r="W116" s="9" t="s">
        <v>593</v>
      </c>
      <c r="X116" s="9" t="s">
        <v>594</v>
      </c>
      <c r="Y116" s="9" t="s">
        <v>122</v>
      </c>
      <c r="Z116" s="9" t="s">
        <v>197</v>
      </c>
      <c r="AA116" s="9" t="s">
        <v>71</v>
      </c>
      <c r="AB116" s="9" t="s">
        <v>61</v>
      </c>
      <c r="AD116" s="9">
        <v>7.0</v>
      </c>
      <c r="AE116" s="9">
        <v>7.0</v>
      </c>
      <c r="AF116" s="9">
        <v>2.0</v>
      </c>
      <c r="AG116" s="12">
        <v>2000.0</v>
      </c>
      <c r="AH116" s="13"/>
    </row>
    <row r="117">
      <c r="A117" s="7">
        <v>44458.8846119213</v>
      </c>
      <c r="B117" s="8">
        <f t="shared" si="1"/>
        <v>2021</v>
      </c>
      <c r="C117" s="9" t="s">
        <v>49</v>
      </c>
      <c r="D117" s="9">
        <v>23.0</v>
      </c>
      <c r="E117" s="9" t="s">
        <v>35</v>
      </c>
      <c r="F117" s="9" t="s">
        <v>36</v>
      </c>
      <c r="G117" s="9" t="s">
        <v>186</v>
      </c>
      <c r="H117" s="9" t="s">
        <v>595</v>
      </c>
      <c r="I117" s="9" t="s">
        <v>38</v>
      </c>
      <c r="J117" s="9" t="s">
        <v>160</v>
      </c>
      <c r="K117" s="9" t="s">
        <v>596</v>
      </c>
      <c r="L117" s="9" t="s">
        <v>39</v>
      </c>
      <c r="M117" s="9" t="s">
        <v>40</v>
      </c>
      <c r="N117" s="9" t="s">
        <v>40</v>
      </c>
      <c r="Q117" s="9" t="s">
        <v>597</v>
      </c>
      <c r="R117" s="9" t="s">
        <v>42</v>
      </c>
      <c r="S117" s="10">
        <v>2000.0</v>
      </c>
      <c r="T117" s="11">
        <v>0.0</v>
      </c>
      <c r="U117" s="9">
        <v>0.0</v>
      </c>
      <c r="V117" s="9">
        <v>21.0</v>
      </c>
      <c r="W117" s="9" t="s">
        <v>598</v>
      </c>
      <c r="X117" s="9" t="s">
        <v>599</v>
      </c>
      <c r="Y117" s="9" t="s">
        <v>122</v>
      </c>
      <c r="Z117" s="9" t="s">
        <v>59</v>
      </c>
      <c r="AA117" s="9" t="s">
        <v>81</v>
      </c>
      <c r="AB117" s="9" t="s">
        <v>61</v>
      </c>
      <c r="AD117" s="9">
        <v>9.0</v>
      </c>
      <c r="AE117" s="9" t="s">
        <v>600</v>
      </c>
      <c r="AF117" s="9">
        <v>1.0</v>
      </c>
      <c r="AG117" s="12">
        <v>2000.0</v>
      </c>
      <c r="AH117" s="13"/>
    </row>
    <row r="118">
      <c r="A118" s="7">
        <v>44407.85473027777</v>
      </c>
      <c r="B118" s="8">
        <f t="shared" si="1"/>
        <v>2021</v>
      </c>
      <c r="C118" s="9" t="s">
        <v>49</v>
      </c>
      <c r="D118" s="9">
        <v>33.0</v>
      </c>
      <c r="E118" s="9" t="s">
        <v>35</v>
      </c>
      <c r="F118" s="9" t="s">
        <v>36</v>
      </c>
      <c r="G118" s="8" t="s">
        <v>124</v>
      </c>
      <c r="H118" s="9" t="s">
        <v>601</v>
      </c>
      <c r="I118" s="9" t="s">
        <v>38</v>
      </c>
      <c r="J118" s="9" t="s">
        <v>75</v>
      </c>
      <c r="K118" s="9" t="s">
        <v>66</v>
      </c>
      <c r="L118" s="9" t="s">
        <v>39</v>
      </c>
      <c r="M118" s="9" t="s">
        <v>40</v>
      </c>
      <c r="N118" s="9" t="s">
        <v>40</v>
      </c>
      <c r="Q118" s="8" t="s">
        <v>602</v>
      </c>
      <c r="R118" s="9" t="s">
        <v>42</v>
      </c>
      <c r="S118" s="10">
        <v>11000.0</v>
      </c>
      <c r="T118" s="11">
        <v>0.0</v>
      </c>
      <c r="U118" s="9">
        <v>0.0</v>
      </c>
      <c r="V118" s="9">
        <v>24.0</v>
      </c>
      <c r="W118" s="9" t="s">
        <v>603</v>
      </c>
      <c r="X118" s="9" t="s">
        <v>384</v>
      </c>
      <c r="Y118" s="9" t="s">
        <v>604</v>
      </c>
      <c r="Z118" s="9" t="s">
        <v>605</v>
      </c>
      <c r="AA118" s="9" t="s">
        <v>81</v>
      </c>
      <c r="AB118" s="9" t="s">
        <v>91</v>
      </c>
      <c r="AD118" s="9">
        <v>8.0</v>
      </c>
      <c r="AE118" s="9">
        <v>12.0</v>
      </c>
      <c r="AF118" s="9">
        <v>5.0</v>
      </c>
      <c r="AG118" s="12">
        <v>2000.0</v>
      </c>
      <c r="AH118" s="13"/>
    </row>
    <row r="119">
      <c r="A119" s="7">
        <v>44628.029587303245</v>
      </c>
      <c r="B119" s="8">
        <f t="shared" si="1"/>
        <v>2022</v>
      </c>
      <c r="C119" s="9" t="s">
        <v>49</v>
      </c>
      <c r="D119" s="9">
        <v>41.0</v>
      </c>
      <c r="E119" s="9" t="s">
        <v>35</v>
      </c>
      <c r="F119" s="9" t="s">
        <v>36</v>
      </c>
      <c r="G119" s="8" t="s">
        <v>124</v>
      </c>
      <c r="H119" s="9" t="s">
        <v>606</v>
      </c>
      <c r="I119" s="9" t="s">
        <v>38</v>
      </c>
      <c r="J119" s="9" t="s">
        <v>75</v>
      </c>
      <c r="K119" s="9" t="s">
        <v>234</v>
      </c>
      <c r="L119" s="9" t="s">
        <v>39</v>
      </c>
      <c r="M119" s="9" t="s">
        <v>40</v>
      </c>
      <c r="N119" s="9" t="s">
        <v>40</v>
      </c>
      <c r="Q119" s="9" t="s">
        <v>607</v>
      </c>
      <c r="R119" s="9" t="s">
        <v>42</v>
      </c>
      <c r="S119" s="10">
        <v>25000.0</v>
      </c>
      <c r="T119" s="11">
        <v>150000.0</v>
      </c>
      <c r="U119" s="9">
        <v>0.0</v>
      </c>
      <c r="V119" s="9">
        <v>24.0</v>
      </c>
      <c r="W119" s="9" t="s">
        <v>608</v>
      </c>
      <c r="X119" s="9" t="s">
        <v>609</v>
      </c>
      <c r="Y119" s="9" t="s">
        <v>610</v>
      </c>
      <c r="Z119" s="9" t="s">
        <v>59</v>
      </c>
      <c r="AA119" s="9" t="s">
        <v>90</v>
      </c>
      <c r="AB119" s="9" t="s">
        <v>611</v>
      </c>
      <c r="AD119" s="9">
        <v>8.0</v>
      </c>
      <c r="AE119" s="9">
        <v>15.0</v>
      </c>
      <c r="AF119" s="9">
        <v>5.0</v>
      </c>
      <c r="AG119" s="12">
        <v>2000.0</v>
      </c>
      <c r="AH119" s="13"/>
    </row>
    <row r="120">
      <c r="A120" s="7">
        <v>44408.34267582176</v>
      </c>
      <c r="B120" s="8">
        <f t="shared" si="1"/>
        <v>2021</v>
      </c>
      <c r="C120" s="9" t="s">
        <v>49</v>
      </c>
      <c r="D120" s="9">
        <v>38.0</v>
      </c>
      <c r="E120" s="9" t="s">
        <v>35</v>
      </c>
      <c r="F120" s="9" t="s">
        <v>36</v>
      </c>
      <c r="G120" s="8" t="s">
        <v>50</v>
      </c>
      <c r="H120" s="9" t="s">
        <v>565</v>
      </c>
      <c r="I120" s="9" t="s">
        <v>38</v>
      </c>
      <c r="K120" s="9" t="s">
        <v>66</v>
      </c>
      <c r="L120" s="9" t="s">
        <v>39</v>
      </c>
      <c r="M120" s="9" t="s">
        <v>40</v>
      </c>
      <c r="N120" s="9" t="s">
        <v>40</v>
      </c>
      <c r="Q120" s="9" t="s">
        <v>146</v>
      </c>
      <c r="R120" s="9" t="s">
        <v>42</v>
      </c>
      <c r="S120" s="10">
        <v>9500.0</v>
      </c>
      <c r="T120" s="11">
        <v>16000.0</v>
      </c>
      <c r="V120" s="9">
        <v>25.0</v>
      </c>
      <c r="W120" s="9" t="s">
        <v>612</v>
      </c>
      <c r="X120" s="9" t="s">
        <v>613</v>
      </c>
      <c r="Y120" s="9" t="s">
        <v>474</v>
      </c>
      <c r="Z120" s="9" t="s">
        <v>481</v>
      </c>
      <c r="AA120" s="9" t="s">
        <v>132</v>
      </c>
      <c r="AB120" s="9" t="s">
        <v>61</v>
      </c>
      <c r="AD120" s="9">
        <v>8.0</v>
      </c>
      <c r="AE120" s="9">
        <v>15.0</v>
      </c>
      <c r="AF120" s="9">
        <v>4.0</v>
      </c>
      <c r="AG120" s="12">
        <v>2000.0</v>
      </c>
      <c r="AH120" s="13"/>
    </row>
    <row r="121">
      <c r="A121" s="7">
        <v>44404.20479903935</v>
      </c>
      <c r="B121" s="8">
        <f t="shared" si="1"/>
        <v>2021</v>
      </c>
      <c r="C121" s="9" t="s">
        <v>49</v>
      </c>
      <c r="D121" s="9">
        <v>24.0</v>
      </c>
      <c r="E121" s="9" t="s">
        <v>35</v>
      </c>
      <c r="F121" s="9" t="s">
        <v>36</v>
      </c>
      <c r="G121" s="8" t="s">
        <v>124</v>
      </c>
      <c r="H121" s="9" t="s">
        <v>206</v>
      </c>
      <c r="I121" s="9" t="s">
        <v>118</v>
      </c>
      <c r="J121" s="9" t="s">
        <v>367</v>
      </c>
      <c r="K121" s="9" t="s">
        <v>614</v>
      </c>
      <c r="L121" s="9" t="s">
        <v>40</v>
      </c>
      <c r="M121" s="9" t="s">
        <v>39</v>
      </c>
      <c r="N121" s="9" t="s">
        <v>40</v>
      </c>
      <c r="Q121" s="9" t="s">
        <v>146</v>
      </c>
      <c r="R121" s="9" t="s">
        <v>42</v>
      </c>
      <c r="S121" s="10">
        <v>4000.0</v>
      </c>
      <c r="T121" s="11">
        <v>0.0</v>
      </c>
      <c r="U121" s="9">
        <v>0.0</v>
      </c>
      <c r="V121" s="9">
        <v>0.0</v>
      </c>
      <c r="W121" s="9" t="s">
        <v>615</v>
      </c>
      <c r="X121" s="9" t="s">
        <v>616</v>
      </c>
      <c r="Y121" s="9" t="s">
        <v>131</v>
      </c>
      <c r="Z121" s="9" t="s">
        <v>59</v>
      </c>
      <c r="AA121" s="9" t="s">
        <v>47</v>
      </c>
      <c r="AB121" s="9" t="s">
        <v>48</v>
      </c>
      <c r="AD121" s="9">
        <v>10.0</v>
      </c>
      <c r="AE121" s="9">
        <v>3.0</v>
      </c>
      <c r="AF121" s="9">
        <v>2.0</v>
      </c>
      <c r="AG121" s="12">
        <v>2000.0</v>
      </c>
      <c r="AH121" s="13"/>
    </row>
    <row r="122">
      <c r="A122" s="7">
        <v>44404.00743416666</v>
      </c>
      <c r="B122" s="8">
        <f t="shared" si="1"/>
        <v>2021</v>
      </c>
      <c r="C122" s="9" t="s">
        <v>49</v>
      </c>
      <c r="D122" s="9">
        <v>27.0</v>
      </c>
      <c r="E122" s="9" t="s">
        <v>35</v>
      </c>
      <c r="F122" s="9" t="s">
        <v>36</v>
      </c>
      <c r="G122" s="9" t="s">
        <v>617</v>
      </c>
      <c r="H122" s="9" t="s">
        <v>618</v>
      </c>
      <c r="I122" s="9" t="s">
        <v>38</v>
      </c>
      <c r="J122" s="9" t="s">
        <v>160</v>
      </c>
      <c r="K122" s="9" t="s">
        <v>200</v>
      </c>
      <c r="L122" s="9" t="s">
        <v>39</v>
      </c>
      <c r="M122" s="9" t="s">
        <v>40</v>
      </c>
      <c r="N122" s="9" t="s">
        <v>40</v>
      </c>
      <c r="Q122" s="9" t="s">
        <v>146</v>
      </c>
      <c r="R122" s="9" t="s">
        <v>42</v>
      </c>
      <c r="S122" s="10">
        <v>1300.0</v>
      </c>
      <c r="T122" s="11">
        <v>0.0</v>
      </c>
      <c r="U122" s="9">
        <v>150.0</v>
      </c>
      <c r="V122" s="9">
        <v>8.0</v>
      </c>
      <c r="W122" s="9" t="s">
        <v>619</v>
      </c>
      <c r="X122" s="9" t="s">
        <v>44</v>
      </c>
      <c r="Y122" s="9" t="s">
        <v>620</v>
      </c>
      <c r="Z122" s="9" t="s">
        <v>185</v>
      </c>
      <c r="AA122" s="9" t="s">
        <v>47</v>
      </c>
      <c r="AB122" s="9" t="s">
        <v>61</v>
      </c>
      <c r="AD122" s="9">
        <v>1.0</v>
      </c>
      <c r="AE122" s="9">
        <v>3.0</v>
      </c>
      <c r="AF122" s="9">
        <v>2.0</v>
      </c>
      <c r="AG122" s="12">
        <v>2000.0</v>
      </c>
      <c r="AH122" s="13"/>
    </row>
    <row r="123">
      <c r="A123" s="7">
        <v>44403.895933391206</v>
      </c>
      <c r="B123" s="8">
        <f t="shared" si="1"/>
        <v>2021</v>
      </c>
      <c r="C123" s="9" t="s">
        <v>49</v>
      </c>
      <c r="D123" s="9">
        <v>31.0</v>
      </c>
      <c r="E123" s="9" t="s">
        <v>35</v>
      </c>
      <c r="F123" s="9" t="s">
        <v>36</v>
      </c>
      <c r="G123" s="9" t="s">
        <v>617</v>
      </c>
      <c r="H123" s="9" t="s">
        <v>621</v>
      </c>
      <c r="I123" s="9" t="s">
        <v>38</v>
      </c>
      <c r="J123" s="9" t="s">
        <v>75</v>
      </c>
      <c r="K123" s="9" t="s">
        <v>84</v>
      </c>
      <c r="L123" s="9" t="s">
        <v>39</v>
      </c>
      <c r="M123" s="9" t="s">
        <v>40</v>
      </c>
      <c r="N123" s="9" t="s">
        <v>40</v>
      </c>
      <c r="Q123" s="9" t="s">
        <v>548</v>
      </c>
      <c r="R123" s="9" t="s">
        <v>42</v>
      </c>
      <c r="S123" s="10">
        <v>4800.0</v>
      </c>
      <c r="T123" s="11">
        <v>4800.0</v>
      </c>
      <c r="U123" s="9">
        <v>0.0</v>
      </c>
      <c r="V123" s="9">
        <v>12.0</v>
      </c>
      <c r="W123" s="9" t="s">
        <v>622</v>
      </c>
      <c r="X123" s="9" t="s">
        <v>623</v>
      </c>
      <c r="Y123" s="9" t="s">
        <v>79</v>
      </c>
      <c r="Z123" s="9" t="s">
        <v>159</v>
      </c>
      <c r="AA123" s="9" t="s">
        <v>47</v>
      </c>
      <c r="AB123" s="9" t="s">
        <v>61</v>
      </c>
      <c r="AC123" s="9" t="s">
        <v>624</v>
      </c>
      <c r="AD123" s="9">
        <v>5.0</v>
      </c>
      <c r="AE123" s="9">
        <v>6.0</v>
      </c>
      <c r="AF123" s="9">
        <v>3.0</v>
      </c>
      <c r="AG123" s="12">
        <v>2000.0</v>
      </c>
      <c r="AH123" s="13"/>
    </row>
    <row r="124">
      <c r="A124" s="14">
        <v>44403.87644930556</v>
      </c>
      <c r="B124" s="8">
        <f t="shared" si="1"/>
        <v>2021</v>
      </c>
      <c r="C124" s="8" t="s">
        <v>49</v>
      </c>
      <c r="D124" s="8">
        <v>25.0</v>
      </c>
      <c r="E124" s="8" t="s">
        <v>35</v>
      </c>
      <c r="F124" s="8" t="s">
        <v>36</v>
      </c>
      <c r="G124" s="8" t="s">
        <v>412</v>
      </c>
      <c r="H124" s="8" t="s">
        <v>625</v>
      </c>
      <c r="I124" s="8" t="s">
        <v>38</v>
      </c>
      <c r="J124" s="8" t="s">
        <v>626</v>
      </c>
      <c r="K124" s="8" t="s">
        <v>502</v>
      </c>
      <c r="L124" s="8" t="s">
        <v>39</v>
      </c>
      <c r="M124" s="8" t="s">
        <v>40</v>
      </c>
      <c r="N124" s="8" t="s">
        <v>40</v>
      </c>
      <c r="O124" s="15"/>
      <c r="P124" s="15"/>
      <c r="Q124" s="8" t="s">
        <v>627</v>
      </c>
      <c r="R124" s="9" t="s">
        <v>42</v>
      </c>
      <c r="S124" s="16">
        <v>2000.0</v>
      </c>
      <c r="T124" s="17">
        <v>0.0</v>
      </c>
      <c r="U124" s="8">
        <v>0.0</v>
      </c>
      <c r="V124" s="8">
        <v>14.0</v>
      </c>
      <c r="W124" s="8" t="s">
        <v>628</v>
      </c>
      <c r="X124" s="8" t="s">
        <v>629</v>
      </c>
      <c r="Y124" s="8" t="s">
        <v>630</v>
      </c>
      <c r="Z124" s="8" t="s">
        <v>481</v>
      </c>
      <c r="AA124" s="8" t="s">
        <v>71</v>
      </c>
      <c r="AB124" s="8" t="s">
        <v>61</v>
      </c>
      <c r="AC124" s="8" t="s">
        <v>631</v>
      </c>
      <c r="AD124" s="8">
        <v>3.0</v>
      </c>
      <c r="AE124" s="8" t="s">
        <v>632</v>
      </c>
      <c r="AF124" s="8">
        <v>32.0</v>
      </c>
      <c r="AG124" s="18">
        <v>2000.0</v>
      </c>
      <c r="AH124" s="13"/>
      <c r="AI124" s="15"/>
      <c r="AJ124" s="15"/>
      <c r="AK124" s="15"/>
      <c r="AL124" s="15"/>
      <c r="AM124" s="15"/>
      <c r="AN124" s="15"/>
    </row>
    <row r="125">
      <c r="A125" s="7">
        <v>44403.90713740741</v>
      </c>
      <c r="B125" s="8">
        <f t="shared" si="1"/>
        <v>2021</v>
      </c>
      <c r="C125" s="9" t="s">
        <v>49</v>
      </c>
      <c r="D125" s="9">
        <v>28.0</v>
      </c>
      <c r="E125" s="9" t="s">
        <v>35</v>
      </c>
      <c r="F125" s="9" t="s">
        <v>36</v>
      </c>
      <c r="G125" s="9" t="s">
        <v>412</v>
      </c>
      <c r="H125" s="9" t="s">
        <v>633</v>
      </c>
      <c r="I125" s="9" t="s">
        <v>38</v>
      </c>
      <c r="J125" s="9" t="s">
        <v>75</v>
      </c>
      <c r="K125" s="8" t="s">
        <v>502</v>
      </c>
      <c r="L125" s="9" t="s">
        <v>39</v>
      </c>
      <c r="M125" s="9" t="s">
        <v>40</v>
      </c>
      <c r="N125" s="9" t="s">
        <v>40</v>
      </c>
      <c r="Q125" s="9" t="s">
        <v>634</v>
      </c>
      <c r="R125" s="9" t="s">
        <v>42</v>
      </c>
      <c r="S125" s="10">
        <v>3300.0</v>
      </c>
      <c r="T125" s="11">
        <v>0.0</v>
      </c>
      <c r="U125" s="9">
        <v>0.0</v>
      </c>
      <c r="V125" s="9">
        <v>14.0</v>
      </c>
      <c r="W125" s="9" t="s">
        <v>635</v>
      </c>
      <c r="X125" s="9" t="s">
        <v>636</v>
      </c>
      <c r="Y125" s="9" t="s">
        <v>637</v>
      </c>
      <c r="Z125" s="9" t="s">
        <v>70</v>
      </c>
      <c r="AA125" s="9" t="s">
        <v>60</v>
      </c>
      <c r="AB125" s="9" t="s">
        <v>91</v>
      </c>
      <c r="AD125" s="9">
        <v>8.0</v>
      </c>
      <c r="AE125" s="9">
        <v>4.0</v>
      </c>
      <c r="AF125" s="9">
        <v>0.0</v>
      </c>
      <c r="AG125" s="12">
        <v>2000.0</v>
      </c>
      <c r="AH125" s="13"/>
    </row>
    <row r="126">
      <c r="A126" s="7">
        <v>44403.8967240162</v>
      </c>
      <c r="B126" s="8">
        <f t="shared" si="1"/>
        <v>2021</v>
      </c>
      <c r="C126" s="9" t="s">
        <v>49</v>
      </c>
      <c r="D126" s="9">
        <v>37.0</v>
      </c>
      <c r="E126" s="9" t="s">
        <v>35</v>
      </c>
      <c r="F126" s="9" t="s">
        <v>36</v>
      </c>
      <c r="G126" s="8" t="s">
        <v>50</v>
      </c>
      <c r="H126" s="9" t="s">
        <v>570</v>
      </c>
      <c r="I126" s="9" t="s">
        <v>38</v>
      </c>
      <c r="J126" s="9" t="s">
        <v>160</v>
      </c>
      <c r="K126" s="8" t="s">
        <v>476</v>
      </c>
      <c r="L126" s="9" t="s">
        <v>39</v>
      </c>
      <c r="M126" s="9" t="s">
        <v>40</v>
      </c>
      <c r="N126" s="9" t="s">
        <v>40</v>
      </c>
      <c r="Q126" s="9" t="s">
        <v>308</v>
      </c>
      <c r="R126" s="9" t="s">
        <v>42</v>
      </c>
      <c r="S126" s="10">
        <v>12190.0</v>
      </c>
      <c r="T126" s="11">
        <v>12000.0</v>
      </c>
      <c r="U126" s="9">
        <v>0.0</v>
      </c>
      <c r="V126" s="9">
        <v>14.0</v>
      </c>
      <c r="W126" s="9" t="s">
        <v>638</v>
      </c>
      <c r="X126" s="9" t="s">
        <v>639</v>
      </c>
      <c r="Y126" s="9" t="s">
        <v>50</v>
      </c>
      <c r="Z126" s="9" t="s">
        <v>640</v>
      </c>
      <c r="AA126" s="9" t="s">
        <v>71</v>
      </c>
      <c r="AB126" s="9" t="s">
        <v>61</v>
      </c>
      <c r="AD126" s="9">
        <v>8.0</v>
      </c>
      <c r="AE126" s="9">
        <v>12.0</v>
      </c>
      <c r="AF126" s="9">
        <v>3.0</v>
      </c>
      <c r="AG126" s="12">
        <v>2000.0</v>
      </c>
      <c r="AH126" s="13"/>
    </row>
    <row r="127">
      <c r="A127" s="7">
        <v>44404.38649429398</v>
      </c>
      <c r="B127" s="8">
        <f t="shared" si="1"/>
        <v>2021</v>
      </c>
      <c r="C127" s="9" t="s">
        <v>49</v>
      </c>
      <c r="D127" s="9">
        <v>26.0</v>
      </c>
      <c r="E127" s="9" t="s">
        <v>35</v>
      </c>
      <c r="F127" s="9" t="s">
        <v>36</v>
      </c>
      <c r="G127" s="8" t="s">
        <v>124</v>
      </c>
      <c r="H127" s="9" t="s">
        <v>156</v>
      </c>
      <c r="I127" s="9" t="s">
        <v>302</v>
      </c>
      <c r="J127" s="9" t="s">
        <v>641</v>
      </c>
      <c r="K127" s="9" t="s">
        <v>100</v>
      </c>
      <c r="L127" s="9" t="s">
        <v>40</v>
      </c>
      <c r="M127" s="9" t="s">
        <v>39</v>
      </c>
      <c r="N127" s="9" t="s">
        <v>40</v>
      </c>
      <c r="O127" s="9" t="s">
        <v>642</v>
      </c>
      <c r="Q127" s="8" t="s">
        <v>255</v>
      </c>
      <c r="R127" s="9" t="s">
        <v>42</v>
      </c>
      <c r="S127" s="10">
        <v>4725.0</v>
      </c>
      <c r="T127" s="11">
        <v>0.0</v>
      </c>
      <c r="V127" s="9">
        <v>17.0</v>
      </c>
      <c r="W127" s="9" t="s">
        <v>265</v>
      </c>
      <c r="X127" s="9" t="s">
        <v>643</v>
      </c>
      <c r="Y127" s="9" t="s">
        <v>122</v>
      </c>
      <c r="Z127" s="9" t="s">
        <v>116</v>
      </c>
      <c r="AA127" s="9" t="s">
        <v>132</v>
      </c>
      <c r="AB127" s="9" t="s">
        <v>61</v>
      </c>
      <c r="AD127" s="9">
        <v>9.0</v>
      </c>
      <c r="AE127" s="9">
        <v>4.0</v>
      </c>
      <c r="AF127" s="9">
        <v>0.0</v>
      </c>
      <c r="AG127" s="12">
        <v>2000.0</v>
      </c>
      <c r="AH127" s="13"/>
    </row>
    <row r="128">
      <c r="A128" s="7">
        <v>44403.97253813657</v>
      </c>
      <c r="B128" s="8">
        <f t="shared" si="1"/>
        <v>2021</v>
      </c>
      <c r="C128" s="9" t="s">
        <v>73</v>
      </c>
      <c r="D128" s="9">
        <v>37.0</v>
      </c>
      <c r="E128" s="9" t="s">
        <v>35</v>
      </c>
      <c r="F128" s="9" t="s">
        <v>36</v>
      </c>
      <c r="G128" s="8" t="s">
        <v>74</v>
      </c>
      <c r="H128" s="8" t="s">
        <v>482</v>
      </c>
      <c r="I128" s="9" t="s">
        <v>38</v>
      </c>
      <c r="J128" s="9" t="s">
        <v>160</v>
      </c>
      <c r="K128" s="9" t="s">
        <v>644</v>
      </c>
      <c r="L128" s="9" t="s">
        <v>39</v>
      </c>
      <c r="M128" s="9" t="s">
        <v>40</v>
      </c>
      <c r="N128" s="9" t="s">
        <v>40</v>
      </c>
      <c r="Q128" s="9" t="s">
        <v>182</v>
      </c>
      <c r="R128" s="9" t="s">
        <v>42</v>
      </c>
      <c r="S128" s="10">
        <v>9000.0</v>
      </c>
      <c r="T128" s="11">
        <v>9000.0</v>
      </c>
      <c r="U128" s="9">
        <v>0.0</v>
      </c>
      <c r="V128" s="9">
        <v>18.0</v>
      </c>
      <c r="W128" s="9" t="s">
        <v>645</v>
      </c>
      <c r="X128" s="9" t="s">
        <v>646</v>
      </c>
      <c r="Y128" s="9" t="s">
        <v>79</v>
      </c>
      <c r="Z128" s="9" t="s">
        <v>350</v>
      </c>
      <c r="AA128" s="9" t="s">
        <v>132</v>
      </c>
      <c r="AB128" s="9" t="s">
        <v>91</v>
      </c>
      <c r="AD128" s="9">
        <v>7.0</v>
      </c>
      <c r="AE128" s="9">
        <v>12.0</v>
      </c>
      <c r="AF128" s="9">
        <v>3.0</v>
      </c>
      <c r="AG128" s="12">
        <v>2000.0</v>
      </c>
      <c r="AH128" s="13"/>
    </row>
    <row r="129">
      <c r="A129" s="7">
        <v>44404.97805712963</v>
      </c>
      <c r="B129" s="8">
        <f t="shared" si="1"/>
        <v>2021</v>
      </c>
      <c r="C129" s="9" t="s">
        <v>49</v>
      </c>
      <c r="D129" s="9">
        <v>35.0</v>
      </c>
      <c r="E129" s="9" t="s">
        <v>35</v>
      </c>
      <c r="F129" s="9" t="s">
        <v>36</v>
      </c>
      <c r="G129" s="8" t="s">
        <v>164</v>
      </c>
      <c r="H129" s="9" t="s">
        <v>647</v>
      </c>
      <c r="I129" s="9" t="s">
        <v>38</v>
      </c>
      <c r="J129" s="9" t="s">
        <v>126</v>
      </c>
      <c r="K129" s="9" t="s">
        <v>234</v>
      </c>
      <c r="L129" s="9" t="s">
        <v>40</v>
      </c>
      <c r="M129" s="9" t="s">
        <v>40</v>
      </c>
      <c r="N129" s="9" t="s">
        <v>40</v>
      </c>
      <c r="Q129" s="9" t="s">
        <v>101</v>
      </c>
      <c r="R129" s="9" t="s">
        <v>42</v>
      </c>
      <c r="S129" s="10">
        <v>11000.0</v>
      </c>
      <c r="T129" s="11">
        <v>0.0</v>
      </c>
      <c r="U129" s="9">
        <v>0.0</v>
      </c>
      <c r="V129" s="9">
        <v>0.0</v>
      </c>
      <c r="W129" s="9" t="s">
        <v>648</v>
      </c>
      <c r="X129" s="9" t="s">
        <v>649</v>
      </c>
      <c r="Y129" s="9" t="s">
        <v>650</v>
      </c>
      <c r="Z129" s="9" t="s">
        <v>651</v>
      </c>
      <c r="AA129" s="9" t="s">
        <v>60</v>
      </c>
      <c r="AB129" s="9" t="s">
        <v>61</v>
      </c>
      <c r="AD129" s="9">
        <v>8.0</v>
      </c>
      <c r="AE129" s="9">
        <v>11.0</v>
      </c>
      <c r="AF129" s="9">
        <v>4.0</v>
      </c>
      <c r="AG129" s="12">
        <v>2100.0</v>
      </c>
      <c r="AH129" s="9" t="s">
        <v>42</v>
      </c>
    </row>
    <row r="130">
      <c r="A130" s="7">
        <v>44409.479142233795</v>
      </c>
      <c r="B130" s="8">
        <f t="shared" si="1"/>
        <v>2021</v>
      </c>
      <c r="C130" s="9" t="s">
        <v>73</v>
      </c>
      <c r="D130" s="9">
        <v>41.0</v>
      </c>
      <c r="E130" s="9" t="s">
        <v>35</v>
      </c>
      <c r="F130" s="9" t="s">
        <v>36</v>
      </c>
      <c r="G130" s="8" t="s">
        <v>50</v>
      </c>
      <c r="H130" s="9" t="s">
        <v>570</v>
      </c>
      <c r="I130" s="9" t="s">
        <v>38</v>
      </c>
      <c r="J130" s="9" t="s">
        <v>160</v>
      </c>
      <c r="K130" s="9" t="s">
        <v>355</v>
      </c>
      <c r="L130" s="9" t="s">
        <v>39</v>
      </c>
      <c r="M130" s="9" t="s">
        <v>40</v>
      </c>
      <c r="N130" s="9" t="s">
        <v>40</v>
      </c>
      <c r="Q130" s="9" t="s">
        <v>652</v>
      </c>
      <c r="R130" s="9" t="s">
        <v>42</v>
      </c>
      <c r="S130" s="10">
        <v>11000.0</v>
      </c>
      <c r="T130" s="11">
        <v>2200.0</v>
      </c>
      <c r="U130" s="9">
        <v>0.0</v>
      </c>
      <c r="V130" s="9">
        <v>16.0</v>
      </c>
      <c r="W130" s="9" t="s">
        <v>653</v>
      </c>
      <c r="X130" s="9" t="s">
        <v>87</v>
      </c>
      <c r="Y130" s="9" t="s">
        <v>122</v>
      </c>
      <c r="Z130" s="9" t="s">
        <v>185</v>
      </c>
      <c r="AA130" s="9" t="s">
        <v>132</v>
      </c>
      <c r="AB130" s="9" t="s">
        <v>61</v>
      </c>
      <c r="AD130" s="9">
        <v>7.0</v>
      </c>
      <c r="AE130" s="9">
        <v>18.0</v>
      </c>
      <c r="AF130" s="9">
        <v>8.0</v>
      </c>
      <c r="AG130" s="12">
        <v>2100.0</v>
      </c>
      <c r="AH130" s="13"/>
    </row>
    <row r="131">
      <c r="A131" s="7">
        <v>44624.755149375</v>
      </c>
      <c r="B131" s="8">
        <f t="shared" si="1"/>
        <v>2022</v>
      </c>
      <c r="C131" s="9" t="s">
        <v>49</v>
      </c>
      <c r="D131" s="9">
        <v>23.0</v>
      </c>
      <c r="E131" s="9" t="s">
        <v>35</v>
      </c>
      <c r="F131" s="9" t="s">
        <v>36</v>
      </c>
      <c r="G131" s="8" t="s">
        <v>50</v>
      </c>
      <c r="H131" s="9" t="s">
        <v>532</v>
      </c>
      <c r="I131" s="9" t="s">
        <v>93</v>
      </c>
      <c r="L131" s="9" t="s">
        <v>40</v>
      </c>
      <c r="M131" s="9" t="s">
        <v>40</v>
      </c>
      <c r="N131" s="9" t="s">
        <v>40</v>
      </c>
      <c r="Q131" s="9" t="s">
        <v>128</v>
      </c>
      <c r="R131" s="9" t="s">
        <v>42</v>
      </c>
      <c r="S131" s="10">
        <v>5800.0</v>
      </c>
      <c r="T131" s="11">
        <v>0.0</v>
      </c>
      <c r="U131" s="9">
        <v>0.0</v>
      </c>
      <c r="V131" s="9">
        <v>21.0</v>
      </c>
      <c r="W131" s="9" t="s">
        <v>654</v>
      </c>
      <c r="X131" s="9" t="s">
        <v>358</v>
      </c>
      <c r="Y131" s="9" t="s">
        <v>50</v>
      </c>
      <c r="Z131" s="9" t="s">
        <v>655</v>
      </c>
      <c r="AA131" s="9" t="s">
        <v>71</v>
      </c>
      <c r="AB131" s="9" t="s">
        <v>61</v>
      </c>
      <c r="AD131" s="9">
        <v>6.0</v>
      </c>
      <c r="AE131" s="9">
        <v>2.5</v>
      </c>
      <c r="AF131" s="9">
        <v>2.0</v>
      </c>
      <c r="AG131" s="12">
        <v>2100.0</v>
      </c>
      <c r="AH131" s="13"/>
    </row>
    <row r="132">
      <c r="A132" s="14">
        <v>44403.881180729164</v>
      </c>
      <c r="B132" s="8">
        <f t="shared" si="1"/>
        <v>2021</v>
      </c>
      <c r="C132" s="8" t="s">
        <v>49</v>
      </c>
      <c r="D132" s="8">
        <v>37.0</v>
      </c>
      <c r="E132" s="8" t="s">
        <v>35</v>
      </c>
      <c r="F132" s="8" t="s">
        <v>36</v>
      </c>
      <c r="G132" s="8" t="s">
        <v>50</v>
      </c>
      <c r="H132" s="8" t="s">
        <v>99</v>
      </c>
      <c r="I132" s="8" t="s">
        <v>38</v>
      </c>
      <c r="J132" s="8" t="s">
        <v>656</v>
      </c>
      <c r="K132" s="8" t="s">
        <v>188</v>
      </c>
      <c r="L132" s="8" t="s">
        <v>40</v>
      </c>
      <c r="M132" s="8" t="s">
        <v>40</v>
      </c>
      <c r="N132" s="8" t="s">
        <v>40</v>
      </c>
      <c r="O132" s="15"/>
      <c r="P132" s="15"/>
      <c r="Q132" s="8" t="s">
        <v>182</v>
      </c>
      <c r="R132" s="9" t="s">
        <v>42</v>
      </c>
      <c r="S132" s="16">
        <v>8190.0</v>
      </c>
      <c r="T132" s="17">
        <v>0.0</v>
      </c>
      <c r="U132" s="8">
        <v>0.0</v>
      </c>
      <c r="V132" s="8">
        <v>18.0</v>
      </c>
      <c r="W132" s="8" t="s">
        <v>657</v>
      </c>
      <c r="X132" s="8" t="s">
        <v>658</v>
      </c>
      <c r="Y132" s="8" t="s">
        <v>122</v>
      </c>
      <c r="Z132" s="8" t="s">
        <v>659</v>
      </c>
      <c r="AA132" s="8" t="s">
        <v>132</v>
      </c>
      <c r="AB132" s="8" t="s">
        <v>61</v>
      </c>
      <c r="AC132" s="15"/>
      <c r="AD132" s="8">
        <v>7.0</v>
      </c>
      <c r="AE132" s="8">
        <v>14.0</v>
      </c>
      <c r="AF132" s="8">
        <v>7.0</v>
      </c>
      <c r="AG132" s="18">
        <v>2100.0</v>
      </c>
      <c r="AH132" s="13"/>
      <c r="AI132" s="15"/>
      <c r="AJ132" s="15"/>
      <c r="AK132" s="15"/>
      <c r="AL132" s="15"/>
      <c r="AM132" s="15"/>
      <c r="AN132" s="15"/>
    </row>
    <row r="133">
      <c r="A133" s="7">
        <v>44404.069587986116</v>
      </c>
      <c r="B133" s="8">
        <f t="shared" si="1"/>
        <v>2021</v>
      </c>
      <c r="C133" s="9" t="s">
        <v>49</v>
      </c>
      <c r="D133" s="9">
        <v>34.0</v>
      </c>
      <c r="E133" s="9" t="s">
        <v>35</v>
      </c>
      <c r="F133" s="9" t="s">
        <v>36</v>
      </c>
      <c r="G133" s="8" t="s">
        <v>124</v>
      </c>
      <c r="H133" s="9" t="s">
        <v>460</v>
      </c>
      <c r="I133" s="9" t="s">
        <v>38</v>
      </c>
      <c r="J133" s="9" t="s">
        <v>160</v>
      </c>
      <c r="K133" s="9" t="s">
        <v>496</v>
      </c>
      <c r="L133" s="9" t="s">
        <v>39</v>
      </c>
      <c r="M133" s="9" t="s">
        <v>40</v>
      </c>
      <c r="N133" s="9" t="s">
        <v>40</v>
      </c>
      <c r="Q133" s="9" t="s">
        <v>660</v>
      </c>
      <c r="R133" s="9" t="s">
        <v>42</v>
      </c>
      <c r="S133" s="10">
        <v>8800.0</v>
      </c>
      <c r="T133" s="11">
        <v>60000.0</v>
      </c>
      <c r="U133" s="9">
        <v>0.0</v>
      </c>
      <c r="V133" s="9">
        <v>18.0</v>
      </c>
      <c r="W133" s="9" t="s">
        <v>661</v>
      </c>
      <c r="X133" s="9" t="s">
        <v>662</v>
      </c>
      <c r="Y133" s="9" t="s">
        <v>58</v>
      </c>
      <c r="Z133" s="9" t="s">
        <v>80</v>
      </c>
      <c r="AA133" s="9" t="s">
        <v>90</v>
      </c>
      <c r="AB133" s="9" t="s">
        <v>61</v>
      </c>
      <c r="AD133" s="9">
        <v>7.0</v>
      </c>
      <c r="AE133" s="9">
        <v>10.0</v>
      </c>
      <c r="AF133" s="9">
        <v>2.0</v>
      </c>
      <c r="AG133" s="12">
        <v>2100.0</v>
      </c>
      <c r="AH133" s="13"/>
    </row>
    <row r="134">
      <c r="A134" s="7">
        <v>44619.42748028935</v>
      </c>
      <c r="B134" s="8">
        <f t="shared" si="1"/>
        <v>2022</v>
      </c>
      <c r="C134" s="9" t="s">
        <v>73</v>
      </c>
      <c r="D134" s="9">
        <v>24.0</v>
      </c>
      <c r="E134" s="9" t="s">
        <v>35</v>
      </c>
      <c r="F134" s="9" t="s">
        <v>36</v>
      </c>
      <c r="G134" s="8" t="s">
        <v>50</v>
      </c>
      <c r="H134" s="9" t="s">
        <v>206</v>
      </c>
      <c r="I134" s="9" t="s">
        <v>38</v>
      </c>
      <c r="J134" s="9" t="s">
        <v>75</v>
      </c>
      <c r="K134" s="9" t="s">
        <v>381</v>
      </c>
      <c r="L134" s="9" t="s">
        <v>39</v>
      </c>
      <c r="M134" s="9" t="s">
        <v>40</v>
      </c>
      <c r="N134" s="9" t="s">
        <v>39</v>
      </c>
      <c r="P134" s="9" t="s">
        <v>663</v>
      </c>
      <c r="Q134" s="9" t="s">
        <v>146</v>
      </c>
      <c r="R134" s="9" t="s">
        <v>42</v>
      </c>
      <c r="S134" s="10">
        <v>2400.0</v>
      </c>
      <c r="T134" s="11">
        <v>0.0</v>
      </c>
      <c r="U134" s="9">
        <v>0.0</v>
      </c>
      <c r="V134" s="9">
        <v>8.0</v>
      </c>
      <c r="W134" s="9" t="s">
        <v>664</v>
      </c>
      <c r="X134" s="9" t="s">
        <v>665</v>
      </c>
      <c r="Y134" s="9" t="s">
        <v>206</v>
      </c>
      <c r="Z134" s="9" t="s">
        <v>197</v>
      </c>
      <c r="AA134" s="9" t="s">
        <v>71</v>
      </c>
      <c r="AB134" s="9" t="s">
        <v>61</v>
      </c>
      <c r="AD134" s="9">
        <v>7.0</v>
      </c>
      <c r="AE134" s="9">
        <v>0.0</v>
      </c>
      <c r="AF134" s="9">
        <v>0.0</v>
      </c>
      <c r="AG134" s="12">
        <v>2200.0</v>
      </c>
      <c r="AH134" s="9" t="s">
        <v>42</v>
      </c>
    </row>
    <row r="135">
      <c r="A135" s="7">
        <v>44405.97809380787</v>
      </c>
      <c r="B135" s="8">
        <f t="shared" si="1"/>
        <v>2021</v>
      </c>
      <c r="C135" s="9" t="s">
        <v>73</v>
      </c>
      <c r="D135" s="9">
        <v>24.0</v>
      </c>
      <c r="E135" s="9" t="s">
        <v>35</v>
      </c>
      <c r="F135" s="9" t="s">
        <v>36</v>
      </c>
      <c r="G135" s="8" t="s">
        <v>50</v>
      </c>
      <c r="H135" s="9" t="s">
        <v>298</v>
      </c>
      <c r="I135" s="9" t="s">
        <v>38</v>
      </c>
      <c r="L135" s="9" t="s">
        <v>39</v>
      </c>
      <c r="M135" s="9" t="s">
        <v>40</v>
      </c>
      <c r="N135" s="9" t="s">
        <v>40</v>
      </c>
      <c r="Q135" s="9" t="s">
        <v>146</v>
      </c>
      <c r="R135" s="9" t="s">
        <v>42</v>
      </c>
      <c r="S135" s="10">
        <v>2400.0</v>
      </c>
      <c r="T135" s="11">
        <v>2000.0</v>
      </c>
      <c r="U135" s="9">
        <v>0.0</v>
      </c>
      <c r="V135" s="9">
        <v>12.0</v>
      </c>
      <c r="W135" s="9" t="s">
        <v>666</v>
      </c>
      <c r="X135" s="9" t="s">
        <v>667</v>
      </c>
      <c r="Y135" s="9" t="s">
        <v>668</v>
      </c>
      <c r="Z135" s="9" t="s">
        <v>423</v>
      </c>
      <c r="AA135" s="9" t="s">
        <v>132</v>
      </c>
      <c r="AB135" s="9" t="s">
        <v>61</v>
      </c>
      <c r="AD135" s="9">
        <v>8.0</v>
      </c>
      <c r="AE135" s="9">
        <v>1.0</v>
      </c>
      <c r="AF135" s="9">
        <v>0.0</v>
      </c>
      <c r="AG135" s="12">
        <v>2200.0</v>
      </c>
      <c r="AH135" s="9" t="s">
        <v>42</v>
      </c>
    </row>
    <row r="136">
      <c r="A136" s="7">
        <v>44408.00618434028</v>
      </c>
      <c r="B136" s="8">
        <f t="shared" si="1"/>
        <v>2021</v>
      </c>
      <c r="C136" s="9" t="s">
        <v>49</v>
      </c>
      <c r="D136" s="9">
        <v>27.0</v>
      </c>
      <c r="E136" s="9" t="s">
        <v>35</v>
      </c>
      <c r="F136" s="9" t="s">
        <v>36</v>
      </c>
      <c r="G136" s="8" t="s">
        <v>50</v>
      </c>
      <c r="H136" s="9" t="s">
        <v>669</v>
      </c>
      <c r="I136" s="9" t="s">
        <v>93</v>
      </c>
      <c r="J136" s="9" t="s">
        <v>670</v>
      </c>
      <c r="K136" s="9" t="s">
        <v>84</v>
      </c>
      <c r="L136" s="9" t="s">
        <v>39</v>
      </c>
      <c r="M136" s="9" t="s">
        <v>40</v>
      </c>
      <c r="N136" s="9" t="s">
        <v>40</v>
      </c>
      <c r="Q136" s="9" t="s">
        <v>146</v>
      </c>
      <c r="R136" s="9" t="s">
        <v>42</v>
      </c>
      <c r="S136" s="10">
        <v>2200.0</v>
      </c>
      <c r="T136" s="11">
        <v>0.0</v>
      </c>
      <c r="U136" s="9">
        <v>0.0</v>
      </c>
      <c r="V136" s="9">
        <v>14.0</v>
      </c>
      <c r="W136" s="9" t="s">
        <v>671</v>
      </c>
      <c r="X136" s="9" t="s">
        <v>672</v>
      </c>
      <c r="Y136" s="9" t="s">
        <v>58</v>
      </c>
      <c r="Z136" s="9" t="s">
        <v>80</v>
      </c>
      <c r="AA136" s="9" t="s">
        <v>60</v>
      </c>
      <c r="AB136" s="9" t="s">
        <v>61</v>
      </c>
      <c r="AC136" s="9" t="s">
        <v>673</v>
      </c>
      <c r="AD136" s="9">
        <v>7.0</v>
      </c>
      <c r="AE136" s="9" t="s">
        <v>674</v>
      </c>
      <c r="AF136" s="9">
        <v>2.0</v>
      </c>
      <c r="AG136" s="12">
        <v>2200.0</v>
      </c>
      <c r="AH136" s="13"/>
    </row>
    <row r="137">
      <c r="A137" s="7">
        <v>44579.87184506944</v>
      </c>
      <c r="B137" s="8">
        <f t="shared" si="1"/>
        <v>2022</v>
      </c>
      <c r="C137" s="9" t="s">
        <v>49</v>
      </c>
      <c r="D137" s="9">
        <v>43.0</v>
      </c>
      <c r="E137" s="9" t="s">
        <v>35</v>
      </c>
      <c r="F137" s="9" t="s">
        <v>36</v>
      </c>
      <c r="G137" s="8" t="s">
        <v>124</v>
      </c>
      <c r="H137" s="9" t="s">
        <v>206</v>
      </c>
      <c r="I137" s="9" t="s">
        <v>38</v>
      </c>
      <c r="J137" s="9" t="s">
        <v>75</v>
      </c>
      <c r="K137" s="8" t="s">
        <v>188</v>
      </c>
      <c r="L137" s="9" t="s">
        <v>39</v>
      </c>
      <c r="M137" s="9" t="s">
        <v>40</v>
      </c>
      <c r="N137" s="9" t="s">
        <v>40</v>
      </c>
      <c r="Q137" s="9" t="s">
        <v>675</v>
      </c>
      <c r="R137" s="9" t="s">
        <v>42</v>
      </c>
      <c r="S137" s="10">
        <v>13000.0</v>
      </c>
      <c r="T137" s="11">
        <v>0.0</v>
      </c>
      <c r="U137" s="9">
        <v>0.0</v>
      </c>
      <c r="V137" s="9">
        <v>14.0</v>
      </c>
      <c r="W137" s="9" t="s">
        <v>676</v>
      </c>
      <c r="X137" s="9" t="s">
        <v>677</v>
      </c>
      <c r="Y137" s="9" t="s">
        <v>678</v>
      </c>
      <c r="Z137" s="9" t="s">
        <v>679</v>
      </c>
      <c r="AA137" s="9" t="s">
        <v>71</v>
      </c>
      <c r="AB137" s="9" t="s">
        <v>61</v>
      </c>
      <c r="AD137" s="9">
        <v>10.0</v>
      </c>
      <c r="AE137" s="9">
        <v>22.0</v>
      </c>
      <c r="AF137" s="9">
        <v>7.0</v>
      </c>
      <c r="AG137" s="12">
        <v>2200.0</v>
      </c>
      <c r="AH137" s="13"/>
    </row>
    <row r="138">
      <c r="A138" s="7">
        <v>44613.97623929398</v>
      </c>
      <c r="B138" s="8">
        <f t="shared" si="1"/>
        <v>2022</v>
      </c>
      <c r="C138" s="9" t="s">
        <v>49</v>
      </c>
      <c r="D138" s="9">
        <v>28.0</v>
      </c>
      <c r="E138" s="9" t="s">
        <v>35</v>
      </c>
      <c r="F138" s="9" t="s">
        <v>36</v>
      </c>
      <c r="G138" s="9" t="s">
        <v>412</v>
      </c>
      <c r="H138" s="9" t="s">
        <v>625</v>
      </c>
      <c r="I138" s="9" t="s">
        <v>38</v>
      </c>
      <c r="J138" s="9" t="s">
        <v>160</v>
      </c>
      <c r="K138" s="9" t="s">
        <v>680</v>
      </c>
      <c r="L138" s="9" t="s">
        <v>39</v>
      </c>
      <c r="M138" s="9" t="s">
        <v>40</v>
      </c>
      <c r="N138" s="9" t="s">
        <v>40</v>
      </c>
      <c r="Q138" s="9" t="s">
        <v>128</v>
      </c>
      <c r="R138" s="9" t="s">
        <v>42</v>
      </c>
      <c r="S138" s="10">
        <v>3750.0</v>
      </c>
      <c r="T138" s="11">
        <v>7500.0</v>
      </c>
      <c r="U138" s="9">
        <v>0.0</v>
      </c>
      <c r="V138" s="9">
        <v>18.0</v>
      </c>
      <c r="W138" s="9" t="s">
        <v>681</v>
      </c>
      <c r="X138" s="9" t="s">
        <v>682</v>
      </c>
      <c r="Y138" s="9" t="s">
        <v>683</v>
      </c>
      <c r="Z138" s="9" t="s">
        <v>160</v>
      </c>
      <c r="AA138" s="9" t="s">
        <v>60</v>
      </c>
      <c r="AB138" s="9" t="s">
        <v>61</v>
      </c>
      <c r="AD138" s="9">
        <v>7.0</v>
      </c>
      <c r="AE138" s="9">
        <v>6.0</v>
      </c>
      <c r="AF138" s="9">
        <v>0.0</v>
      </c>
      <c r="AG138" s="12">
        <v>2200.0</v>
      </c>
      <c r="AH138" s="13"/>
    </row>
    <row r="139">
      <c r="A139" s="7">
        <v>44405.34927994213</v>
      </c>
      <c r="B139" s="8">
        <f t="shared" si="1"/>
        <v>2021</v>
      </c>
      <c r="C139" s="9" t="s">
        <v>49</v>
      </c>
      <c r="D139" s="9">
        <v>36.0</v>
      </c>
      <c r="E139" s="9" t="s">
        <v>35</v>
      </c>
      <c r="F139" s="9" t="s">
        <v>36</v>
      </c>
      <c r="G139" s="8" t="s">
        <v>74</v>
      </c>
      <c r="H139" s="8" t="s">
        <v>482</v>
      </c>
      <c r="I139" s="9" t="s">
        <v>38</v>
      </c>
      <c r="J139" s="9" t="s">
        <v>75</v>
      </c>
      <c r="K139" s="9" t="s">
        <v>684</v>
      </c>
      <c r="L139" s="9" t="s">
        <v>39</v>
      </c>
      <c r="M139" s="9" t="s">
        <v>40</v>
      </c>
      <c r="N139" s="9" t="s">
        <v>40</v>
      </c>
      <c r="Q139" s="9" t="s">
        <v>128</v>
      </c>
      <c r="R139" s="9" t="s">
        <v>42</v>
      </c>
      <c r="S139" s="10">
        <v>6300.0</v>
      </c>
      <c r="T139" s="11">
        <v>0.0</v>
      </c>
      <c r="U139" s="9">
        <v>0.0</v>
      </c>
      <c r="V139" s="9">
        <v>20.0</v>
      </c>
      <c r="W139" s="9" t="s">
        <v>685</v>
      </c>
      <c r="X139" s="9" t="s">
        <v>686</v>
      </c>
      <c r="Y139" s="9" t="s">
        <v>687</v>
      </c>
      <c r="Z139" s="9" t="s">
        <v>688</v>
      </c>
      <c r="AA139" s="9" t="s">
        <v>60</v>
      </c>
      <c r="AB139" s="9" t="s">
        <v>61</v>
      </c>
      <c r="AD139" s="9">
        <v>5.0</v>
      </c>
      <c r="AE139" s="9">
        <v>15.0</v>
      </c>
      <c r="AF139" s="9">
        <v>1.0</v>
      </c>
      <c r="AG139" s="12">
        <v>2200.0</v>
      </c>
      <c r="AH139" s="13"/>
    </row>
    <row r="140">
      <c r="A140" s="7">
        <v>44500.881897060186</v>
      </c>
      <c r="B140" s="8">
        <f t="shared" si="1"/>
        <v>2021</v>
      </c>
      <c r="C140" s="9" t="s">
        <v>49</v>
      </c>
      <c r="D140" s="9">
        <v>25.0</v>
      </c>
      <c r="E140" s="9" t="s">
        <v>35</v>
      </c>
      <c r="F140" s="9" t="s">
        <v>36</v>
      </c>
      <c r="G140" s="8" t="s">
        <v>50</v>
      </c>
      <c r="H140" s="8" t="s">
        <v>51</v>
      </c>
      <c r="I140" s="9" t="s">
        <v>38</v>
      </c>
      <c r="J140" s="9" t="s">
        <v>75</v>
      </c>
      <c r="K140" s="9" t="s">
        <v>327</v>
      </c>
      <c r="L140" s="9" t="s">
        <v>39</v>
      </c>
      <c r="M140" s="9" t="s">
        <v>40</v>
      </c>
      <c r="N140" s="9" t="s">
        <v>40</v>
      </c>
      <c r="Q140" s="9" t="s">
        <v>689</v>
      </c>
      <c r="R140" s="9" t="s">
        <v>42</v>
      </c>
      <c r="S140" s="10">
        <v>3200.0</v>
      </c>
      <c r="T140" s="11">
        <v>0.0</v>
      </c>
      <c r="U140" s="9">
        <v>0.0</v>
      </c>
      <c r="V140" s="9">
        <v>18.0</v>
      </c>
      <c r="W140" s="9" t="s">
        <v>690</v>
      </c>
      <c r="X140" s="9" t="s">
        <v>691</v>
      </c>
      <c r="Y140" s="9" t="s">
        <v>610</v>
      </c>
      <c r="Z140" s="9" t="s">
        <v>70</v>
      </c>
      <c r="AA140" s="9" t="s">
        <v>132</v>
      </c>
      <c r="AB140" s="9" t="s">
        <v>91</v>
      </c>
      <c r="AC140" s="9" t="s">
        <v>692</v>
      </c>
      <c r="AD140" s="9">
        <v>7.0</v>
      </c>
      <c r="AE140" s="9">
        <v>2.0</v>
      </c>
      <c r="AF140" s="9">
        <v>1.0</v>
      </c>
      <c r="AG140" s="12">
        <v>2200.0</v>
      </c>
      <c r="AH140" s="13"/>
    </row>
    <row r="141">
      <c r="A141" s="7">
        <v>44403.89524133102</v>
      </c>
      <c r="B141" s="8">
        <f t="shared" si="1"/>
        <v>2021</v>
      </c>
      <c r="C141" s="9" t="s">
        <v>49</v>
      </c>
      <c r="D141" s="9">
        <v>21.0</v>
      </c>
      <c r="E141" s="9" t="s">
        <v>35</v>
      </c>
      <c r="F141" s="9" t="s">
        <v>36</v>
      </c>
      <c r="G141" s="8" t="s">
        <v>50</v>
      </c>
      <c r="H141" s="8" t="s">
        <v>180</v>
      </c>
      <c r="I141" s="9" t="s">
        <v>38</v>
      </c>
      <c r="J141" s="9" t="s">
        <v>160</v>
      </c>
      <c r="K141" s="8" t="s">
        <v>332</v>
      </c>
      <c r="L141" s="9" t="s">
        <v>39</v>
      </c>
      <c r="M141" s="9" t="s">
        <v>39</v>
      </c>
      <c r="N141" s="9" t="s">
        <v>40</v>
      </c>
      <c r="O141" s="9" t="s">
        <v>693</v>
      </c>
      <c r="Q141" s="9" t="s">
        <v>694</v>
      </c>
      <c r="R141" s="9" t="s">
        <v>42</v>
      </c>
      <c r="S141" s="10">
        <v>4700.0</v>
      </c>
      <c r="T141" s="11">
        <v>0.0</v>
      </c>
      <c r="U141" s="9">
        <v>0.0</v>
      </c>
      <c r="V141" s="9">
        <v>20.0</v>
      </c>
      <c r="W141" s="9" t="s">
        <v>695</v>
      </c>
      <c r="X141" s="9" t="s">
        <v>87</v>
      </c>
      <c r="Y141" s="9" t="s">
        <v>296</v>
      </c>
      <c r="Z141" s="9" t="s">
        <v>297</v>
      </c>
      <c r="AA141" s="9" t="s">
        <v>81</v>
      </c>
      <c r="AB141" s="9" t="s">
        <v>61</v>
      </c>
      <c r="AC141" s="9" t="s">
        <v>696</v>
      </c>
      <c r="AD141" s="9">
        <v>9.0</v>
      </c>
      <c r="AE141" s="9">
        <v>1.0</v>
      </c>
      <c r="AF141" s="9">
        <v>2.0</v>
      </c>
      <c r="AG141" s="12">
        <v>2200.0</v>
      </c>
      <c r="AH141" s="13"/>
    </row>
    <row r="142">
      <c r="A142" s="7">
        <v>44423.02100900463</v>
      </c>
      <c r="B142" s="8">
        <f t="shared" si="1"/>
        <v>2021</v>
      </c>
      <c r="C142" s="9" t="s">
        <v>73</v>
      </c>
      <c r="D142" s="9">
        <v>33.0</v>
      </c>
      <c r="E142" s="9" t="s">
        <v>35</v>
      </c>
      <c r="F142" s="9" t="s">
        <v>36</v>
      </c>
      <c r="G142" s="8" t="s">
        <v>50</v>
      </c>
      <c r="H142" s="8" t="s">
        <v>82</v>
      </c>
      <c r="I142" s="9" t="s">
        <v>38</v>
      </c>
      <c r="J142" s="9" t="s">
        <v>510</v>
      </c>
      <c r="K142" s="9" t="s">
        <v>234</v>
      </c>
      <c r="L142" s="9" t="s">
        <v>39</v>
      </c>
      <c r="M142" s="9" t="s">
        <v>40</v>
      </c>
      <c r="N142" s="9" t="s">
        <v>40</v>
      </c>
      <c r="Q142" s="9" t="s">
        <v>272</v>
      </c>
      <c r="R142" s="9" t="s">
        <v>42</v>
      </c>
      <c r="S142" s="10">
        <v>9500.0</v>
      </c>
      <c r="T142" s="11">
        <v>0.0</v>
      </c>
      <c r="U142" s="9">
        <v>0.0</v>
      </c>
      <c r="V142" s="9">
        <v>14.0</v>
      </c>
      <c r="W142" s="9" t="s">
        <v>697</v>
      </c>
      <c r="X142" s="9" t="s">
        <v>698</v>
      </c>
      <c r="Y142" s="9" t="s">
        <v>699</v>
      </c>
      <c r="Z142" s="9" t="s">
        <v>347</v>
      </c>
      <c r="AA142" s="9" t="s">
        <v>60</v>
      </c>
      <c r="AB142" s="9" t="s">
        <v>91</v>
      </c>
      <c r="AD142" s="9">
        <v>6.0</v>
      </c>
      <c r="AE142" s="9">
        <v>10.0</v>
      </c>
      <c r="AF142" s="9">
        <v>4.0</v>
      </c>
      <c r="AG142" s="12">
        <v>2300.0</v>
      </c>
      <c r="AH142" s="13"/>
    </row>
    <row r="143">
      <c r="A143" s="7">
        <v>44405.054629756945</v>
      </c>
      <c r="B143" s="8">
        <f t="shared" si="1"/>
        <v>2021</v>
      </c>
      <c r="C143" s="9" t="s">
        <v>73</v>
      </c>
      <c r="D143" s="9">
        <v>28.0</v>
      </c>
      <c r="E143" s="9" t="s">
        <v>35</v>
      </c>
      <c r="F143" s="9" t="s">
        <v>36</v>
      </c>
      <c r="G143" s="8" t="s">
        <v>50</v>
      </c>
      <c r="H143" s="8" t="s">
        <v>37</v>
      </c>
      <c r="I143" s="9" t="s">
        <v>247</v>
      </c>
      <c r="L143" s="9" t="s">
        <v>39</v>
      </c>
      <c r="M143" s="9" t="s">
        <v>40</v>
      </c>
      <c r="N143" s="9" t="s">
        <v>40</v>
      </c>
      <c r="Q143" s="9" t="s">
        <v>584</v>
      </c>
      <c r="R143" s="9" t="s">
        <v>42</v>
      </c>
      <c r="S143" s="10">
        <v>4300.0</v>
      </c>
      <c r="T143" s="11" t="s">
        <v>37</v>
      </c>
      <c r="V143" s="9">
        <v>14.0</v>
      </c>
      <c r="W143" s="9" t="s">
        <v>700</v>
      </c>
      <c r="X143" s="9" t="s">
        <v>701</v>
      </c>
      <c r="Y143" s="9" t="s">
        <v>58</v>
      </c>
      <c r="Z143" s="9" t="s">
        <v>702</v>
      </c>
      <c r="AA143" s="9" t="s">
        <v>81</v>
      </c>
      <c r="AB143" s="9" t="s">
        <v>61</v>
      </c>
      <c r="AD143" s="9">
        <v>7.0</v>
      </c>
      <c r="AE143" s="9">
        <v>3.0</v>
      </c>
      <c r="AF143" s="9">
        <v>2.0</v>
      </c>
      <c r="AG143" s="12">
        <v>2300.0</v>
      </c>
      <c r="AH143" s="13"/>
    </row>
    <row r="144">
      <c r="A144" s="7">
        <v>44508.782529895834</v>
      </c>
      <c r="B144" s="8">
        <f t="shared" si="1"/>
        <v>2021</v>
      </c>
      <c r="C144" s="9" t="s">
        <v>73</v>
      </c>
      <c r="D144" s="9">
        <v>27.0</v>
      </c>
      <c r="E144" s="9" t="s">
        <v>35</v>
      </c>
      <c r="F144" s="9" t="s">
        <v>36</v>
      </c>
      <c r="G144" s="8" t="s">
        <v>124</v>
      </c>
      <c r="H144" s="9" t="s">
        <v>601</v>
      </c>
      <c r="I144" s="9" t="s">
        <v>38</v>
      </c>
      <c r="J144" s="9" t="s">
        <v>160</v>
      </c>
      <c r="K144" s="9" t="s">
        <v>134</v>
      </c>
      <c r="L144" s="9" t="s">
        <v>39</v>
      </c>
      <c r="M144" s="9" t="s">
        <v>40</v>
      </c>
      <c r="N144" s="9" t="s">
        <v>40</v>
      </c>
      <c r="Q144" s="9" t="s">
        <v>548</v>
      </c>
      <c r="R144" s="9" t="s">
        <v>42</v>
      </c>
      <c r="S144" s="10">
        <v>5100.0</v>
      </c>
      <c r="T144" s="11" t="s">
        <v>37</v>
      </c>
      <c r="V144" s="9">
        <v>14.0</v>
      </c>
      <c r="W144" s="9" t="s">
        <v>703</v>
      </c>
      <c r="X144" s="9" t="s">
        <v>704</v>
      </c>
      <c r="Y144" s="9" t="s">
        <v>122</v>
      </c>
      <c r="Z144" s="9" t="s">
        <v>89</v>
      </c>
      <c r="AA144" s="9" t="s">
        <v>90</v>
      </c>
      <c r="AB144" s="9" t="s">
        <v>91</v>
      </c>
      <c r="AD144" s="9">
        <v>10.0</v>
      </c>
      <c r="AE144" s="9">
        <v>4.0</v>
      </c>
      <c r="AF144" s="9">
        <v>3.0</v>
      </c>
      <c r="AG144" s="12">
        <v>2300.0</v>
      </c>
      <c r="AH144" s="13"/>
    </row>
    <row r="145">
      <c r="A145" s="7">
        <v>44496.87191012732</v>
      </c>
      <c r="B145" s="8">
        <f t="shared" si="1"/>
        <v>2021</v>
      </c>
      <c r="C145" s="9" t="s">
        <v>73</v>
      </c>
      <c r="D145" s="9">
        <v>24.0</v>
      </c>
      <c r="E145" s="9" t="s">
        <v>35</v>
      </c>
      <c r="F145" s="9" t="s">
        <v>36</v>
      </c>
      <c r="G145" s="8" t="s">
        <v>50</v>
      </c>
      <c r="H145" s="8" t="s">
        <v>180</v>
      </c>
      <c r="I145" s="9" t="s">
        <v>38</v>
      </c>
      <c r="J145" s="9" t="s">
        <v>705</v>
      </c>
      <c r="K145" s="9" t="s">
        <v>134</v>
      </c>
      <c r="L145" s="9" t="s">
        <v>40</v>
      </c>
      <c r="M145" s="9" t="s">
        <v>39</v>
      </c>
      <c r="N145" s="9" t="s">
        <v>40</v>
      </c>
      <c r="O145" s="9" t="s">
        <v>706</v>
      </c>
      <c r="Q145" s="9" t="s">
        <v>41</v>
      </c>
      <c r="R145" s="9" t="s">
        <v>42</v>
      </c>
      <c r="S145" s="10">
        <v>2800.0</v>
      </c>
      <c r="T145" s="11">
        <v>0.0</v>
      </c>
      <c r="U145" s="9">
        <v>0.0</v>
      </c>
      <c r="V145" s="9">
        <v>15.0</v>
      </c>
      <c r="W145" s="9" t="s">
        <v>67</v>
      </c>
      <c r="X145" s="9" t="s">
        <v>707</v>
      </c>
      <c r="Y145" s="9" t="s">
        <v>58</v>
      </c>
      <c r="Z145" s="9" t="s">
        <v>708</v>
      </c>
      <c r="AA145" s="9" t="s">
        <v>71</v>
      </c>
      <c r="AB145" s="9" t="s">
        <v>61</v>
      </c>
      <c r="AD145" s="9">
        <v>6.0</v>
      </c>
      <c r="AE145" s="9">
        <v>1.5</v>
      </c>
      <c r="AF145" s="9">
        <v>0.0</v>
      </c>
      <c r="AG145" s="12">
        <v>2300.0</v>
      </c>
      <c r="AH145" s="13"/>
    </row>
    <row r="146">
      <c r="A146" s="7">
        <v>44549.07945394676</v>
      </c>
      <c r="B146" s="8">
        <f t="shared" si="1"/>
        <v>2021</v>
      </c>
      <c r="C146" s="9" t="s">
        <v>49</v>
      </c>
      <c r="D146" s="9">
        <v>35.0</v>
      </c>
      <c r="E146" s="9" t="s">
        <v>35</v>
      </c>
      <c r="F146" s="9" t="s">
        <v>36</v>
      </c>
      <c r="G146" s="8" t="s">
        <v>50</v>
      </c>
      <c r="H146" s="9" t="s">
        <v>206</v>
      </c>
      <c r="I146" s="9" t="s">
        <v>38</v>
      </c>
      <c r="J146" s="9" t="s">
        <v>75</v>
      </c>
      <c r="K146" s="9" t="s">
        <v>84</v>
      </c>
      <c r="L146" s="9" t="s">
        <v>39</v>
      </c>
      <c r="M146" s="9" t="s">
        <v>40</v>
      </c>
      <c r="N146" s="9" t="s">
        <v>40</v>
      </c>
      <c r="Q146" s="9" t="s">
        <v>119</v>
      </c>
      <c r="R146" s="9" t="s">
        <v>42</v>
      </c>
      <c r="S146" s="10">
        <v>9500.0</v>
      </c>
      <c r="T146" s="11">
        <v>10000.0</v>
      </c>
      <c r="V146" s="9">
        <v>20.0</v>
      </c>
      <c r="W146" s="9" t="s">
        <v>709</v>
      </c>
      <c r="X146" s="9" t="s">
        <v>710</v>
      </c>
      <c r="Y146" s="9" t="s">
        <v>131</v>
      </c>
      <c r="Z146" s="9" t="s">
        <v>347</v>
      </c>
      <c r="AA146" s="9" t="s">
        <v>81</v>
      </c>
      <c r="AB146" s="9" t="s">
        <v>61</v>
      </c>
      <c r="AD146" s="9">
        <v>6.0</v>
      </c>
      <c r="AE146" s="9">
        <v>10.0</v>
      </c>
      <c r="AF146" s="9">
        <v>3.0</v>
      </c>
      <c r="AG146" s="12">
        <v>2300.0</v>
      </c>
      <c r="AH146" s="13"/>
    </row>
    <row r="147">
      <c r="A147" s="7">
        <v>44406.6020069213</v>
      </c>
      <c r="B147" s="8">
        <f t="shared" si="1"/>
        <v>2021</v>
      </c>
      <c r="C147" s="9" t="s">
        <v>49</v>
      </c>
      <c r="D147" s="9">
        <v>29.0</v>
      </c>
      <c r="E147" s="9" t="s">
        <v>35</v>
      </c>
      <c r="F147" s="9" t="s">
        <v>36</v>
      </c>
      <c r="G147" s="8" t="s">
        <v>50</v>
      </c>
      <c r="H147" s="9" t="s">
        <v>570</v>
      </c>
      <c r="I147" s="9" t="s">
        <v>38</v>
      </c>
      <c r="J147" s="9" t="s">
        <v>75</v>
      </c>
      <c r="K147" s="8" t="s">
        <v>502</v>
      </c>
      <c r="L147" s="9" t="s">
        <v>39</v>
      </c>
      <c r="M147" s="9" t="s">
        <v>40</v>
      </c>
      <c r="N147" s="9" t="s">
        <v>40</v>
      </c>
      <c r="Q147" s="9" t="s">
        <v>548</v>
      </c>
      <c r="R147" s="9" t="s">
        <v>42</v>
      </c>
      <c r="S147" s="10">
        <v>7500.0</v>
      </c>
      <c r="T147" s="11">
        <v>20000.0</v>
      </c>
      <c r="U147" s="9">
        <v>0.0</v>
      </c>
      <c r="V147" s="9">
        <v>21.0</v>
      </c>
      <c r="W147" s="9" t="s">
        <v>711</v>
      </c>
      <c r="X147" s="9" t="s">
        <v>712</v>
      </c>
      <c r="Y147" s="9" t="s">
        <v>122</v>
      </c>
      <c r="Z147" s="9" t="s">
        <v>59</v>
      </c>
      <c r="AA147" s="9" t="s">
        <v>90</v>
      </c>
      <c r="AB147" s="9" t="s">
        <v>91</v>
      </c>
      <c r="AD147" s="9">
        <v>5.0</v>
      </c>
      <c r="AE147" s="9">
        <v>4.0</v>
      </c>
      <c r="AF147" s="9">
        <v>2.0</v>
      </c>
      <c r="AG147" s="12">
        <v>2300.0</v>
      </c>
      <c r="AH147" s="13"/>
    </row>
    <row r="148">
      <c r="A148" s="7">
        <v>44403.90996454861</v>
      </c>
      <c r="B148" s="8">
        <f t="shared" si="1"/>
        <v>2021</v>
      </c>
      <c r="C148" s="9" t="s">
        <v>49</v>
      </c>
      <c r="D148" s="9">
        <v>30.0</v>
      </c>
      <c r="E148" s="9" t="s">
        <v>35</v>
      </c>
      <c r="F148" s="9" t="s">
        <v>36</v>
      </c>
      <c r="G148" s="8" t="s">
        <v>50</v>
      </c>
      <c r="H148" s="9" t="s">
        <v>206</v>
      </c>
      <c r="I148" s="9" t="s">
        <v>38</v>
      </c>
      <c r="J148" s="9" t="s">
        <v>75</v>
      </c>
      <c r="K148" s="9" t="s">
        <v>713</v>
      </c>
      <c r="L148" s="9" t="s">
        <v>39</v>
      </c>
      <c r="M148" s="9" t="s">
        <v>40</v>
      </c>
      <c r="N148" s="9" t="s">
        <v>40</v>
      </c>
      <c r="Q148" s="8" t="s">
        <v>255</v>
      </c>
      <c r="R148" s="9" t="s">
        <v>42</v>
      </c>
      <c r="S148" s="10">
        <v>12500.0</v>
      </c>
      <c r="T148" s="11">
        <v>0.0</v>
      </c>
      <c r="U148" s="9">
        <v>0.0</v>
      </c>
      <c r="V148" s="9">
        <v>12.0</v>
      </c>
      <c r="W148" s="9" t="s">
        <v>714</v>
      </c>
      <c r="X148" s="9" t="s">
        <v>715</v>
      </c>
      <c r="Y148" s="9" t="s">
        <v>122</v>
      </c>
      <c r="Z148" s="9" t="s">
        <v>59</v>
      </c>
      <c r="AA148" s="9" t="s">
        <v>60</v>
      </c>
      <c r="AB148" s="9" t="s">
        <v>61</v>
      </c>
      <c r="AC148" s="9" t="s">
        <v>716</v>
      </c>
      <c r="AD148" s="9">
        <v>8.0</v>
      </c>
      <c r="AE148" s="9">
        <v>6.0</v>
      </c>
      <c r="AF148" s="9">
        <v>5.0</v>
      </c>
      <c r="AG148" s="12">
        <v>2300.0</v>
      </c>
      <c r="AH148" s="13"/>
    </row>
    <row r="149">
      <c r="A149" s="7">
        <v>44404.700157141204</v>
      </c>
      <c r="B149" s="8">
        <f t="shared" si="1"/>
        <v>2021</v>
      </c>
      <c r="C149" s="9" t="s">
        <v>49</v>
      </c>
      <c r="D149" s="9">
        <v>25.0</v>
      </c>
      <c r="E149" s="9" t="s">
        <v>35</v>
      </c>
      <c r="F149" s="9" t="s">
        <v>36</v>
      </c>
      <c r="G149" s="9" t="s">
        <v>124</v>
      </c>
      <c r="H149" s="9" t="s">
        <v>156</v>
      </c>
      <c r="I149" s="9" t="s">
        <v>38</v>
      </c>
      <c r="J149" s="8" t="s">
        <v>160</v>
      </c>
      <c r="K149" s="9" t="s">
        <v>134</v>
      </c>
      <c r="L149" s="9" t="s">
        <v>39</v>
      </c>
      <c r="M149" s="9" t="s">
        <v>39</v>
      </c>
      <c r="N149" s="9" t="s">
        <v>40</v>
      </c>
      <c r="O149" s="9" t="s">
        <v>717</v>
      </c>
      <c r="Q149" s="9" t="s">
        <v>146</v>
      </c>
      <c r="R149" s="9" t="s">
        <v>42</v>
      </c>
      <c r="S149" s="10">
        <v>3000.0</v>
      </c>
      <c r="T149" s="11">
        <v>300.0</v>
      </c>
      <c r="U149" s="9">
        <v>0.0</v>
      </c>
      <c r="V149" s="9">
        <v>14.0</v>
      </c>
      <c r="W149" s="9" t="s">
        <v>718</v>
      </c>
      <c r="X149" s="9" t="s">
        <v>719</v>
      </c>
      <c r="Y149" s="9" t="s">
        <v>122</v>
      </c>
      <c r="Z149" s="9" t="s">
        <v>70</v>
      </c>
      <c r="AA149" s="9" t="s">
        <v>132</v>
      </c>
      <c r="AB149" s="9" t="s">
        <v>61</v>
      </c>
      <c r="AD149" s="9">
        <v>6.0</v>
      </c>
      <c r="AE149" s="9">
        <v>2.0</v>
      </c>
      <c r="AF149" s="9">
        <v>1.0</v>
      </c>
      <c r="AG149" s="12">
        <v>2300.0</v>
      </c>
      <c r="AH149" s="13"/>
    </row>
    <row r="150">
      <c r="A150" s="7">
        <v>44404.699832881946</v>
      </c>
      <c r="B150" s="8">
        <f t="shared" si="1"/>
        <v>2021</v>
      </c>
      <c r="C150" s="9" t="s">
        <v>49</v>
      </c>
      <c r="D150" s="9">
        <v>28.0</v>
      </c>
      <c r="E150" s="9" t="s">
        <v>35</v>
      </c>
      <c r="F150" s="9" t="s">
        <v>36</v>
      </c>
      <c r="G150" s="8" t="s">
        <v>63</v>
      </c>
      <c r="H150" s="9" t="s">
        <v>301</v>
      </c>
      <c r="I150" s="9" t="s">
        <v>38</v>
      </c>
      <c r="J150" s="9" t="s">
        <v>75</v>
      </c>
      <c r="K150" s="9" t="s">
        <v>166</v>
      </c>
      <c r="L150" s="9" t="s">
        <v>39</v>
      </c>
      <c r="M150" s="9" t="s">
        <v>40</v>
      </c>
      <c r="N150" s="9" t="s">
        <v>40</v>
      </c>
      <c r="Q150" s="9" t="s">
        <v>128</v>
      </c>
      <c r="R150" s="9" t="s">
        <v>42</v>
      </c>
      <c r="S150" s="10">
        <v>4000.0</v>
      </c>
      <c r="T150" s="11">
        <v>0.0</v>
      </c>
      <c r="V150" s="9">
        <v>14.0</v>
      </c>
      <c r="W150" s="9" t="s">
        <v>720</v>
      </c>
      <c r="X150" s="9" t="s">
        <v>721</v>
      </c>
      <c r="Y150" s="9" t="s">
        <v>722</v>
      </c>
      <c r="Z150" s="9" t="s">
        <v>80</v>
      </c>
      <c r="AA150" s="9" t="s">
        <v>60</v>
      </c>
      <c r="AB150" s="9" t="s">
        <v>61</v>
      </c>
      <c r="AD150" s="9">
        <v>8.0</v>
      </c>
      <c r="AE150" s="9">
        <v>1.5</v>
      </c>
      <c r="AF150" s="9">
        <v>1.0</v>
      </c>
      <c r="AG150" s="12">
        <v>2300.0</v>
      </c>
      <c r="AH150" s="13"/>
    </row>
    <row r="151">
      <c r="A151" s="7">
        <v>44403.91121872685</v>
      </c>
      <c r="B151" s="8">
        <f t="shared" si="1"/>
        <v>2021</v>
      </c>
      <c r="C151" s="9" t="s">
        <v>49</v>
      </c>
      <c r="D151" s="9">
        <v>28.0</v>
      </c>
      <c r="E151" s="9" t="s">
        <v>35</v>
      </c>
      <c r="F151" s="9" t="s">
        <v>36</v>
      </c>
      <c r="G151" s="8" t="s">
        <v>74</v>
      </c>
      <c r="H151" s="8" t="s">
        <v>482</v>
      </c>
      <c r="I151" s="9" t="s">
        <v>38</v>
      </c>
      <c r="J151" s="9" t="s">
        <v>75</v>
      </c>
      <c r="K151" s="9" t="s">
        <v>723</v>
      </c>
      <c r="L151" s="9" t="s">
        <v>39</v>
      </c>
      <c r="M151" s="9" t="s">
        <v>40</v>
      </c>
      <c r="N151" s="9" t="s">
        <v>40</v>
      </c>
      <c r="Q151" s="9" t="s">
        <v>128</v>
      </c>
      <c r="R151" s="9" t="s">
        <v>42</v>
      </c>
      <c r="S151" s="10">
        <v>5500.0</v>
      </c>
      <c r="T151" s="11">
        <v>11000.0</v>
      </c>
      <c r="U151" s="9">
        <v>0.0</v>
      </c>
      <c r="V151" s="9">
        <v>16.0</v>
      </c>
      <c r="W151" s="9" t="s">
        <v>724</v>
      </c>
      <c r="X151" s="9" t="s">
        <v>725</v>
      </c>
      <c r="Y151" s="9" t="s">
        <v>79</v>
      </c>
      <c r="Z151" s="9" t="s">
        <v>80</v>
      </c>
      <c r="AA151" s="9" t="s">
        <v>90</v>
      </c>
      <c r="AB151" s="9" t="s">
        <v>61</v>
      </c>
      <c r="AC151" s="9" t="s">
        <v>726</v>
      </c>
      <c r="AD151" s="9">
        <v>6.0</v>
      </c>
      <c r="AE151" s="9">
        <v>5.0</v>
      </c>
      <c r="AF151" s="9">
        <v>5.0</v>
      </c>
      <c r="AG151" s="12">
        <v>2300.0</v>
      </c>
      <c r="AH151" s="13"/>
    </row>
    <row r="152">
      <c r="A152" s="7">
        <v>44404.10044327546</v>
      </c>
      <c r="B152" s="8">
        <f t="shared" si="1"/>
        <v>2021</v>
      </c>
      <c r="C152" s="9" t="s">
        <v>49</v>
      </c>
      <c r="D152" s="9">
        <v>27.0</v>
      </c>
      <c r="E152" s="9" t="s">
        <v>35</v>
      </c>
      <c r="F152" s="9" t="s">
        <v>36</v>
      </c>
      <c r="G152" s="8" t="s">
        <v>50</v>
      </c>
      <c r="H152" s="9" t="s">
        <v>493</v>
      </c>
      <c r="I152" s="9" t="s">
        <v>38</v>
      </c>
      <c r="J152" s="9" t="s">
        <v>239</v>
      </c>
      <c r="K152" s="9" t="s">
        <v>100</v>
      </c>
      <c r="L152" s="9" t="s">
        <v>39</v>
      </c>
      <c r="M152" s="9" t="s">
        <v>40</v>
      </c>
      <c r="N152" s="9" t="s">
        <v>40</v>
      </c>
      <c r="Q152" s="9" t="s">
        <v>727</v>
      </c>
      <c r="R152" s="9" t="s">
        <v>42</v>
      </c>
      <c r="S152" s="10">
        <v>6250.0</v>
      </c>
      <c r="T152" s="11">
        <v>6250.0</v>
      </c>
      <c r="U152" s="9">
        <v>0.0</v>
      </c>
      <c r="V152" s="9">
        <v>18.0</v>
      </c>
      <c r="W152" s="9" t="s">
        <v>728</v>
      </c>
      <c r="X152" s="9" t="s">
        <v>729</v>
      </c>
      <c r="Y152" s="9" t="s">
        <v>122</v>
      </c>
      <c r="Z152" s="9" t="s">
        <v>105</v>
      </c>
      <c r="AA152" s="9" t="s">
        <v>132</v>
      </c>
      <c r="AB152" s="9" t="s">
        <v>91</v>
      </c>
      <c r="AD152" s="9">
        <v>8.0</v>
      </c>
      <c r="AE152" s="9">
        <v>4.0</v>
      </c>
      <c r="AF152" s="9">
        <v>1.0</v>
      </c>
      <c r="AG152" s="12">
        <v>2350.0</v>
      </c>
      <c r="AH152" s="13"/>
    </row>
    <row r="153">
      <c r="A153" s="7">
        <v>44416.567586296296</v>
      </c>
      <c r="B153" s="8">
        <f t="shared" si="1"/>
        <v>2021</v>
      </c>
      <c r="C153" s="9" t="s">
        <v>49</v>
      </c>
      <c r="D153" s="9">
        <v>25.0</v>
      </c>
      <c r="E153" s="9" t="s">
        <v>35</v>
      </c>
      <c r="F153" s="9" t="s">
        <v>36</v>
      </c>
      <c r="G153" s="8" t="s">
        <v>124</v>
      </c>
      <c r="H153" s="8" t="s">
        <v>37</v>
      </c>
      <c r="I153" s="9" t="s">
        <v>118</v>
      </c>
      <c r="L153" s="9" t="s">
        <v>40</v>
      </c>
      <c r="M153" s="9" t="s">
        <v>40</v>
      </c>
      <c r="N153" s="9" t="s">
        <v>40</v>
      </c>
      <c r="Q153" s="9" t="s">
        <v>548</v>
      </c>
      <c r="R153" s="9" t="s">
        <v>42</v>
      </c>
      <c r="S153" s="10">
        <v>4000.0</v>
      </c>
      <c r="T153" s="11">
        <v>4000.0</v>
      </c>
      <c r="U153" s="9">
        <v>0.0</v>
      </c>
      <c r="V153" s="9">
        <v>7.0</v>
      </c>
      <c r="W153" s="9" t="s">
        <v>730</v>
      </c>
      <c r="X153" s="9" t="s">
        <v>731</v>
      </c>
      <c r="Y153" s="9" t="s">
        <v>124</v>
      </c>
      <c r="Z153" s="9" t="s">
        <v>159</v>
      </c>
      <c r="AA153" s="9" t="s">
        <v>60</v>
      </c>
      <c r="AB153" s="9" t="s">
        <v>61</v>
      </c>
      <c r="AD153" s="9">
        <v>5.0</v>
      </c>
      <c r="AE153" s="9">
        <v>1.5</v>
      </c>
      <c r="AF153" s="9">
        <v>1.0</v>
      </c>
      <c r="AG153" s="12">
        <v>2400.0</v>
      </c>
      <c r="AH153" s="9" t="s">
        <v>42</v>
      </c>
    </row>
    <row r="154">
      <c r="A154" s="7">
        <v>44625.611719594905</v>
      </c>
      <c r="B154" s="8">
        <f t="shared" si="1"/>
        <v>2022</v>
      </c>
      <c r="C154" s="9" t="s">
        <v>49</v>
      </c>
      <c r="D154" s="9">
        <v>28.0</v>
      </c>
      <c r="E154" s="9" t="s">
        <v>35</v>
      </c>
      <c r="F154" s="9" t="s">
        <v>36</v>
      </c>
      <c r="G154" s="8" t="s">
        <v>50</v>
      </c>
      <c r="H154" s="8" t="s">
        <v>37</v>
      </c>
      <c r="I154" s="9" t="s">
        <v>38</v>
      </c>
      <c r="L154" s="9" t="s">
        <v>39</v>
      </c>
      <c r="M154" s="9" t="s">
        <v>40</v>
      </c>
      <c r="N154" s="9" t="s">
        <v>40</v>
      </c>
      <c r="Q154" s="9" t="s">
        <v>634</v>
      </c>
      <c r="R154" s="9" t="s">
        <v>42</v>
      </c>
      <c r="S154" s="10">
        <v>2800.0</v>
      </c>
      <c r="T154" s="11">
        <v>0.0</v>
      </c>
      <c r="U154" s="9">
        <v>0.0</v>
      </c>
      <c r="V154" s="9">
        <v>14.0</v>
      </c>
      <c r="W154" s="9" t="s">
        <v>732</v>
      </c>
      <c r="X154" s="9" t="s">
        <v>733</v>
      </c>
      <c r="Y154" s="9" t="s">
        <v>734</v>
      </c>
      <c r="Z154" s="9" t="s">
        <v>116</v>
      </c>
      <c r="AA154" s="9" t="s">
        <v>132</v>
      </c>
      <c r="AB154" s="9" t="s">
        <v>61</v>
      </c>
      <c r="AD154" s="9">
        <v>3.0</v>
      </c>
      <c r="AE154" s="9">
        <v>6.0</v>
      </c>
      <c r="AF154" s="9">
        <v>2.0</v>
      </c>
      <c r="AG154" s="12">
        <v>2400.0</v>
      </c>
      <c r="AH154" s="13"/>
    </row>
    <row r="155">
      <c r="A155" s="7">
        <v>44404.02458336805</v>
      </c>
      <c r="B155" s="8">
        <f t="shared" si="1"/>
        <v>2021</v>
      </c>
      <c r="C155" s="9" t="s">
        <v>49</v>
      </c>
      <c r="D155" s="9">
        <v>27.0</v>
      </c>
      <c r="E155" s="9" t="s">
        <v>35</v>
      </c>
      <c r="F155" s="9" t="s">
        <v>735</v>
      </c>
      <c r="G155" s="9" t="s">
        <v>37</v>
      </c>
      <c r="H155" s="8" t="s">
        <v>37</v>
      </c>
      <c r="I155" s="9" t="s">
        <v>38</v>
      </c>
      <c r="J155" s="9" t="s">
        <v>83</v>
      </c>
      <c r="K155" s="9" t="s">
        <v>66</v>
      </c>
      <c r="L155" s="9" t="s">
        <v>39</v>
      </c>
      <c r="M155" s="9" t="s">
        <v>40</v>
      </c>
      <c r="N155" s="9" t="s">
        <v>40</v>
      </c>
      <c r="Q155" s="9" t="s">
        <v>736</v>
      </c>
      <c r="R155" s="9" t="s">
        <v>42</v>
      </c>
      <c r="S155" s="10">
        <v>2400.0</v>
      </c>
      <c r="T155" s="11">
        <v>0.0</v>
      </c>
      <c r="V155" s="9">
        <v>0.0</v>
      </c>
      <c r="W155" s="9" t="s">
        <v>737</v>
      </c>
      <c r="X155" s="9" t="s">
        <v>738</v>
      </c>
      <c r="Y155" s="9" t="s">
        <v>349</v>
      </c>
      <c r="Z155" s="9" t="s">
        <v>80</v>
      </c>
      <c r="AA155" s="9" t="s">
        <v>47</v>
      </c>
      <c r="AB155" s="9" t="s">
        <v>61</v>
      </c>
      <c r="AD155" s="9">
        <v>10.0</v>
      </c>
      <c r="AE155" s="9">
        <v>3.0</v>
      </c>
      <c r="AF155" s="9">
        <v>0.0</v>
      </c>
      <c r="AG155" s="12">
        <v>2400.0</v>
      </c>
      <c r="AH155" s="13"/>
    </row>
    <row r="156">
      <c r="A156" s="7">
        <v>44403.95980710648</v>
      </c>
      <c r="B156" s="8">
        <f t="shared" si="1"/>
        <v>2021</v>
      </c>
      <c r="C156" s="9" t="s">
        <v>49</v>
      </c>
      <c r="D156" s="9">
        <v>31.0</v>
      </c>
      <c r="E156" s="9" t="s">
        <v>34</v>
      </c>
      <c r="F156" s="9" t="s">
        <v>36</v>
      </c>
      <c r="G156" s="8" t="s">
        <v>124</v>
      </c>
      <c r="H156" s="8" t="s">
        <v>37</v>
      </c>
      <c r="I156" s="9" t="s">
        <v>38</v>
      </c>
      <c r="L156" s="9" t="s">
        <v>39</v>
      </c>
      <c r="M156" s="9" t="s">
        <v>40</v>
      </c>
      <c r="N156" s="9" t="s">
        <v>40</v>
      </c>
      <c r="Q156" s="9" t="s">
        <v>182</v>
      </c>
      <c r="R156" s="9" t="s">
        <v>42</v>
      </c>
      <c r="S156" s="10">
        <v>24000.0</v>
      </c>
      <c r="T156" s="11">
        <v>20000.0</v>
      </c>
      <c r="V156" s="9">
        <v>12.0</v>
      </c>
      <c r="W156" s="9" t="s">
        <v>739</v>
      </c>
      <c r="X156" s="9" t="s">
        <v>740</v>
      </c>
      <c r="Y156" s="9" t="s">
        <v>246</v>
      </c>
      <c r="Z156" s="9" t="s">
        <v>59</v>
      </c>
      <c r="AA156" s="9" t="s">
        <v>60</v>
      </c>
      <c r="AB156" s="9" t="s">
        <v>91</v>
      </c>
      <c r="AD156" s="9">
        <v>8.0</v>
      </c>
      <c r="AE156" s="9">
        <v>10.0</v>
      </c>
      <c r="AF156" s="9">
        <v>6.0</v>
      </c>
      <c r="AG156" s="12">
        <v>2400.0</v>
      </c>
      <c r="AH156" s="13"/>
    </row>
    <row r="157">
      <c r="A157" s="14">
        <v>44403.89194646991</v>
      </c>
      <c r="B157" s="8">
        <f t="shared" si="1"/>
        <v>2021</v>
      </c>
      <c r="C157" s="8" t="s">
        <v>49</v>
      </c>
      <c r="D157" s="8">
        <v>36.0</v>
      </c>
      <c r="E157" s="8" t="s">
        <v>35</v>
      </c>
      <c r="F157" s="8" t="s">
        <v>36</v>
      </c>
      <c r="G157" s="8" t="s">
        <v>50</v>
      </c>
      <c r="H157" s="8" t="s">
        <v>741</v>
      </c>
      <c r="I157" s="8" t="s">
        <v>38</v>
      </c>
      <c r="J157" s="8" t="s">
        <v>263</v>
      </c>
      <c r="K157" s="9" t="s">
        <v>84</v>
      </c>
      <c r="L157" s="8" t="s">
        <v>39</v>
      </c>
      <c r="M157" s="8" t="s">
        <v>40</v>
      </c>
      <c r="N157" s="8" t="s">
        <v>40</v>
      </c>
      <c r="O157" s="15"/>
      <c r="P157" s="15"/>
      <c r="Q157" s="8" t="s">
        <v>182</v>
      </c>
      <c r="R157" s="9" t="s">
        <v>42</v>
      </c>
      <c r="S157" s="16">
        <v>12000.0</v>
      </c>
      <c r="T157" s="17">
        <v>0.0</v>
      </c>
      <c r="U157" s="8">
        <v>0.0</v>
      </c>
      <c r="V157" s="8">
        <v>14.0</v>
      </c>
      <c r="W157" s="8" t="s">
        <v>252</v>
      </c>
      <c r="X157" s="8" t="s">
        <v>163</v>
      </c>
      <c r="Y157" s="8" t="s">
        <v>58</v>
      </c>
      <c r="Z157" s="8" t="s">
        <v>232</v>
      </c>
      <c r="AA157" s="8" t="s">
        <v>71</v>
      </c>
      <c r="AB157" s="8" t="s">
        <v>61</v>
      </c>
      <c r="AC157" s="15"/>
      <c r="AD157" s="8">
        <v>5.0</v>
      </c>
      <c r="AE157" s="8">
        <v>14.0</v>
      </c>
      <c r="AF157" s="8">
        <v>4.0</v>
      </c>
      <c r="AG157" s="18">
        <v>2400.0</v>
      </c>
      <c r="AH157" s="13"/>
      <c r="AI157" s="15"/>
      <c r="AJ157" s="15"/>
      <c r="AK157" s="15"/>
      <c r="AL157" s="15"/>
      <c r="AM157" s="15"/>
      <c r="AN157" s="15"/>
    </row>
    <row r="158">
      <c r="A158" s="7">
        <v>44403.91550174769</v>
      </c>
      <c r="B158" s="8">
        <f t="shared" si="1"/>
        <v>2021</v>
      </c>
      <c r="C158" s="9" t="s">
        <v>49</v>
      </c>
      <c r="D158" s="9">
        <v>27.0</v>
      </c>
      <c r="E158" s="9" t="s">
        <v>35</v>
      </c>
      <c r="F158" s="9" t="s">
        <v>36</v>
      </c>
      <c r="G158" s="8" t="s">
        <v>50</v>
      </c>
      <c r="H158" s="8" t="s">
        <v>82</v>
      </c>
      <c r="I158" s="9" t="s">
        <v>38</v>
      </c>
      <c r="J158" s="9" t="s">
        <v>742</v>
      </c>
      <c r="K158" s="9" t="s">
        <v>743</v>
      </c>
      <c r="L158" s="9" t="s">
        <v>40</v>
      </c>
      <c r="M158" s="9" t="s">
        <v>39</v>
      </c>
      <c r="N158" s="9" t="s">
        <v>39</v>
      </c>
      <c r="O158" s="9" t="s">
        <v>744</v>
      </c>
      <c r="P158" s="9" t="s">
        <v>745</v>
      </c>
      <c r="Q158" s="9" t="s">
        <v>746</v>
      </c>
      <c r="R158" s="9" t="s">
        <v>42</v>
      </c>
      <c r="S158" s="10">
        <v>5050.0</v>
      </c>
      <c r="T158" s="11">
        <v>5300.0</v>
      </c>
      <c r="U158" s="9">
        <v>0.0</v>
      </c>
      <c r="V158" s="9">
        <v>14.0</v>
      </c>
      <c r="W158" s="9" t="s">
        <v>747</v>
      </c>
      <c r="X158" s="9" t="s">
        <v>748</v>
      </c>
      <c r="Y158" s="9" t="s">
        <v>749</v>
      </c>
      <c r="Z158" s="9" t="s">
        <v>70</v>
      </c>
      <c r="AA158" s="9" t="s">
        <v>132</v>
      </c>
      <c r="AB158" s="9" t="s">
        <v>61</v>
      </c>
      <c r="AD158" s="9">
        <v>5.0</v>
      </c>
      <c r="AE158" s="9" t="s">
        <v>750</v>
      </c>
      <c r="AF158" s="9">
        <v>2.0</v>
      </c>
      <c r="AG158" s="12">
        <v>2400.0</v>
      </c>
      <c r="AH158" s="13"/>
    </row>
    <row r="159">
      <c r="A159" s="7">
        <v>44404.444760196755</v>
      </c>
      <c r="B159" s="8">
        <f t="shared" si="1"/>
        <v>2021</v>
      </c>
      <c r="C159" s="9" t="s">
        <v>49</v>
      </c>
      <c r="D159" s="9">
        <v>36.0</v>
      </c>
      <c r="E159" s="9" t="s">
        <v>35</v>
      </c>
      <c r="F159" s="9" t="s">
        <v>36</v>
      </c>
      <c r="G159" s="9" t="s">
        <v>474</v>
      </c>
      <c r="H159" s="9" t="s">
        <v>474</v>
      </c>
      <c r="I159" s="9" t="s">
        <v>38</v>
      </c>
      <c r="L159" s="9" t="s">
        <v>39</v>
      </c>
      <c r="M159" s="9" t="s">
        <v>40</v>
      </c>
      <c r="N159" s="9" t="s">
        <v>40</v>
      </c>
      <c r="Q159" s="8" t="s">
        <v>602</v>
      </c>
      <c r="R159" s="9" t="s">
        <v>42</v>
      </c>
      <c r="S159" s="10">
        <v>12000.0</v>
      </c>
      <c r="T159" s="11" t="s">
        <v>37</v>
      </c>
      <c r="V159" s="9">
        <v>14.0</v>
      </c>
      <c r="W159" s="9" t="s">
        <v>751</v>
      </c>
      <c r="X159" s="9" t="s">
        <v>752</v>
      </c>
      <c r="Y159" s="9" t="s">
        <v>474</v>
      </c>
      <c r="Z159" s="9" t="s">
        <v>155</v>
      </c>
      <c r="AA159" s="9" t="s">
        <v>60</v>
      </c>
      <c r="AB159" s="9" t="s">
        <v>61</v>
      </c>
      <c r="AD159" s="9">
        <v>10.0</v>
      </c>
      <c r="AE159" s="9">
        <v>8.0</v>
      </c>
      <c r="AF159" s="9">
        <v>3.0</v>
      </c>
      <c r="AG159" s="12">
        <v>2400.0</v>
      </c>
      <c r="AH159" s="13"/>
    </row>
    <row r="160">
      <c r="A160" s="14">
        <v>44403.84131953704</v>
      </c>
      <c r="B160" s="8">
        <f t="shared" si="1"/>
        <v>2021</v>
      </c>
      <c r="C160" s="8" t="s">
        <v>49</v>
      </c>
      <c r="D160" s="8">
        <v>31.0</v>
      </c>
      <c r="E160" s="8" t="s">
        <v>35</v>
      </c>
      <c r="F160" s="8" t="s">
        <v>36</v>
      </c>
      <c r="G160" s="8" t="s">
        <v>124</v>
      </c>
      <c r="H160" s="8" t="s">
        <v>125</v>
      </c>
      <c r="I160" s="8" t="s">
        <v>38</v>
      </c>
      <c r="J160" s="9" t="s">
        <v>160</v>
      </c>
      <c r="K160" s="9" t="s">
        <v>166</v>
      </c>
      <c r="L160" s="8" t="s">
        <v>39</v>
      </c>
      <c r="M160" s="8" t="s">
        <v>40</v>
      </c>
      <c r="N160" s="8" t="s">
        <v>40</v>
      </c>
      <c r="O160" s="15"/>
      <c r="P160" s="15"/>
      <c r="Q160" s="8" t="s">
        <v>255</v>
      </c>
      <c r="R160" s="9" t="s">
        <v>42</v>
      </c>
      <c r="S160" s="16">
        <v>11000.0</v>
      </c>
      <c r="T160" s="17">
        <v>0.0</v>
      </c>
      <c r="U160" s="8">
        <v>0.0</v>
      </c>
      <c r="V160" s="8">
        <v>16.0</v>
      </c>
      <c r="W160" s="8" t="s">
        <v>753</v>
      </c>
      <c r="X160" s="8" t="s">
        <v>754</v>
      </c>
      <c r="Y160" s="8" t="s">
        <v>300</v>
      </c>
      <c r="Z160" s="8" t="s">
        <v>185</v>
      </c>
      <c r="AA160" s="8" t="s">
        <v>60</v>
      </c>
      <c r="AB160" s="8" t="s">
        <v>61</v>
      </c>
      <c r="AC160" s="15"/>
      <c r="AD160" s="8">
        <v>8.0</v>
      </c>
      <c r="AE160" s="8">
        <v>8.0</v>
      </c>
      <c r="AF160" s="8">
        <v>4.0</v>
      </c>
      <c r="AG160" s="18">
        <v>2400.0</v>
      </c>
      <c r="AH160" s="13"/>
      <c r="AI160" s="15"/>
      <c r="AJ160" s="15"/>
      <c r="AK160" s="15"/>
      <c r="AL160" s="15"/>
      <c r="AM160" s="15"/>
      <c r="AN160" s="15"/>
    </row>
    <row r="161">
      <c r="A161" s="7">
        <v>44404.4244090625</v>
      </c>
      <c r="B161" s="8">
        <f t="shared" si="1"/>
        <v>2021</v>
      </c>
      <c r="C161" s="9" t="s">
        <v>49</v>
      </c>
      <c r="D161" s="9">
        <v>38.0</v>
      </c>
      <c r="E161" s="9" t="s">
        <v>35</v>
      </c>
      <c r="F161" s="9" t="s">
        <v>36</v>
      </c>
      <c r="G161" s="8" t="s">
        <v>50</v>
      </c>
      <c r="H161" s="8" t="s">
        <v>539</v>
      </c>
      <c r="I161" s="9" t="s">
        <v>247</v>
      </c>
      <c r="J161" s="9" t="s">
        <v>755</v>
      </c>
      <c r="K161" s="9" t="s">
        <v>134</v>
      </c>
      <c r="L161" s="9" t="s">
        <v>39</v>
      </c>
      <c r="M161" s="9" t="s">
        <v>40</v>
      </c>
      <c r="N161" s="9" t="s">
        <v>40</v>
      </c>
      <c r="Q161" s="9" t="s">
        <v>756</v>
      </c>
      <c r="R161" s="9" t="s">
        <v>42</v>
      </c>
      <c r="S161" s="10">
        <v>26500.0</v>
      </c>
      <c r="T161" s="11">
        <v>70000.0</v>
      </c>
      <c r="V161" s="9">
        <v>24.0</v>
      </c>
      <c r="W161" s="9" t="s">
        <v>757</v>
      </c>
      <c r="X161" s="9" t="s">
        <v>758</v>
      </c>
      <c r="Y161" s="9" t="s">
        <v>759</v>
      </c>
      <c r="Z161" s="9" t="s">
        <v>59</v>
      </c>
      <c r="AA161" s="9" t="s">
        <v>81</v>
      </c>
      <c r="AB161" s="9" t="s">
        <v>61</v>
      </c>
      <c r="AC161" s="9" t="s">
        <v>760</v>
      </c>
      <c r="AD161" s="9">
        <v>7.0</v>
      </c>
      <c r="AE161" s="9">
        <v>13.0</v>
      </c>
      <c r="AF161" s="9">
        <v>4.0</v>
      </c>
      <c r="AG161" s="12">
        <v>2400.0</v>
      </c>
      <c r="AH161" s="13"/>
    </row>
    <row r="162">
      <c r="A162" s="7">
        <v>44550.7095500463</v>
      </c>
      <c r="B162" s="8">
        <f t="shared" si="1"/>
        <v>2021</v>
      </c>
      <c r="C162" s="9" t="s">
        <v>49</v>
      </c>
      <c r="D162" s="9">
        <v>33.0</v>
      </c>
      <c r="E162" s="9" t="s">
        <v>35</v>
      </c>
      <c r="F162" s="9" t="s">
        <v>36</v>
      </c>
      <c r="G162" s="8" t="s">
        <v>124</v>
      </c>
      <c r="H162" s="9" t="s">
        <v>156</v>
      </c>
      <c r="I162" s="9" t="s">
        <v>38</v>
      </c>
      <c r="J162" s="9" t="s">
        <v>75</v>
      </c>
      <c r="K162" s="9" t="s">
        <v>761</v>
      </c>
      <c r="L162" s="9" t="s">
        <v>39</v>
      </c>
      <c r="M162" s="9" t="s">
        <v>40</v>
      </c>
      <c r="N162" s="9" t="s">
        <v>40</v>
      </c>
      <c r="Q162" s="9" t="s">
        <v>182</v>
      </c>
      <c r="R162" s="9" t="s">
        <v>42</v>
      </c>
      <c r="S162" s="10">
        <v>15000.0</v>
      </c>
      <c r="T162" s="11">
        <v>0.0</v>
      </c>
      <c r="U162" s="9">
        <v>0.0</v>
      </c>
      <c r="V162" s="9">
        <v>0.0</v>
      </c>
      <c r="W162" s="9" t="s">
        <v>67</v>
      </c>
      <c r="X162" s="9" t="s">
        <v>44</v>
      </c>
      <c r="Y162" s="9" t="s">
        <v>122</v>
      </c>
      <c r="Z162" s="9" t="s">
        <v>347</v>
      </c>
      <c r="AA162" s="9" t="s">
        <v>47</v>
      </c>
      <c r="AB162" s="9" t="s">
        <v>61</v>
      </c>
      <c r="AD162" s="9">
        <v>7.0</v>
      </c>
      <c r="AE162" s="22" t="s">
        <v>762</v>
      </c>
      <c r="AF162" s="9">
        <v>3.0</v>
      </c>
      <c r="AG162" s="12">
        <v>2500.0</v>
      </c>
      <c r="AH162" s="9" t="s">
        <v>42</v>
      </c>
    </row>
    <row r="163">
      <c r="A163" s="7">
        <v>44480.65159873843</v>
      </c>
      <c r="B163" s="8">
        <f t="shared" si="1"/>
        <v>2021</v>
      </c>
      <c r="C163" s="9" t="s">
        <v>49</v>
      </c>
      <c r="D163" s="9">
        <v>32.0</v>
      </c>
      <c r="E163" s="9" t="s">
        <v>35</v>
      </c>
      <c r="F163" s="9" t="s">
        <v>36</v>
      </c>
      <c r="G163" s="8" t="s">
        <v>124</v>
      </c>
      <c r="H163" s="9" t="s">
        <v>460</v>
      </c>
      <c r="I163" s="9" t="s">
        <v>38</v>
      </c>
      <c r="K163" s="9" t="s">
        <v>84</v>
      </c>
      <c r="L163" s="9" t="s">
        <v>39</v>
      </c>
      <c r="M163" s="9" t="s">
        <v>40</v>
      </c>
      <c r="N163" s="9" t="s">
        <v>40</v>
      </c>
      <c r="Q163" s="9" t="s">
        <v>146</v>
      </c>
      <c r="R163" s="9" t="s">
        <v>42</v>
      </c>
      <c r="S163" s="10">
        <v>10000.0</v>
      </c>
      <c r="T163" s="11">
        <v>0.0</v>
      </c>
      <c r="V163" s="9">
        <v>0.0</v>
      </c>
      <c r="W163" s="9" t="s">
        <v>763</v>
      </c>
      <c r="X163" s="9" t="s">
        <v>384</v>
      </c>
      <c r="Y163" s="9" t="s">
        <v>764</v>
      </c>
      <c r="Z163" s="9" t="s">
        <v>70</v>
      </c>
      <c r="AA163" s="9" t="s">
        <v>98</v>
      </c>
      <c r="AB163" s="9" t="s">
        <v>48</v>
      </c>
      <c r="AD163" s="9">
        <v>8.0</v>
      </c>
      <c r="AE163" s="9">
        <v>10.0</v>
      </c>
      <c r="AF163" s="9">
        <v>4.0</v>
      </c>
      <c r="AG163" s="12">
        <v>2500.0</v>
      </c>
      <c r="AH163" s="9" t="s">
        <v>42</v>
      </c>
    </row>
    <row r="164">
      <c r="A164" s="7">
        <v>44637.46802847223</v>
      </c>
      <c r="B164" s="8">
        <f t="shared" si="1"/>
        <v>2022</v>
      </c>
      <c r="C164" s="9" t="s">
        <v>49</v>
      </c>
      <c r="D164" s="9">
        <v>37.0</v>
      </c>
      <c r="E164" s="9" t="s">
        <v>35</v>
      </c>
      <c r="F164" s="9" t="s">
        <v>36</v>
      </c>
      <c r="G164" s="8" t="s">
        <v>50</v>
      </c>
      <c r="H164" s="9" t="s">
        <v>570</v>
      </c>
      <c r="I164" s="9" t="s">
        <v>38</v>
      </c>
      <c r="J164" s="9" t="s">
        <v>160</v>
      </c>
      <c r="K164" s="9" t="s">
        <v>337</v>
      </c>
      <c r="L164" s="9" t="s">
        <v>39</v>
      </c>
      <c r="M164" s="9" t="s">
        <v>40</v>
      </c>
      <c r="N164" s="9" t="s">
        <v>40</v>
      </c>
      <c r="Q164" s="9" t="s">
        <v>765</v>
      </c>
      <c r="R164" s="9" t="s">
        <v>42</v>
      </c>
      <c r="S164" s="10">
        <v>13000.0</v>
      </c>
      <c r="T164" s="11" t="s">
        <v>37</v>
      </c>
      <c r="V164" s="9">
        <v>12.0</v>
      </c>
      <c r="W164" s="9" t="s">
        <v>320</v>
      </c>
      <c r="X164" s="9" t="s">
        <v>766</v>
      </c>
      <c r="Y164" s="9" t="s">
        <v>749</v>
      </c>
      <c r="Z164" s="9" t="s">
        <v>155</v>
      </c>
      <c r="AA164" s="9" t="s">
        <v>132</v>
      </c>
      <c r="AB164" s="9" t="s">
        <v>91</v>
      </c>
      <c r="AD164" s="9">
        <v>9.0</v>
      </c>
      <c r="AE164" s="9">
        <v>15.0</v>
      </c>
      <c r="AF164" s="9">
        <v>8.0</v>
      </c>
      <c r="AG164" s="12">
        <v>2500.0</v>
      </c>
      <c r="AH164" s="9" t="s">
        <v>42</v>
      </c>
    </row>
    <row r="165">
      <c r="A165" s="7">
        <v>44615.382196562496</v>
      </c>
      <c r="B165" s="8">
        <f t="shared" si="1"/>
        <v>2022</v>
      </c>
      <c r="C165" s="9" t="s">
        <v>49</v>
      </c>
      <c r="D165" s="9">
        <v>25.0</v>
      </c>
      <c r="E165" s="9" t="s">
        <v>35</v>
      </c>
      <c r="F165" s="9" t="s">
        <v>36</v>
      </c>
      <c r="G165" s="8" t="s">
        <v>164</v>
      </c>
      <c r="H165" s="9" t="s">
        <v>767</v>
      </c>
      <c r="I165" s="9" t="s">
        <v>38</v>
      </c>
      <c r="J165" s="9" t="s">
        <v>160</v>
      </c>
      <c r="K165" s="8" t="s">
        <v>332</v>
      </c>
      <c r="L165" s="9" t="s">
        <v>39</v>
      </c>
      <c r="M165" s="9" t="s">
        <v>40</v>
      </c>
      <c r="N165" s="9" t="s">
        <v>39</v>
      </c>
      <c r="P165" s="9" t="s">
        <v>768</v>
      </c>
      <c r="Q165" s="9" t="s">
        <v>769</v>
      </c>
      <c r="R165" s="9" t="s">
        <v>42</v>
      </c>
      <c r="S165" s="10">
        <v>3000.0</v>
      </c>
      <c r="T165" s="11">
        <v>0.0</v>
      </c>
      <c r="U165" s="9">
        <v>0.0</v>
      </c>
      <c r="V165" s="9">
        <v>14.0</v>
      </c>
      <c r="W165" s="9" t="s">
        <v>770</v>
      </c>
      <c r="X165" s="9" t="s">
        <v>771</v>
      </c>
      <c r="Y165" s="9" t="s">
        <v>180</v>
      </c>
      <c r="Z165" s="9" t="s">
        <v>80</v>
      </c>
      <c r="AA165" s="9" t="s">
        <v>71</v>
      </c>
      <c r="AB165" s="9" t="s">
        <v>91</v>
      </c>
      <c r="AD165" s="9">
        <v>7.0</v>
      </c>
      <c r="AE165" s="9" t="s">
        <v>772</v>
      </c>
      <c r="AF165" s="9">
        <v>1.0</v>
      </c>
      <c r="AG165" s="12">
        <v>2500.0</v>
      </c>
      <c r="AH165" s="13"/>
    </row>
    <row r="166">
      <c r="A166" s="7">
        <v>44595.91848</v>
      </c>
      <c r="B166" s="8">
        <f t="shared" si="1"/>
        <v>2022</v>
      </c>
      <c r="C166" s="9" t="s">
        <v>73</v>
      </c>
      <c r="D166" s="9">
        <v>31.0</v>
      </c>
      <c r="E166" s="9" t="s">
        <v>35</v>
      </c>
      <c r="F166" s="9" t="s">
        <v>36</v>
      </c>
      <c r="G166" s="8" t="s">
        <v>50</v>
      </c>
      <c r="H166" s="8" t="s">
        <v>773</v>
      </c>
      <c r="I166" s="9" t="s">
        <v>38</v>
      </c>
      <c r="J166" s="9" t="s">
        <v>75</v>
      </c>
      <c r="K166" s="9" t="s">
        <v>337</v>
      </c>
      <c r="L166" s="9" t="s">
        <v>39</v>
      </c>
      <c r="M166" s="9" t="s">
        <v>40</v>
      </c>
      <c r="N166" s="9" t="s">
        <v>40</v>
      </c>
      <c r="Q166" s="9" t="s">
        <v>128</v>
      </c>
      <c r="R166" s="9" t="s">
        <v>42</v>
      </c>
      <c r="S166" s="10">
        <v>5400.0</v>
      </c>
      <c r="T166" s="11">
        <v>0.0</v>
      </c>
      <c r="U166" s="9">
        <v>0.0</v>
      </c>
      <c r="V166" s="9">
        <v>14.0</v>
      </c>
      <c r="W166" s="9" t="s">
        <v>774</v>
      </c>
      <c r="X166" s="9" t="s">
        <v>775</v>
      </c>
      <c r="Y166" s="9" t="s">
        <v>776</v>
      </c>
      <c r="Z166" s="9" t="s">
        <v>59</v>
      </c>
      <c r="AA166" s="9" t="s">
        <v>81</v>
      </c>
      <c r="AB166" s="9" t="s">
        <v>61</v>
      </c>
      <c r="AD166" s="9">
        <v>4.0</v>
      </c>
      <c r="AE166" s="9">
        <v>6.0</v>
      </c>
      <c r="AF166" s="9">
        <v>1.0</v>
      </c>
      <c r="AG166" s="12">
        <v>2500.0</v>
      </c>
      <c r="AH166" s="13"/>
    </row>
    <row r="167">
      <c r="A167" s="7">
        <v>44446.88178030093</v>
      </c>
      <c r="B167" s="8">
        <f t="shared" si="1"/>
        <v>2021</v>
      </c>
      <c r="C167" s="9" t="s">
        <v>49</v>
      </c>
      <c r="D167" s="9">
        <v>28.0</v>
      </c>
      <c r="E167" s="9" t="s">
        <v>35</v>
      </c>
      <c r="F167" s="9" t="s">
        <v>36</v>
      </c>
      <c r="G167" s="8" t="s">
        <v>124</v>
      </c>
      <c r="H167" s="9" t="s">
        <v>606</v>
      </c>
      <c r="I167" s="9" t="s">
        <v>38</v>
      </c>
      <c r="J167" s="9" t="s">
        <v>160</v>
      </c>
      <c r="K167" s="9" t="s">
        <v>84</v>
      </c>
      <c r="L167" s="9" t="s">
        <v>39</v>
      </c>
      <c r="M167" s="9" t="s">
        <v>40</v>
      </c>
      <c r="N167" s="9" t="s">
        <v>40</v>
      </c>
      <c r="Q167" s="9" t="s">
        <v>777</v>
      </c>
      <c r="R167" s="9" t="s">
        <v>42</v>
      </c>
      <c r="S167" s="10">
        <v>5500.0</v>
      </c>
      <c r="T167" s="11">
        <v>0.0</v>
      </c>
      <c r="U167" s="9">
        <v>0.0</v>
      </c>
      <c r="V167" s="9">
        <v>14.0</v>
      </c>
      <c r="W167" s="9" t="s">
        <v>778</v>
      </c>
      <c r="X167" s="9" t="s">
        <v>779</v>
      </c>
      <c r="Y167" s="9" t="s">
        <v>88</v>
      </c>
      <c r="Z167" s="9" t="s">
        <v>423</v>
      </c>
      <c r="AA167" s="9" t="s">
        <v>71</v>
      </c>
      <c r="AB167" s="9" t="s">
        <v>61</v>
      </c>
      <c r="AC167" s="9" t="s">
        <v>780</v>
      </c>
      <c r="AD167" s="9">
        <v>5.0</v>
      </c>
      <c r="AE167" s="9">
        <v>6.0</v>
      </c>
      <c r="AF167" s="9">
        <v>0.0</v>
      </c>
      <c r="AG167" s="12">
        <v>2500.0</v>
      </c>
      <c r="AH167" s="13"/>
    </row>
    <row r="168">
      <c r="A168" s="7">
        <v>44406.85332365741</v>
      </c>
      <c r="B168" s="8">
        <f t="shared" si="1"/>
        <v>2021</v>
      </c>
      <c r="C168" s="9" t="s">
        <v>49</v>
      </c>
      <c r="D168" s="9">
        <v>30.0</v>
      </c>
      <c r="E168" s="9" t="s">
        <v>35</v>
      </c>
      <c r="F168" s="9" t="s">
        <v>36</v>
      </c>
      <c r="G168" s="8" t="s">
        <v>50</v>
      </c>
      <c r="H168" s="9" t="s">
        <v>493</v>
      </c>
      <c r="I168" s="9" t="s">
        <v>38</v>
      </c>
      <c r="J168" s="9" t="s">
        <v>75</v>
      </c>
      <c r="K168" s="9" t="s">
        <v>221</v>
      </c>
      <c r="L168" s="9" t="s">
        <v>39</v>
      </c>
      <c r="M168" s="9" t="s">
        <v>40</v>
      </c>
      <c r="N168" s="9" t="s">
        <v>40</v>
      </c>
      <c r="Q168" s="9" t="s">
        <v>182</v>
      </c>
      <c r="R168" s="9" t="s">
        <v>42</v>
      </c>
      <c r="S168" s="10">
        <v>8000.0</v>
      </c>
      <c r="T168" s="11">
        <v>0.0</v>
      </c>
      <c r="U168" s="9">
        <v>0.0</v>
      </c>
      <c r="V168" s="9">
        <v>14.0</v>
      </c>
      <c r="W168" s="9" t="s">
        <v>781</v>
      </c>
      <c r="X168" s="9" t="s">
        <v>782</v>
      </c>
      <c r="Y168" s="9" t="s">
        <v>58</v>
      </c>
      <c r="Z168" s="9" t="s">
        <v>228</v>
      </c>
      <c r="AA168" s="9" t="s">
        <v>47</v>
      </c>
      <c r="AB168" s="9" t="s">
        <v>61</v>
      </c>
      <c r="AD168" s="9">
        <v>10.0</v>
      </c>
      <c r="AE168" s="9">
        <v>8.0</v>
      </c>
      <c r="AF168" s="9">
        <v>2.0</v>
      </c>
      <c r="AG168" s="12">
        <v>2500.0</v>
      </c>
      <c r="AH168" s="13"/>
    </row>
    <row r="169">
      <c r="A169" s="7">
        <v>44492.5206365162</v>
      </c>
      <c r="B169" s="8">
        <f t="shared" si="1"/>
        <v>2021</v>
      </c>
      <c r="C169" s="9" t="s">
        <v>49</v>
      </c>
      <c r="D169" s="9">
        <v>29.0</v>
      </c>
      <c r="E169" s="9" t="s">
        <v>35</v>
      </c>
      <c r="F169" s="9" t="s">
        <v>36</v>
      </c>
      <c r="G169" s="8" t="s">
        <v>50</v>
      </c>
      <c r="H169" s="8" t="s">
        <v>51</v>
      </c>
      <c r="I169" s="9" t="s">
        <v>38</v>
      </c>
      <c r="J169" s="9" t="s">
        <v>783</v>
      </c>
      <c r="K169" s="9" t="s">
        <v>161</v>
      </c>
      <c r="L169" s="9" t="s">
        <v>39</v>
      </c>
      <c r="M169" s="9" t="s">
        <v>39</v>
      </c>
      <c r="N169" s="9" t="s">
        <v>40</v>
      </c>
      <c r="O169" s="9" t="s">
        <v>784</v>
      </c>
      <c r="Q169" s="9" t="s">
        <v>548</v>
      </c>
      <c r="R169" s="9" t="s">
        <v>42</v>
      </c>
      <c r="S169" s="10">
        <v>5300.0</v>
      </c>
      <c r="T169" s="11">
        <v>5300.0</v>
      </c>
      <c r="U169" s="9">
        <v>0.0</v>
      </c>
      <c r="V169" s="9">
        <v>14.0</v>
      </c>
      <c r="W169" s="9" t="s">
        <v>785</v>
      </c>
      <c r="X169" s="9" t="s">
        <v>786</v>
      </c>
      <c r="Y169" s="9" t="s">
        <v>58</v>
      </c>
      <c r="Z169" s="9" t="s">
        <v>70</v>
      </c>
      <c r="AA169" s="9" t="s">
        <v>47</v>
      </c>
      <c r="AB169" s="9" t="s">
        <v>61</v>
      </c>
      <c r="AD169" s="9">
        <v>5.0</v>
      </c>
      <c r="AE169" s="9">
        <v>1.0</v>
      </c>
      <c r="AF169" s="9">
        <v>3.0</v>
      </c>
      <c r="AG169" s="12">
        <v>2500.0</v>
      </c>
      <c r="AH169" s="13"/>
    </row>
    <row r="170">
      <c r="A170" s="7">
        <v>44426.57434366898</v>
      </c>
      <c r="B170" s="8">
        <f t="shared" si="1"/>
        <v>2021</v>
      </c>
      <c r="C170" s="9" t="s">
        <v>49</v>
      </c>
      <c r="D170" s="9">
        <v>36.0</v>
      </c>
      <c r="E170" s="9" t="s">
        <v>35</v>
      </c>
      <c r="F170" s="9" t="s">
        <v>36</v>
      </c>
      <c r="G170" s="8" t="s">
        <v>50</v>
      </c>
      <c r="H170" s="8" t="s">
        <v>82</v>
      </c>
      <c r="I170" s="9" t="s">
        <v>38</v>
      </c>
      <c r="J170" s="9" t="s">
        <v>75</v>
      </c>
      <c r="K170" s="9" t="s">
        <v>66</v>
      </c>
      <c r="L170" s="9" t="s">
        <v>39</v>
      </c>
      <c r="M170" s="9" t="s">
        <v>40</v>
      </c>
      <c r="N170" s="9" t="s">
        <v>40</v>
      </c>
      <c r="Q170" s="9" t="s">
        <v>119</v>
      </c>
      <c r="R170" s="9" t="s">
        <v>42</v>
      </c>
      <c r="S170" s="10">
        <v>7000.0</v>
      </c>
      <c r="T170" s="11">
        <v>10000.0</v>
      </c>
      <c r="U170" s="9">
        <v>0.0</v>
      </c>
      <c r="V170" s="9">
        <v>14.0</v>
      </c>
      <c r="W170" s="9" t="s">
        <v>787</v>
      </c>
      <c r="X170" s="9" t="s">
        <v>788</v>
      </c>
      <c r="Y170" s="9" t="s">
        <v>50</v>
      </c>
      <c r="Z170" s="9" t="s">
        <v>347</v>
      </c>
      <c r="AA170" s="9" t="s">
        <v>47</v>
      </c>
      <c r="AB170" s="9" t="s">
        <v>61</v>
      </c>
      <c r="AC170" s="9" t="s">
        <v>789</v>
      </c>
      <c r="AD170" s="9">
        <v>6.0</v>
      </c>
      <c r="AE170" s="9">
        <v>7.0</v>
      </c>
      <c r="AF170" s="9">
        <v>2.0</v>
      </c>
      <c r="AG170" s="12">
        <v>2500.0</v>
      </c>
      <c r="AH170" s="13"/>
    </row>
    <row r="171">
      <c r="A171" s="7">
        <v>44576.91933576389</v>
      </c>
      <c r="B171" s="8">
        <f t="shared" si="1"/>
        <v>2022</v>
      </c>
      <c r="C171" s="9" t="s">
        <v>49</v>
      </c>
      <c r="D171" s="9">
        <v>27.0</v>
      </c>
      <c r="E171" s="9" t="s">
        <v>35</v>
      </c>
      <c r="F171" s="9" t="s">
        <v>36</v>
      </c>
      <c r="G171" s="8" t="s">
        <v>50</v>
      </c>
      <c r="H171" s="8" t="s">
        <v>493</v>
      </c>
      <c r="I171" s="9" t="s">
        <v>38</v>
      </c>
      <c r="J171" s="9" t="s">
        <v>790</v>
      </c>
      <c r="K171" s="9" t="s">
        <v>200</v>
      </c>
      <c r="L171" s="9" t="s">
        <v>39</v>
      </c>
      <c r="M171" s="9" t="s">
        <v>40</v>
      </c>
      <c r="N171" s="9" t="s">
        <v>39</v>
      </c>
      <c r="P171" s="9" t="s">
        <v>398</v>
      </c>
      <c r="Q171" s="9" t="s">
        <v>791</v>
      </c>
      <c r="R171" s="9" t="s">
        <v>42</v>
      </c>
      <c r="S171" s="10">
        <v>6160.0</v>
      </c>
      <c r="T171" s="11">
        <v>7600.0</v>
      </c>
      <c r="V171" s="9">
        <v>14.0</v>
      </c>
      <c r="W171" s="9" t="s">
        <v>792</v>
      </c>
      <c r="X171" s="9" t="s">
        <v>793</v>
      </c>
      <c r="Y171" s="9" t="s">
        <v>58</v>
      </c>
      <c r="Z171" s="9" t="s">
        <v>89</v>
      </c>
      <c r="AA171" s="9" t="s">
        <v>90</v>
      </c>
      <c r="AB171" s="9" t="s">
        <v>91</v>
      </c>
      <c r="AD171" s="9">
        <v>8.0</v>
      </c>
      <c r="AE171" s="9">
        <v>3.0</v>
      </c>
      <c r="AF171" s="9">
        <v>2.0</v>
      </c>
      <c r="AG171" s="12">
        <v>2500.0</v>
      </c>
      <c r="AH171" s="13"/>
    </row>
    <row r="172">
      <c r="A172" s="7">
        <v>44404.951853935185</v>
      </c>
      <c r="B172" s="8">
        <f t="shared" si="1"/>
        <v>2021</v>
      </c>
      <c r="C172" s="9" t="s">
        <v>49</v>
      </c>
      <c r="D172" s="9">
        <v>33.0</v>
      </c>
      <c r="E172" s="9" t="s">
        <v>35</v>
      </c>
      <c r="F172" s="9" t="s">
        <v>36</v>
      </c>
      <c r="G172" s="8" t="s">
        <v>50</v>
      </c>
      <c r="H172" s="9" t="s">
        <v>493</v>
      </c>
      <c r="I172" s="9" t="s">
        <v>247</v>
      </c>
      <c r="J172" s="9" t="s">
        <v>794</v>
      </c>
      <c r="K172" s="9" t="s">
        <v>795</v>
      </c>
      <c r="L172" s="9" t="s">
        <v>39</v>
      </c>
      <c r="M172" s="9" t="s">
        <v>40</v>
      </c>
      <c r="N172" s="9" t="s">
        <v>40</v>
      </c>
      <c r="Q172" s="9" t="s">
        <v>796</v>
      </c>
      <c r="R172" s="9" t="s">
        <v>42</v>
      </c>
      <c r="S172" s="10">
        <v>5000.0</v>
      </c>
      <c r="T172" s="11">
        <v>10000.0</v>
      </c>
      <c r="V172" s="9">
        <v>14.0</v>
      </c>
      <c r="W172" s="9" t="s">
        <v>797</v>
      </c>
      <c r="X172" s="9" t="s">
        <v>798</v>
      </c>
      <c r="Y172" s="9" t="s">
        <v>799</v>
      </c>
      <c r="Z172" s="9" t="s">
        <v>89</v>
      </c>
      <c r="AA172" s="9" t="s">
        <v>90</v>
      </c>
      <c r="AB172" s="9" t="s">
        <v>61</v>
      </c>
      <c r="AD172" s="9">
        <v>7.0</v>
      </c>
      <c r="AE172" s="9">
        <v>1.5</v>
      </c>
      <c r="AF172" s="9">
        <v>1.0</v>
      </c>
      <c r="AG172" s="12">
        <v>2500.0</v>
      </c>
      <c r="AH172" s="13"/>
    </row>
    <row r="173">
      <c r="A173" s="7">
        <v>44408.80486672454</v>
      </c>
      <c r="B173" s="8">
        <f t="shared" si="1"/>
        <v>2021</v>
      </c>
      <c r="C173" s="9" t="s">
        <v>49</v>
      </c>
      <c r="D173" s="9">
        <v>36.0</v>
      </c>
      <c r="E173" s="9" t="s">
        <v>35</v>
      </c>
      <c r="F173" s="9" t="s">
        <v>36</v>
      </c>
      <c r="G173" s="8" t="s">
        <v>50</v>
      </c>
      <c r="H173" s="9" t="s">
        <v>800</v>
      </c>
      <c r="I173" s="9" t="s">
        <v>247</v>
      </c>
      <c r="J173" s="9" t="s">
        <v>126</v>
      </c>
      <c r="K173" s="9" t="s">
        <v>66</v>
      </c>
      <c r="L173" s="9" t="s">
        <v>39</v>
      </c>
      <c r="M173" s="9" t="s">
        <v>40</v>
      </c>
      <c r="N173" s="9" t="s">
        <v>40</v>
      </c>
      <c r="Q173" s="9" t="s">
        <v>128</v>
      </c>
      <c r="R173" s="9" t="s">
        <v>42</v>
      </c>
      <c r="S173" s="10">
        <v>8000.0</v>
      </c>
      <c r="T173" s="11">
        <v>0.0</v>
      </c>
      <c r="U173" s="9">
        <v>0.0</v>
      </c>
      <c r="V173" s="9">
        <v>16.0</v>
      </c>
      <c r="W173" s="9" t="s">
        <v>801</v>
      </c>
      <c r="X173" s="9" t="s">
        <v>802</v>
      </c>
      <c r="Y173" s="9" t="s">
        <v>122</v>
      </c>
      <c r="Z173" s="9" t="s">
        <v>803</v>
      </c>
      <c r="AA173" s="9" t="s">
        <v>60</v>
      </c>
      <c r="AB173" s="9" t="s">
        <v>61</v>
      </c>
      <c r="AD173" s="9">
        <v>8.0</v>
      </c>
      <c r="AE173" s="9">
        <v>7.0</v>
      </c>
      <c r="AF173" s="9">
        <v>2.0</v>
      </c>
      <c r="AG173" s="12">
        <v>2500.0</v>
      </c>
      <c r="AH173" s="13"/>
    </row>
    <row r="174">
      <c r="A174" s="7">
        <v>44590.52244212963</v>
      </c>
      <c r="B174" s="8">
        <f t="shared" si="1"/>
        <v>2022</v>
      </c>
      <c r="C174" s="9" t="s">
        <v>49</v>
      </c>
      <c r="D174" s="9">
        <v>31.0</v>
      </c>
      <c r="E174" s="9" t="s">
        <v>142</v>
      </c>
      <c r="F174" s="9" t="s">
        <v>36</v>
      </c>
      <c r="G174" s="9" t="s">
        <v>412</v>
      </c>
      <c r="H174" s="9" t="s">
        <v>625</v>
      </c>
      <c r="I174" s="9" t="s">
        <v>247</v>
      </c>
      <c r="J174" s="9" t="s">
        <v>126</v>
      </c>
      <c r="K174" s="9" t="s">
        <v>680</v>
      </c>
      <c r="L174" s="9" t="s">
        <v>39</v>
      </c>
      <c r="M174" s="9" t="s">
        <v>40</v>
      </c>
      <c r="N174" s="9" t="s">
        <v>40</v>
      </c>
      <c r="Q174" s="9" t="s">
        <v>308</v>
      </c>
      <c r="R174" s="9" t="s">
        <v>42</v>
      </c>
      <c r="S174" s="10">
        <v>6000.0</v>
      </c>
      <c r="T174" s="11">
        <v>6000.0</v>
      </c>
      <c r="V174" s="9">
        <v>16.0</v>
      </c>
      <c r="W174" s="9" t="s">
        <v>804</v>
      </c>
      <c r="X174" s="9" t="s">
        <v>805</v>
      </c>
      <c r="Y174" s="9" t="s">
        <v>625</v>
      </c>
      <c r="Z174" s="9" t="s">
        <v>481</v>
      </c>
      <c r="AA174" s="9" t="s">
        <v>47</v>
      </c>
      <c r="AB174" s="9" t="s">
        <v>61</v>
      </c>
      <c r="AD174" s="9">
        <v>5.0</v>
      </c>
      <c r="AE174" s="9">
        <v>7.0</v>
      </c>
      <c r="AF174" s="9">
        <v>1.0</v>
      </c>
      <c r="AG174" s="12">
        <v>2500.0</v>
      </c>
      <c r="AH174" s="13"/>
    </row>
    <row r="175">
      <c r="A175" s="7">
        <v>44507.40774596065</v>
      </c>
      <c r="B175" s="8">
        <f t="shared" si="1"/>
        <v>2021</v>
      </c>
      <c r="C175" s="9" t="s">
        <v>49</v>
      </c>
      <c r="D175" s="9">
        <v>32.0</v>
      </c>
      <c r="E175" s="9" t="s">
        <v>35</v>
      </c>
      <c r="F175" s="9" t="s">
        <v>36</v>
      </c>
      <c r="G175" s="8" t="s">
        <v>50</v>
      </c>
      <c r="H175" s="9" t="s">
        <v>206</v>
      </c>
      <c r="I175" s="9" t="s">
        <v>38</v>
      </c>
      <c r="J175" s="9" t="s">
        <v>806</v>
      </c>
      <c r="K175" s="9" t="s">
        <v>807</v>
      </c>
      <c r="L175" s="9" t="s">
        <v>39</v>
      </c>
      <c r="M175" s="9" t="s">
        <v>40</v>
      </c>
      <c r="N175" s="9" t="s">
        <v>40</v>
      </c>
      <c r="Q175" s="9" t="s">
        <v>152</v>
      </c>
      <c r="R175" s="9" t="s">
        <v>42</v>
      </c>
      <c r="S175" s="10">
        <v>11350.0</v>
      </c>
      <c r="T175" s="11">
        <v>22700.0</v>
      </c>
      <c r="V175" s="9">
        <v>16.0</v>
      </c>
      <c r="W175" s="9" t="s">
        <v>808</v>
      </c>
      <c r="X175" s="9" t="s">
        <v>809</v>
      </c>
      <c r="Y175" s="9" t="s">
        <v>810</v>
      </c>
      <c r="Z175" s="9" t="s">
        <v>481</v>
      </c>
      <c r="AA175" s="9" t="s">
        <v>81</v>
      </c>
      <c r="AB175" s="9" t="s">
        <v>91</v>
      </c>
      <c r="AC175" s="9" t="s">
        <v>811</v>
      </c>
      <c r="AD175" s="9">
        <v>9.0</v>
      </c>
      <c r="AE175" s="9">
        <v>10.0</v>
      </c>
      <c r="AF175" s="9">
        <v>6.0</v>
      </c>
      <c r="AG175" s="12">
        <v>2500.0</v>
      </c>
      <c r="AH175" s="13"/>
    </row>
    <row r="176">
      <c r="A176" s="7">
        <v>44406.08215457176</v>
      </c>
      <c r="B176" s="8">
        <f t="shared" si="1"/>
        <v>2021</v>
      </c>
      <c r="C176" s="9" t="s">
        <v>49</v>
      </c>
      <c r="D176" s="9">
        <v>27.0</v>
      </c>
      <c r="E176" s="9" t="s">
        <v>35</v>
      </c>
      <c r="F176" s="9" t="s">
        <v>36</v>
      </c>
      <c r="G176" s="8" t="s">
        <v>50</v>
      </c>
      <c r="H176" s="9" t="s">
        <v>812</v>
      </c>
      <c r="I176" s="9" t="s">
        <v>38</v>
      </c>
      <c r="J176" s="9" t="s">
        <v>83</v>
      </c>
      <c r="K176" s="9" t="s">
        <v>327</v>
      </c>
      <c r="L176" s="9" t="s">
        <v>39</v>
      </c>
      <c r="M176" s="9" t="s">
        <v>40</v>
      </c>
      <c r="N176" s="9" t="s">
        <v>40</v>
      </c>
      <c r="Q176" s="9" t="s">
        <v>272</v>
      </c>
      <c r="R176" s="9" t="s">
        <v>42</v>
      </c>
      <c r="S176" s="10">
        <v>2900.0</v>
      </c>
      <c r="T176" s="11">
        <v>0.0</v>
      </c>
      <c r="U176" s="9">
        <v>0.0</v>
      </c>
      <c r="V176" s="9">
        <v>18.0</v>
      </c>
      <c r="W176" s="9" t="s">
        <v>456</v>
      </c>
      <c r="X176" s="9" t="s">
        <v>813</v>
      </c>
      <c r="Y176" s="9" t="s">
        <v>812</v>
      </c>
      <c r="Z176" s="9" t="s">
        <v>59</v>
      </c>
      <c r="AA176" s="9" t="s">
        <v>47</v>
      </c>
      <c r="AB176" s="9" t="s">
        <v>61</v>
      </c>
      <c r="AD176" s="9">
        <v>6.0</v>
      </c>
      <c r="AE176" s="9">
        <v>2.0</v>
      </c>
      <c r="AF176" s="9">
        <v>1.0</v>
      </c>
      <c r="AG176" s="12">
        <v>2500.0</v>
      </c>
      <c r="AH176" s="13"/>
    </row>
    <row r="177">
      <c r="A177" s="7">
        <v>44405.34007856481</v>
      </c>
      <c r="B177" s="8">
        <f t="shared" si="1"/>
        <v>2021</v>
      </c>
      <c r="C177" s="9" t="s">
        <v>49</v>
      </c>
      <c r="D177" s="9">
        <v>40.0</v>
      </c>
      <c r="E177" s="9" t="s">
        <v>35</v>
      </c>
      <c r="F177" s="9" t="s">
        <v>36</v>
      </c>
      <c r="G177" s="8" t="s">
        <v>50</v>
      </c>
      <c r="H177" s="8" t="s">
        <v>180</v>
      </c>
      <c r="I177" s="9" t="s">
        <v>247</v>
      </c>
      <c r="J177" s="9" t="s">
        <v>75</v>
      </c>
      <c r="K177" s="9" t="s">
        <v>337</v>
      </c>
      <c r="L177" s="9" t="s">
        <v>39</v>
      </c>
      <c r="M177" s="9" t="s">
        <v>40</v>
      </c>
      <c r="N177" s="9" t="s">
        <v>40</v>
      </c>
      <c r="Q177" s="9" t="s">
        <v>249</v>
      </c>
      <c r="R177" s="9" t="s">
        <v>42</v>
      </c>
      <c r="S177" s="10">
        <v>30000.0</v>
      </c>
      <c r="T177" s="11">
        <v>0.0</v>
      </c>
      <c r="U177" s="20">
        <v>0.1</v>
      </c>
      <c r="V177" s="9">
        <v>18.0</v>
      </c>
      <c r="W177" s="9" t="s">
        <v>814</v>
      </c>
      <c r="X177" s="9" t="s">
        <v>815</v>
      </c>
      <c r="Y177" s="9" t="s">
        <v>88</v>
      </c>
      <c r="Z177" s="9" t="s">
        <v>70</v>
      </c>
      <c r="AA177" s="9" t="s">
        <v>71</v>
      </c>
      <c r="AB177" s="9" t="s">
        <v>61</v>
      </c>
      <c r="AD177" s="9">
        <v>10.0</v>
      </c>
      <c r="AE177" s="9">
        <v>16.0</v>
      </c>
      <c r="AF177" s="9">
        <v>5.0</v>
      </c>
      <c r="AG177" s="12">
        <v>2500.0</v>
      </c>
      <c r="AH177" s="13"/>
    </row>
    <row r="178">
      <c r="A178" s="7">
        <v>44620.92067755787</v>
      </c>
      <c r="B178" s="8">
        <f t="shared" si="1"/>
        <v>2022</v>
      </c>
      <c r="C178" s="9" t="s">
        <v>49</v>
      </c>
      <c r="D178" s="9">
        <v>33.0</v>
      </c>
      <c r="E178" s="9" t="s">
        <v>35</v>
      </c>
      <c r="F178" s="9" t="s">
        <v>36</v>
      </c>
      <c r="G178" s="8" t="s">
        <v>124</v>
      </c>
      <c r="H178" s="9" t="s">
        <v>206</v>
      </c>
      <c r="I178" s="9" t="s">
        <v>38</v>
      </c>
      <c r="J178" s="9" t="s">
        <v>75</v>
      </c>
      <c r="K178" s="9" t="s">
        <v>84</v>
      </c>
      <c r="L178" s="9" t="s">
        <v>39</v>
      </c>
      <c r="M178" s="9" t="s">
        <v>40</v>
      </c>
      <c r="N178" s="9" t="s">
        <v>40</v>
      </c>
      <c r="Q178" s="9" t="s">
        <v>308</v>
      </c>
      <c r="R178" s="9" t="s">
        <v>42</v>
      </c>
      <c r="S178" s="10">
        <v>13000.0</v>
      </c>
      <c r="T178" s="11">
        <v>13000.0</v>
      </c>
      <c r="V178" s="9">
        <v>18.0</v>
      </c>
      <c r="W178" s="9" t="s">
        <v>463</v>
      </c>
      <c r="X178" s="9" t="s">
        <v>816</v>
      </c>
      <c r="Y178" s="9" t="s">
        <v>349</v>
      </c>
      <c r="Z178" s="9" t="s">
        <v>817</v>
      </c>
      <c r="AA178" s="9" t="s">
        <v>60</v>
      </c>
      <c r="AB178" s="9" t="s">
        <v>61</v>
      </c>
      <c r="AD178" s="9">
        <v>9.0</v>
      </c>
      <c r="AE178" s="9">
        <v>10.0</v>
      </c>
      <c r="AF178" s="9">
        <v>3.0</v>
      </c>
      <c r="AG178" s="12">
        <v>2500.0</v>
      </c>
      <c r="AH178" s="13"/>
    </row>
    <row r="179">
      <c r="A179" s="7">
        <v>44509.12076515047</v>
      </c>
      <c r="B179" s="8">
        <f t="shared" si="1"/>
        <v>2021</v>
      </c>
      <c r="C179" s="9" t="s">
        <v>49</v>
      </c>
      <c r="D179" s="9">
        <v>32.0</v>
      </c>
      <c r="E179" s="9" t="s">
        <v>35</v>
      </c>
      <c r="F179" s="9" t="s">
        <v>246</v>
      </c>
      <c r="G179" s="8" t="s">
        <v>246</v>
      </c>
      <c r="H179" s="9" t="s">
        <v>246</v>
      </c>
      <c r="I179" s="9" t="s">
        <v>38</v>
      </c>
      <c r="J179" s="9" t="s">
        <v>160</v>
      </c>
      <c r="K179" s="9" t="s">
        <v>161</v>
      </c>
      <c r="L179" s="9" t="s">
        <v>39</v>
      </c>
      <c r="M179" s="9" t="s">
        <v>40</v>
      </c>
      <c r="N179" s="9" t="s">
        <v>40</v>
      </c>
      <c r="Q179" s="9" t="s">
        <v>128</v>
      </c>
      <c r="R179" s="9" t="s">
        <v>250</v>
      </c>
      <c r="S179" s="10">
        <v>5600.0</v>
      </c>
      <c r="T179" s="11">
        <v>0.0</v>
      </c>
      <c r="U179" s="9">
        <v>0.0</v>
      </c>
      <c r="V179" s="9">
        <v>20.0</v>
      </c>
      <c r="W179" s="9" t="s">
        <v>818</v>
      </c>
      <c r="X179" s="9" t="s">
        <v>819</v>
      </c>
      <c r="Y179" s="9" t="s">
        <v>820</v>
      </c>
      <c r="Z179" s="9" t="s">
        <v>59</v>
      </c>
      <c r="AA179" s="9" t="s">
        <v>90</v>
      </c>
      <c r="AB179" s="9" t="s">
        <v>61</v>
      </c>
      <c r="AD179" s="9">
        <v>6.0</v>
      </c>
      <c r="AE179" s="9">
        <v>7.0</v>
      </c>
      <c r="AF179" s="9">
        <v>3.0</v>
      </c>
      <c r="AG179" s="12">
        <v>2500.0</v>
      </c>
      <c r="AH179" s="13"/>
    </row>
    <row r="180">
      <c r="A180" s="7">
        <v>44421.761887546294</v>
      </c>
      <c r="B180" s="8">
        <f t="shared" si="1"/>
        <v>2021</v>
      </c>
      <c r="C180" s="9" t="s">
        <v>49</v>
      </c>
      <c r="D180" s="9">
        <v>31.0</v>
      </c>
      <c r="E180" s="9" t="s">
        <v>35</v>
      </c>
      <c r="F180" s="9" t="s">
        <v>36</v>
      </c>
      <c r="G180" s="8" t="s">
        <v>124</v>
      </c>
      <c r="H180" s="9" t="s">
        <v>156</v>
      </c>
      <c r="I180" s="9" t="s">
        <v>38</v>
      </c>
      <c r="J180" s="9" t="s">
        <v>75</v>
      </c>
      <c r="K180" s="9" t="s">
        <v>821</v>
      </c>
      <c r="L180" s="9" t="s">
        <v>39</v>
      </c>
      <c r="M180" s="9" t="s">
        <v>40</v>
      </c>
      <c r="N180" s="9" t="s">
        <v>40</v>
      </c>
      <c r="Q180" s="9" t="s">
        <v>128</v>
      </c>
      <c r="R180" s="9" t="s">
        <v>42</v>
      </c>
      <c r="S180" s="10">
        <v>7500.0</v>
      </c>
      <c r="T180" s="11">
        <v>6500.0</v>
      </c>
      <c r="U180" s="9">
        <v>0.0</v>
      </c>
      <c r="V180" s="9">
        <v>20.0</v>
      </c>
      <c r="W180" s="9" t="s">
        <v>822</v>
      </c>
      <c r="X180" s="9" t="s">
        <v>224</v>
      </c>
      <c r="Y180" s="9" t="s">
        <v>122</v>
      </c>
      <c r="Z180" s="9" t="s">
        <v>59</v>
      </c>
      <c r="AA180" s="9" t="s">
        <v>81</v>
      </c>
      <c r="AB180" s="9" t="s">
        <v>61</v>
      </c>
      <c r="AD180" s="9">
        <v>8.0</v>
      </c>
      <c r="AE180" s="9">
        <v>7.0</v>
      </c>
      <c r="AF180" s="9">
        <v>2.0</v>
      </c>
      <c r="AG180" s="12">
        <v>2500.0</v>
      </c>
      <c r="AH180" s="13"/>
    </row>
    <row r="181">
      <c r="A181" s="7">
        <v>44625.07232770833</v>
      </c>
      <c r="B181" s="8">
        <f t="shared" si="1"/>
        <v>2022</v>
      </c>
      <c r="C181" s="9" t="s">
        <v>49</v>
      </c>
      <c r="D181" s="9">
        <v>41.0</v>
      </c>
      <c r="E181" s="9" t="s">
        <v>35</v>
      </c>
      <c r="F181" s="9" t="s">
        <v>246</v>
      </c>
      <c r="G181" s="8" t="s">
        <v>246</v>
      </c>
      <c r="H181" s="9" t="s">
        <v>246</v>
      </c>
      <c r="I181" s="9" t="s">
        <v>38</v>
      </c>
      <c r="J181" s="9" t="s">
        <v>143</v>
      </c>
      <c r="K181" s="9" t="s">
        <v>66</v>
      </c>
      <c r="L181" s="9" t="s">
        <v>40</v>
      </c>
      <c r="M181" s="9" t="s">
        <v>40</v>
      </c>
      <c r="N181" s="9" t="s">
        <v>39</v>
      </c>
      <c r="P181" s="9" t="s">
        <v>823</v>
      </c>
      <c r="Q181" s="9" t="s">
        <v>119</v>
      </c>
      <c r="R181" s="9" t="s">
        <v>250</v>
      </c>
      <c r="S181" s="10">
        <v>9700.0</v>
      </c>
      <c r="T181" s="11">
        <v>9700.0</v>
      </c>
      <c r="U181" s="9">
        <v>0.0</v>
      </c>
      <c r="V181" s="9">
        <v>22.0</v>
      </c>
      <c r="W181" s="9" t="s">
        <v>824</v>
      </c>
      <c r="X181" s="9" t="s">
        <v>825</v>
      </c>
      <c r="Y181" s="9" t="s">
        <v>820</v>
      </c>
      <c r="Z181" s="9" t="s">
        <v>185</v>
      </c>
      <c r="AA181" s="9" t="s">
        <v>90</v>
      </c>
      <c r="AB181" s="9" t="s">
        <v>91</v>
      </c>
      <c r="AD181" s="9">
        <v>7.0</v>
      </c>
      <c r="AE181" s="9">
        <v>12.0</v>
      </c>
      <c r="AF181" s="9">
        <v>4.0</v>
      </c>
      <c r="AG181" s="12">
        <v>2500.0</v>
      </c>
      <c r="AH181" s="13"/>
    </row>
    <row r="182">
      <c r="A182" s="7">
        <v>44579.63087033565</v>
      </c>
      <c r="B182" s="8">
        <f t="shared" si="1"/>
        <v>2022</v>
      </c>
      <c r="C182" s="9" t="s">
        <v>73</v>
      </c>
      <c r="D182" s="9">
        <v>29.0</v>
      </c>
      <c r="E182" s="9" t="s">
        <v>35</v>
      </c>
      <c r="F182" s="9" t="s">
        <v>36</v>
      </c>
      <c r="G182" s="9" t="s">
        <v>124</v>
      </c>
      <c r="H182" s="8" t="s">
        <v>37</v>
      </c>
      <c r="I182" s="9" t="s">
        <v>247</v>
      </c>
      <c r="J182" s="9" t="s">
        <v>826</v>
      </c>
      <c r="L182" s="9" t="s">
        <v>40</v>
      </c>
      <c r="M182" s="9" t="s">
        <v>39</v>
      </c>
      <c r="N182" s="9" t="s">
        <v>40</v>
      </c>
      <c r="Q182" s="8" t="s">
        <v>293</v>
      </c>
      <c r="R182" s="9" t="s">
        <v>42</v>
      </c>
      <c r="S182" s="10">
        <v>5319.0</v>
      </c>
      <c r="T182" s="11" t="s">
        <v>37</v>
      </c>
      <c r="V182" s="9">
        <v>24.0</v>
      </c>
      <c r="W182" s="9" t="s">
        <v>827</v>
      </c>
      <c r="X182" s="9" t="s">
        <v>78</v>
      </c>
      <c r="Y182" s="9" t="s">
        <v>131</v>
      </c>
      <c r="Z182" s="9" t="s">
        <v>59</v>
      </c>
      <c r="AA182" s="9" t="s">
        <v>60</v>
      </c>
      <c r="AB182" s="9" t="s">
        <v>61</v>
      </c>
      <c r="AD182" s="9">
        <v>5.0</v>
      </c>
      <c r="AE182" s="9">
        <v>4.0</v>
      </c>
      <c r="AF182" s="9">
        <v>1.0</v>
      </c>
      <c r="AG182" s="12">
        <v>2500.0</v>
      </c>
      <c r="AH182" s="13"/>
    </row>
    <row r="183">
      <c r="A183" s="7">
        <v>44410.58550534722</v>
      </c>
      <c r="B183" s="8">
        <f t="shared" si="1"/>
        <v>2021</v>
      </c>
      <c r="C183" s="9" t="s">
        <v>49</v>
      </c>
      <c r="D183" s="9">
        <v>29.0</v>
      </c>
      <c r="E183" s="9" t="s">
        <v>35</v>
      </c>
      <c r="F183" s="9" t="s">
        <v>36</v>
      </c>
      <c r="G183" s="8" t="s">
        <v>124</v>
      </c>
      <c r="H183" s="9" t="s">
        <v>206</v>
      </c>
      <c r="I183" s="9" t="s">
        <v>38</v>
      </c>
      <c r="J183" s="9" t="s">
        <v>828</v>
      </c>
      <c r="K183" s="9" t="s">
        <v>84</v>
      </c>
      <c r="L183" s="9" t="s">
        <v>40</v>
      </c>
      <c r="M183" s="9" t="s">
        <v>39</v>
      </c>
      <c r="N183" s="9" t="s">
        <v>40</v>
      </c>
      <c r="O183" s="9" t="s">
        <v>642</v>
      </c>
      <c r="Q183" s="9" t="s">
        <v>146</v>
      </c>
      <c r="R183" s="9" t="s">
        <v>42</v>
      </c>
      <c r="S183" s="10">
        <v>285000.0</v>
      </c>
      <c r="T183" s="11">
        <v>0.0</v>
      </c>
      <c r="U183" s="9">
        <v>0.0</v>
      </c>
      <c r="V183" s="9">
        <v>28.0</v>
      </c>
      <c r="W183" s="9" t="s">
        <v>829</v>
      </c>
      <c r="X183" s="9" t="s">
        <v>830</v>
      </c>
      <c r="Y183" s="9" t="s">
        <v>831</v>
      </c>
      <c r="Z183" s="9" t="s">
        <v>832</v>
      </c>
      <c r="AA183" s="9" t="s">
        <v>47</v>
      </c>
      <c r="AB183" s="9" t="s">
        <v>61</v>
      </c>
      <c r="AD183" s="9">
        <v>8.0</v>
      </c>
      <c r="AE183" s="9">
        <v>4.0</v>
      </c>
      <c r="AF183" s="9">
        <v>3.0</v>
      </c>
      <c r="AG183" s="12">
        <v>2500.0</v>
      </c>
      <c r="AH183" s="13"/>
    </row>
    <row r="184">
      <c r="A184" s="14">
        <v>44403.83817321759</v>
      </c>
      <c r="B184" s="8">
        <f t="shared" si="1"/>
        <v>2021</v>
      </c>
      <c r="C184" s="8" t="s">
        <v>49</v>
      </c>
      <c r="D184" s="8">
        <v>27.0</v>
      </c>
      <c r="E184" s="8" t="s">
        <v>35</v>
      </c>
      <c r="F184" s="8" t="s">
        <v>36</v>
      </c>
      <c r="G184" s="8" t="s">
        <v>186</v>
      </c>
      <c r="H184" s="8" t="s">
        <v>833</v>
      </c>
      <c r="I184" s="8" t="s">
        <v>38</v>
      </c>
      <c r="J184" s="9" t="s">
        <v>75</v>
      </c>
      <c r="K184" s="9" t="s">
        <v>84</v>
      </c>
      <c r="L184" s="8" t="s">
        <v>39</v>
      </c>
      <c r="M184" s="8" t="s">
        <v>40</v>
      </c>
      <c r="N184" s="8" t="s">
        <v>40</v>
      </c>
      <c r="O184" s="15"/>
      <c r="P184" s="15"/>
      <c r="Q184" s="8" t="s">
        <v>182</v>
      </c>
      <c r="R184" s="9" t="s">
        <v>42</v>
      </c>
      <c r="S184" s="16">
        <v>4000.0</v>
      </c>
      <c r="T184" s="17">
        <v>3000.0</v>
      </c>
      <c r="U184" s="8">
        <v>0.0</v>
      </c>
      <c r="V184" s="8">
        <v>0.0</v>
      </c>
      <c r="W184" s="8" t="s">
        <v>834</v>
      </c>
      <c r="X184" s="8" t="s">
        <v>103</v>
      </c>
      <c r="Y184" s="8" t="s">
        <v>835</v>
      </c>
      <c r="Z184" s="8" t="s">
        <v>70</v>
      </c>
      <c r="AA184" s="8" t="s">
        <v>47</v>
      </c>
      <c r="AB184" s="8" t="s">
        <v>61</v>
      </c>
      <c r="AC184" s="15"/>
      <c r="AD184" s="8">
        <v>8.0</v>
      </c>
      <c r="AE184" s="8">
        <v>7.0</v>
      </c>
      <c r="AF184" s="8">
        <v>0.0</v>
      </c>
      <c r="AG184" s="18">
        <v>2500.0</v>
      </c>
      <c r="AH184" s="13"/>
      <c r="AI184" s="15"/>
      <c r="AJ184" s="15"/>
      <c r="AK184" s="15"/>
      <c r="AL184" s="15"/>
      <c r="AM184" s="15"/>
      <c r="AN184" s="15"/>
    </row>
    <row r="185">
      <c r="A185" s="7">
        <v>44403.9215419213</v>
      </c>
      <c r="B185" s="8">
        <f t="shared" si="1"/>
        <v>2021</v>
      </c>
      <c r="C185" s="9" t="s">
        <v>73</v>
      </c>
      <c r="D185" s="9">
        <v>26.0</v>
      </c>
      <c r="E185" s="9" t="s">
        <v>35</v>
      </c>
      <c r="F185" s="9" t="s">
        <v>36</v>
      </c>
      <c r="G185" s="8" t="s">
        <v>515</v>
      </c>
      <c r="H185" s="9" t="s">
        <v>836</v>
      </c>
      <c r="I185" s="9" t="s">
        <v>38</v>
      </c>
      <c r="J185" s="9" t="s">
        <v>75</v>
      </c>
      <c r="K185" s="9" t="s">
        <v>84</v>
      </c>
      <c r="L185" s="9" t="s">
        <v>39</v>
      </c>
      <c r="M185" s="9" t="s">
        <v>40</v>
      </c>
      <c r="N185" s="9" t="s">
        <v>40</v>
      </c>
      <c r="Q185" s="9" t="s">
        <v>837</v>
      </c>
      <c r="R185" s="9" t="s">
        <v>42</v>
      </c>
      <c r="S185" s="10">
        <v>4500.0</v>
      </c>
      <c r="T185" s="11">
        <v>4200.0</v>
      </c>
      <c r="V185" s="9">
        <v>9.0</v>
      </c>
      <c r="W185" s="9" t="s">
        <v>838</v>
      </c>
      <c r="X185" s="9" t="s">
        <v>839</v>
      </c>
      <c r="Y185" s="9" t="s">
        <v>840</v>
      </c>
      <c r="Z185" s="9" t="s">
        <v>347</v>
      </c>
      <c r="AA185" s="9" t="s">
        <v>47</v>
      </c>
      <c r="AB185" s="9" t="s">
        <v>61</v>
      </c>
      <c r="AD185" s="9">
        <v>7.0</v>
      </c>
      <c r="AE185" s="9">
        <v>4.0</v>
      </c>
      <c r="AF185" s="9">
        <v>0.0</v>
      </c>
      <c r="AG185" s="12">
        <v>2500.0</v>
      </c>
      <c r="AH185" s="13"/>
    </row>
    <row r="186">
      <c r="A186" s="7">
        <v>44403.900155069445</v>
      </c>
      <c r="B186" s="8">
        <f t="shared" si="1"/>
        <v>2021</v>
      </c>
      <c r="C186" s="9" t="s">
        <v>49</v>
      </c>
      <c r="D186" s="9">
        <v>32.0</v>
      </c>
      <c r="E186" s="9" t="s">
        <v>35</v>
      </c>
      <c r="F186" s="9" t="s">
        <v>36</v>
      </c>
      <c r="G186" s="8" t="s">
        <v>124</v>
      </c>
      <c r="H186" s="9" t="s">
        <v>156</v>
      </c>
      <c r="I186" s="9" t="s">
        <v>38</v>
      </c>
      <c r="J186" s="9" t="s">
        <v>126</v>
      </c>
      <c r="L186" s="9" t="s">
        <v>39</v>
      </c>
      <c r="M186" s="9" t="s">
        <v>40</v>
      </c>
      <c r="N186" s="9" t="s">
        <v>40</v>
      </c>
      <c r="Q186" s="9" t="s">
        <v>746</v>
      </c>
      <c r="R186" s="9" t="s">
        <v>42</v>
      </c>
      <c r="S186" s="10">
        <v>12500.0</v>
      </c>
      <c r="T186" s="11">
        <v>0.0</v>
      </c>
      <c r="U186" s="9">
        <v>0.0</v>
      </c>
      <c r="V186" s="9">
        <v>10.0</v>
      </c>
      <c r="W186" s="9" t="s">
        <v>841</v>
      </c>
      <c r="X186" s="9" t="s">
        <v>842</v>
      </c>
      <c r="Y186" s="9" t="s">
        <v>843</v>
      </c>
      <c r="Z186" s="9" t="s">
        <v>116</v>
      </c>
      <c r="AA186" s="9" t="s">
        <v>132</v>
      </c>
      <c r="AB186" s="9" t="s">
        <v>61</v>
      </c>
      <c r="AD186" s="9">
        <v>10.0</v>
      </c>
      <c r="AE186" s="9">
        <v>8.0</v>
      </c>
      <c r="AF186" s="9">
        <v>5.0</v>
      </c>
      <c r="AG186" s="12">
        <v>2500.0</v>
      </c>
      <c r="AH186" s="13"/>
    </row>
    <row r="187">
      <c r="A187" s="7">
        <v>44403.93294108796</v>
      </c>
      <c r="B187" s="8">
        <f t="shared" si="1"/>
        <v>2021</v>
      </c>
      <c r="C187" s="9" t="s">
        <v>49</v>
      </c>
      <c r="D187" s="9">
        <v>28.0</v>
      </c>
      <c r="E187" s="9" t="s">
        <v>35</v>
      </c>
      <c r="F187" s="9" t="s">
        <v>36</v>
      </c>
      <c r="G187" s="8" t="s">
        <v>50</v>
      </c>
      <c r="H187" s="9" t="s">
        <v>106</v>
      </c>
      <c r="I187" s="9" t="s">
        <v>38</v>
      </c>
      <c r="J187" s="9" t="s">
        <v>844</v>
      </c>
      <c r="K187" s="9" t="s">
        <v>490</v>
      </c>
      <c r="L187" s="9" t="s">
        <v>40</v>
      </c>
      <c r="M187" s="9" t="s">
        <v>40</v>
      </c>
      <c r="N187" s="9" t="s">
        <v>40</v>
      </c>
      <c r="Q187" s="9" t="s">
        <v>101</v>
      </c>
      <c r="R187" s="9" t="s">
        <v>42</v>
      </c>
      <c r="S187" s="10">
        <v>4000.0</v>
      </c>
      <c r="T187" s="11">
        <v>0.0</v>
      </c>
      <c r="U187" s="9">
        <v>0.0</v>
      </c>
      <c r="V187" s="9">
        <v>11.0</v>
      </c>
      <c r="W187" s="9" t="s">
        <v>845</v>
      </c>
      <c r="X187" s="9" t="s">
        <v>846</v>
      </c>
      <c r="Y187" s="9" t="s">
        <v>58</v>
      </c>
      <c r="Z187" s="9" t="s">
        <v>228</v>
      </c>
      <c r="AA187" s="9" t="s">
        <v>71</v>
      </c>
      <c r="AB187" s="9" t="s">
        <v>61</v>
      </c>
      <c r="AD187" s="9">
        <v>8.0</v>
      </c>
      <c r="AE187" s="9">
        <v>1.0</v>
      </c>
      <c r="AF187" s="9">
        <v>1.0</v>
      </c>
      <c r="AG187" s="12">
        <v>2500.0</v>
      </c>
      <c r="AH187" s="13"/>
    </row>
    <row r="188">
      <c r="A188" s="14">
        <v>44403.85368151621</v>
      </c>
      <c r="B188" s="8">
        <f t="shared" si="1"/>
        <v>2021</v>
      </c>
      <c r="C188" s="8" t="s">
        <v>49</v>
      </c>
      <c r="D188" s="8">
        <v>26.0</v>
      </c>
      <c r="E188" s="8" t="s">
        <v>35</v>
      </c>
      <c r="F188" s="8" t="s">
        <v>36</v>
      </c>
      <c r="G188" s="8" t="s">
        <v>50</v>
      </c>
      <c r="H188" s="8" t="s">
        <v>206</v>
      </c>
      <c r="I188" s="8" t="s">
        <v>38</v>
      </c>
      <c r="J188" s="8" t="s">
        <v>828</v>
      </c>
      <c r="K188" s="8" t="s">
        <v>476</v>
      </c>
      <c r="L188" s="8" t="s">
        <v>40</v>
      </c>
      <c r="M188" s="8" t="s">
        <v>39</v>
      </c>
      <c r="N188" s="8" t="s">
        <v>39</v>
      </c>
      <c r="O188" s="8" t="s">
        <v>847</v>
      </c>
      <c r="P188" s="8" t="s">
        <v>135</v>
      </c>
      <c r="Q188" s="9" t="s">
        <v>548</v>
      </c>
      <c r="R188" s="9" t="s">
        <v>42</v>
      </c>
      <c r="S188" s="16">
        <v>3500.0</v>
      </c>
      <c r="T188" s="17">
        <v>0.0</v>
      </c>
      <c r="U188" s="8">
        <v>0.0</v>
      </c>
      <c r="V188" s="8">
        <v>12.0</v>
      </c>
      <c r="W188" s="8" t="s">
        <v>848</v>
      </c>
      <c r="X188" s="8" t="s">
        <v>849</v>
      </c>
      <c r="Y188" s="8" t="s">
        <v>58</v>
      </c>
      <c r="Z188" s="8" t="s">
        <v>547</v>
      </c>
      <c r="AA188" s="8" t="s">
        <v>71</v>
      </c>
      <c r="AB188" s="8" t="s">
        <v>61</v>
      </c>
      <c r="AC188" s="8" t="s">
        <v>850</v>
      </c>
      <c r="AD188" s="8">
        <v>8.0</v>
      </c>
      <c r="AE188" s="8">
        <v>3.0</v>
      </c>
      <c r="AF188" s="8">
        <v>2.0</v>
      </c>
      <c r="AG188" s="18">
        <v>2500.0</v>
      </c>
      <c r="AH188" s="13"/>
      <c r="AI188" s="15"/>
      <c r="AJ188" s="15"/>
      <c r="AK188" s="15"/>
      <c r="AL188" s="15"/>
      <c r="AM188" s="15"/>
      <c r="AN188" s="15"/>
    </row>
    <row r="189">
      <c r="A189" s="7">
        <v>44404.32445480324</v>
      </c>
      <c r="B189" s="8">
        <f t="shared" si="1"/>
        <v>2021</v>
      </c>
      <c r="C189" s="9" t="s">
        <v>49</v>
      </c>
      <c r="D189" s="9">
        <v>29.0</v>
      </c>
      <c r="E189" s="9" t="s">
        <v>35</v>
      </c>
      <c r="F189" s="9" t="s">
        <v>36</v>
      </c>
      <c r="G189" s="8" t="s">
        <v>50</v>
      </c>
      <c r="H189" s="9" t="s">
        <v>125</v>
      </c>
      <c r="I189" s="9" t="s">
        <v>38</v>
      </c>
      <c r="J189" s="9" t="s">
        <v>160</v>
      </c>
      <c r="K189" s="9" t="s">
        <v>134</v>
      </c>
      <c r="L189" s="9" t="s">
        <v>39</v>
      </c>
      <c r="M189" s="9" t="s">
        <v>40</v>
      </c>
      <c r="N189" s="9" t="s">
        <v>39</v>
      </c>
      <c r="P189" s="9" t="s">
        <v>851</v>
      </c>
      <c r="Q189" s="9" t="s">
        <v>146</v>
      </c>
      <c r="R189" s="9" t="s">
        <v>42</v>
      </c>
      <c r="S189" s="10">
        <v>4750.0</v>
      </c>
      <c r="T189" s="11">
        <v>0.0</v>
      </c>
      <c r="U189" s="9">
        <v>0.0</v>
      </c>
      <c r="V189" s="9">
        <v>12.0</v>
      </c>
      <c r="W189" s="9" t="s">
        <v>638</v>
      </c>
      <c r="X189" s="9" t="s">
        <v>852</v>
      </c>
      <c r="Y189" s="9" t="s">
        <v>853</v>
      </c>
      <c r="Z189" s="9" t="s">
        <v>481</v>
      </c>
      <c r="AA189" s="9" t="s">
        <v>81</v>
      </c>
      <c r="AB189" s="9" t="s">
        <v>91</v>
      </c>
      <c r="AC189" s="9" t="s">
        <v>854</v>
      </c>
      <c r="AD189" s="9">
        <v>3.0</v>
      </c>
      <c r="AE189" s="9">
        <v>5.0</v>
      </c>
      <c r="AF189" s="9">
        <v>3.0</v>
      </c>
      <c r="AG189" s="12">
        <v>2500.0</v>
      </c>
      <c r="AH189" s="13"/>
    </row>
    <row r="190">
      <c r="A190" s="7">
        <v>44403.91280445602</v>
      </c>
      <c r="B190" s="8">
        <f t="shared" si="1"/>
        <v>2021</v>
      </c>
      <c r="C190" s="9" t="s">
        <v>49</v>
      </c>
      <c r="D190" s="9">
        <v>29.0</v>
      </c>
      <c r="E190" s="9" t="s">
        <v>35</v>
      </c>
      <c r="F190" s="9" t="s">
        <v>36</v>
      </c>
      <c r="G190" s="8" t="s">
        <v>50</v>
      </c>
      <c r="H190" s="9" t="s">
        <v>82</v>
      </c>
      <c r="I190" s="9" t="s">
        <v>93</v>
      </c>
      <c r="J190" s="9" t="s">
        <v>83</v>
      </c>
      <c r="K190" s="9" t="s">
        <v>200</v>
      </c>
      <c r="L190" s="9" t="s">
        <v>40</v>
      </c>
      <c r="M190" s="9" t="s">
        <v>39</v>
      </c>
      <c r="N190" s="9" t="s">
        <v>40</v>
      </c>
      <c r="O190" s="9" t="s">
        <v>642</v>
      </c>
      <c r="Q190" s="9" t="s">
        <v>855</v>
      </c>
      <c r="R190" s="9" t="s">
        <v>42</v>
      </c>
      <c r="S190" s="10">
        <v>6500.0</v>
      </c>
      <c r="T190" s="11">
        <v>0.0</v>
      </c>
      <c r="U190" s="9">
        <v>0.0</v>
      </c>
      <c r="V190" s="9">
        <v>12.0</v>
      </c>
      <c r="W190" s="9" t="s">
        <v>856</v>
      </c>
      <c r="X190" s="9" t="s">
        <v>857</v>
      </c>
      <c r="Y190" s="9" t="s">
        <v>349</v>
      </c>
      <c r="Z190" s="9" t="s">
        <v>547</v>
      </c>
      <c r="AA190" s="9" t="s">
        <v>71</v>
      </c>
      <c r="AB190" s="9" t="s">
        <v>61</v>
      </c>
      <c r="AD190" s="9">
        <v>8.0</v>
      </c>
      <c r="AE190" s="9">
        <v>4.0</v>
      </c>
      <c r="AF190" s="9">
        <v>2.0</v>
      </c>
      <c r="AG190" s="12">
        <v>2500.0</v>
      </c>
      <c r="AH190" s="13"/>
    </row>
    <row r="191">
      <c r="A191" s="7">
        <v>44404.81525050926</v>
      </c>
      <c r="B191" s="8">
        <f t="shared" si="1"/>
        <v>2021</v>
      </c>
      <c r="C191" s="9" t="s">
        <v>49</v>
      </c>
      <c r="D191" s="9">
        <v>34.0</v>
      </c>
      <c r="E191" s="9" t="s">
        <v>35</v>
      </c>
      <c r="F191" s="9" t="s">
        <v>36</v>
      </c>
      <c r="G191" s="8" t="s">
        <v>124</v>
      </c>
      <c r="H191" s="9" t="s">
        <v>125</v>
      </c>
      <c r="I191" s="9" t="s">
        <v>38</v>
      </c>
      <c r="J191" s="9" t="s">
        <v>858</v>
      </c>
      <c r="K191" s="9" t="s">
        <v>200</v>
      </c>
      <c r="L191" s="9" t="s">
        <v>39</v>
      </c>
      <c r="M191" s="9" t="s">
        <v>40</v>
      </c>
      <c r="N191" s="9" t="s">
        <v>39</v>
      </c>
      <c r="P191" s="9" t="s">
        <v>859</v>
      </c>
      <c r="Q191" s="9" t="s">
        <v>746</v>
      </c>
      <c r="R191" s="9" t="s">
        <v>42</v>
      </c>
      <c r="S191" s="10">
        <v>15000.0</v>
      </c>
      <c r="T191" s="11">
        <v>0.0</v>
      </c>
      <c r="U191" s="9">
        <v>0.0</v>
      </c>
      <c r="V191" s="9">
        <v>12.0</v>
      </c>
      <c r="W191" s="9" t="s">
        <v>860</v>
      </c>
      <c r="X191" s="9" t="s">
        <v>861</v>
      </c>
      <c r="Y191" s="9" t="s">
        <v>862</v>
      </c>
      <c r="Z191" s="9" t="s">
        <v>89</v>
      </c>
      <c r="AA191" s="9" t="s">
        <v>132</v>
      </c>
      <c r="AB191" s="9" t="s">
        <v>61</v>
      </c>
      <c r="AD191" s="9">
        <v>9.0</v>
      </c>
      <c r="AE191" s="9">
        <v>9.0</v>
      </c>
      <c r="AF191" s="9">
        <v>4.0</v>
      </c>
      <c r="AG191" s="12">
        <v>2500.0</v>
      </c>
      <c r="AH191" s="13"/>
    </row>
    <row r="192">
      <c r="A192" s="7">
        <v>44404.59422730324</v>
      </c>
      <c r="B192" s="8">
        <f t="shared" si="1"/>
        <v>2021</v>
      </c>
      <c r="C192" s="9" t="s">
        <v>49</v>
      </c>
      <c r="D192" s="9">
        <v>24.0</v>
      </c>
      <c r="E192" s="9" t="s">
        <v>35</v>
      </c>
      <c r="F192" s="9" t="s">
        <v>36</v>
      </c>
      <c r="G192" s="8" t="s">
        <v>124</v>
      </c>
      <c r="H192" s="9" t="s">
        <v>156</v>
      </c>
      <c r="I192" s="9" t="s">
        <v>38</v>
      </c>
      <c r="J192" s="9" t="s">
        <v>863</v>
      </c>
      <c r="K192" s="9" t="s">
        <v>414</v>
      </c>
      <c r="L192" s="9" t="s">
        <v>39</v>
      </c>
      <c r="M192" s="9" t="s">
        <v>40</v>
      </c>
      <c r="N192" s="9" t="s">
        <v>39</v>
      </c>
      <c r="P192" s="9" t="s">
        <v>864</v>
      </c>
      <c r="Q192" s="9" t="s">
        <v>312</v>
      </c>
      <c r="R192" s="9" t="s">
        <v>42</v>
      </c>
      <c r="S192" s="10">
        <v>2500.0</v>
      </c>
      <c r="T192" s="11">
        <v>2500.0</v>
      </c>
      <c r="U192" s="9">
        <v>0.0</v>
      </c>
      <c r="V192" s="9">
        <v>12.0</v>
      </c>
      <c r="W192" s="9" t="s">
        <v>223</v>
      </c>
      <c r="X192" s="9" t="s">
        <v>865</v>
      </c>
      <c r="Y192" s="9" t="s">
        <v>866</v>
      </c>
      <c r="Z192" s="9" t="s">
        <v>59</v>
      </c>
      <c r="AA192" s="9" t="s">
        <v>132</v>
      </c>
      <c r="AB192" s="9" t="s">
        <v>61</v>
      </c>
      <c r="AC192" s="9" t="s">
        <v>72</v>
      </c>
      <c r="AD192" s="9">
        <v>8.0</v>
      </c>
      <c r="AE192" s="9">
        <v>1.0</v>
      </c>
      <c r="AF192" s="9">
        <v>1.0</v>
      </c>
      <c r="AG192" s="12">
        <v>2500.0</v>
      </c>
      <c r="AH192" s="13"/>
    </row>
    <row r="193">
      <c r="A193" s="14">
        <v>44403.852210983794</v>
      </c>
      <c r="B193" s="8">
        <f t="shared" si="1"/>
        <v>2021</v>
      </c>
      <c r="C193" s="8" t="s">
        <v>49</v>
      </c>
      <c r="D193" s="8">
        <v>33.0</v>
      </c>
      <c r="E193" s="8" t="s">
        <v>35</v>
      </c>
      <c r="F193" s="8" t="s">
        <v>36</v>
      </c>
      <c r="G193" s="8" t="s">
        <v>124</v>
      </c>
      <c r="H193" s="8" t="s">
        <v>206</v>
      </c>
      <c r="I193" s="8" t="s">
        <v>38</v>
      </c>
      <c r="J193" s="8" t="s">
        <v>239</v>
      </c>
      <c r="K193" s="9" t="s">
        <v>166</v>
      </c>
      <c r="L193" s="8" t="s">
        <v>39</v>
      </c>
      <c r="M193" s="8" t="s">
        <v>40</v>
      </c>
      <c r="N193" s="8" t="s">
        <v>40</v>
      </c>
      <c r="O193" s="15"/>
      <c r="P193" s="15"/>
      <c r="Q193" s="8" t="s">
        <v>255</v>
      </c>
      <c r="R193" s="9" t="s">
        <v>42</v>
      </c>
      <c r="S193" s="16">
        <v>5000.0</v>
      </c>
      <c r="T193" s="17">
        <v>0.0</v>
      </c>
      <c r="U193" s="15"/>
      <c r="V193" s="8">
        <v>12.0</v>
      </c>
      <c r="W193" s="8" t="s">
        <v>67</v>
      </c>
      <c r="X193" s="8" t="s">
        <v>867</v>
      </c>
      <c r="Y193" s="8" t="s">
        <v>124</v>
      </c>
      <c r="Z193" s="8" t="s">
        <v>868</v>
      </c>
      <c r="AA193" s="8" t="s">
        <v>71</v>
      </c>
      <c r="AB193" s="8" t="s">
        <v>61</v>
      </c>
      <c r="AC193" s="8" t="s">
        <v>869</v>
      </c>
      <c r="AD193" s="8">
        <v>10.0</v>
      </c>
      <c r="AE193" s="8">
        <v>4.0</v>
      </c>
      <c r="AF193" s="8">
        <v>1.0</v>
      </c>
      <c r="AG193" s="18">
        <v>2500.0</v>
      </c>
      <c r="AH193" s="13"/>
      <c r="AI193" s="15"/>
      <c r="AJ193" s="15"/>
      <c r="AK193" s="15"/>
      <c r="AL193" s="15"/>
      <c r="AM193" s="15"/>
      <c r="AN193" s="15"/>
    </row>
    <row r="194">
      <c r="A194" s="7">
        <v>44404.54557165509</v>
      </c>
      <c r="B194" s="8">
        <f t="shared" si="1"/>
        <v>2021</v>
      </c>
      <c r="C194" s="9" t="s">
        <v>49</v>
      </c>
      <c r="D194" s="9">
        <v>31.0</v>
      </c>
      <c r="E194" s="9" t="s">
        <v>35</v>
      </c>
      <c r="F194" s="9" t="s">
        <v>36</v>
      </c>
      <c r="G194" s="8" t="s">
        <v>50</v>
      </c>
      <c r="H194" s="9" t="s">
        <v>870</v>
      </c>
      <c r="I194" s="9" t="s">
        <v>38</v>
      </c>
      <c r="J194" s="9" t="s">
        <v>871</v>
      </c>
      <c r="K194" s="9" t="s">
        <v>134</v>
      </c>
      <c r="L194" s="9" t="s">
        <v>39</v>
      </c>
      <c r="M194" s="9" t="s">
        <v>40</v>
      </c>
      <c r="N194" s="9" t="s">
        <v>40</v>
      </c>
      <c r="Q194" s="9" t="s">
        <v>182</v>
      </c>
      <c r="R194" s="9" t="s">
        <v>42</v>
      </c>
      <c r="S194" s="10">
        <v>11000.0</v>
      </c>
      <c r="T194" s="11" t="s">
        <v>37</v>
      </c>
      <c r="V194" s="9">
        <v>12.0</v>
      </c>
      <c r="W194" s="9" t="s">
        <v>872</v>
      </c>
      <c r="X194" s="9" t="s">
        <v>873</v>
      </c>
      <c r="Y194" s="9" t="s">
        <v>874</v>
      </c>
      <c r="Z194" s="9" t="s">
        <v>70</v>
      </c>
      <c r="AA194" s="9" t="s">
        <v>132</v>
      </c>
      <c r="AB194" s="9" t="s">
        <v>61</v>
      </c>
      <c r="AD194" s="9">
        <v>10.0</v>
      </c>
      <c r="AE194" s="9">
        <v>10.0</v>
      </c>
      <c r="AF194" s="9">
        <v>4.0</v>
      </c>
      <c r="AG194" s="12">
        <v>2500.0</v>
      </c>
      <c r="AH194" s="13"/>
    </row>
    <row r="195">
      <c r="A195" s="7">
        <v>44403.969646516205</v>
      </c>
      <c r="B195" s="8">
        <f t="shared" si="1"/>
        <v>2021</v>
      </c>
      <c r="C195" s="9" t="s">
        <v>49</v>
      </c>
      <c r="D195" s="9">
        <v>23.0</v>
      </c>
      <c r="E195" s="9" t="s">
        <v>35</v>
      </c>
      <c r="F195" s="9" t="s">
        <v>36</v>
      </c>
      <c r="G195" s="8" t="s">
        <v>50</v>
      </c>
      <c r="H195" s="9" t="s">
        <v>106</v>
      </c>
      <c r="I195" s="9" t="s">
        <v>38</v>
      </c>
      <c r="J195" s="9" t="s">
        <v>75</v>
      </c>
      <c r="K195" s="9" t="s">
        <v>875</v>
      </c>
      <c r="L195" s="9" t="s">
        <v>39</v>
      </c>
      <c r="M195" s="9" t="s">
        <v>40</v>
      </c>
      <c r="N195" s="9" t="s">
        <v>40</v>
      </c>
      <c r="Q195" s="9" t="s">
        <v>146</v>
      </c>
      <c r="R195" s="9" t="s">
        <v>42</v>
      </c>
      <c r="S195" s="10">
        <v>2500.0</v>
      </c>
      <c r="T195" s="11">
        <v>0.0</v>
      </c>
      <c r="U195" s="9">
        <v>0.0</v>
      </c>
      <c r="V195" s="9">
        <v>14.0</v>
      </c>
      <c r="W195" s="9" t="s">
        <v>157</v>
      </c>
      <c r="X195" s="9" t="s">
        <v>87</v>
      </c>
      <c r="Y195" s="9" t="s">
        <v>58</v>
      </c>
      <c r="Z195" s="9" t="s">
        <v>347</v>
      </c>
      <c r="AA195" s="9" t="s">
        <v>71</v>
      </c>
      <c r="AB195" s="9" t="s">
        <v>61</v>
      </c>
      <c r="AD195" s="9">
        <v>4.0</v>
      </c>
      <c r="AE195" s="9">
        <v>1.0</v>
      </c>
      <c r="AF195" s="9">
        <v>0.0</v>
      </c>
      <c r="AG195" s="12">
        <v>2500.0</v>
      </c>
      <c r="AH195" s="13"/>
    </row>
    <row r="196">
      <c r="A196" s="14">
        <v>44403.85902516203</v>
      </c>
      <c r="B196" s="8">
        <f t="shared" si="1"/>
        <v>2021</v>
      </c>
      <c r="C196" s="8" t="s">
        <v>49</v>
      </c>
      <c r="D196" s="8">
        <v>27.0</v>
      </c>
      <c r="E196" s="8" t="s">
        <v>35</v>
      </c>
      <c r="F196" s="8" t="s">
        <v>36</v>
      </c>
      <c r="G196" s="8" t="s">
        <v>50</v>
      </c>
      <c r="H196" s="9" t="s">
        <v>106</v>
      </c>
      <c r="I196" s="8" t="s">
        <v>38</v>
      </c>
      <c r="J196" s="9" t="s">
        <v>75</v>
      </c>
      <c r="K196" s="8" t="s">
        <v>332</v>
      </c>
      <c r="L196" s="8" t="s">
        <v>39</v>
      </c>
      <c r="M196" s="8" t="s">
        <v>40</v>
      </c>
      <c r="N196" s="8" t="s">
        <v>39</v>
      </c>
      <c r="O196" s="15"/>
      <c r="P196" s="8" t="s">
        <v>876</v>
      </c>
      <c r="Q196" s="8" t="s">
        <v>877</v>
      </c>
      <c r="R196" s="9" t="s">
        <v>42</v>
      </c>
      <c r="S196" s="16">
        <v>3700.0</v>
      </c>
      <c r="T196" s="17">
        <v>0.0</v>
      </c>
      <c r="U196" s="8">
        <v>0.0</v>
      </c>
      <c r="V196" s="8">
        <v>14.0</v>
      </c>
      <c r="W196" s="8" t="s">
        <v>878</v>
      </c>
      <c r="X196" s="8" t="s">
        <v>879</v>
      </c>
      <c r="Y196" s="8" t="s">
        <v>58</v>
      </c>
      <c r="Z196" s="8" t="s">
        <v>880</v>
      </c>
      <c r="AA196" s="8" t="s">
        <v>71</v>
      </c>
      <c r="AB196" s="8" t="s">
        <v>61</v>
      </c>
      <c r="AC196" s="15"/>
      <c r="AD196" s="8">
        <v>8.0</v>
      </c>
      <c r="AE196" s="8">
        <v>3.0</v>
      </c>
      <c r="AF196" s="8">
        <v>2.0</v>
      </c>
      <c r="AG196" s="18">
        <v>2500.0</v>
      </c>
      <c r="AH196" s="13"/>
      <c r="AI196" s="15"/>
      <c r="AJ196" s="15"/>
      <c r="AK196" s="15"/>
      <c r="AL196" s="15"/>
      <c r="AM196" s="15"/>
      <c r="AN196" s="15"/>
    </row>
    <row r="197">
      <c r="A197" s="7">
        <v>44403.9864953125</v>
      </c>
      <c r="B197" s="8">
        <f t="shared" si="1"/>
        <v>2021</v>
      </c>
      <c r="C197" s="9" t="s">
        <v>49</v>
      </c>
      <c r="D197" s="9">
        <v>25.0</v>
      </c>
      <c r="E197" s="9" t="s">
        <v>35</v>
      </c>
      <c r="F197" s="9" t="s">
        <v>36</v>
      </c>
      <c r="G197" s="8" t="s">
        <v>50</v>
      </c>
      <c r="H197" s="8" t="s">
        <v>51</v>
      </c>
      <c r="I197" s="9" t="s">
        <v>38</v>
      </c>
      <c r="J197" s="9" t="s">
        <v>160</v>
      </c>
      <c r="K197" s="9" t="s">
        <v>221</v>
      </c>
      <c r="L197" s="9" t="s">
        <v>39</v>
      </c>
      <c r="M197" s="9" t="s">
        <v>40</v>
      </c>
      <c r="N197" s="9" t="s">
        <v>40</v>
      </c>
      <c r="Q197" s="9" t="s">
        <v>146</v>
      </c>
      <c r="R197" s="9" t="s">
        <v>42</v>
      </c>
      <c r="S197" s="10">
        <v>4000.0</v>
      </c>
      <c r="T197" s="11">
        <v>0.0</v>
      </c>
      <c r="U197" s="9">
        <v>0.0</v>
      </c>
      <c r="V197" s="9">
        <v>14.0</v>
      </c>
      <c r="W197" s="9" t="s">
        <v>881</v>
      </c>
      <c r="X197" s="9" t="s">
        <v>882</v>
      </c>
      <c r="Y197" s="9" t="s">
        <v>131</v>
      </c>
      <c r="Z197" s="9" t="s">
        <v>70</v>
      </c>
      <c r="AA197" s="9" t="s">
        <v>47</v>
      </c>
      <c r="AB197" s="9" t="s">
        <v>61</v>
      </c>
      <c r="AD197" s="9">
        <v>7.0</v>
      </c>
      <c r="AE197" s="9">
        <v>2.0</v>
      </c>
      <c r="AF197" s="9">
        <v>3.0</v>
      </c>
      <c r="AG197" s="12">
        <v>2500.0</v>
      </c>
      <c r="AH197" s="13"/>
    </row>
    <row r="198">
      <c r="A198" s="14">
        <v>44403.88528099537</v>
      </c>
      <c r="B198" s="8">
        <f t="shared" si="1"/>
        <v>2021</v>
      </c>
      <c r="C198" s="8" t="s">
        <v>49</v>
      </c>
      <c r="D198" s="8">
        <v>27.0</v>
      </c>
      <c r="E198" s="8" t="s">
        <v>35</v>
      </c>
      <c r="F198" s="8" t="s">
        <v>36</v>
      </c>
      <c r="G198" s="8" t="s">
        <v>74</v>
      </c>
      <c r="H198" s="8" t="s">
        <v>482</v>
      </c>
      <c r="I198" s="8" t="s">
        <v>38</v>
      </c>
      <c r="J198" s="9" t="s">
        <v>160</v>
      </c>
      <c r="K198" s="9" t="s">
        <v>84</v>
      </c>
      <c r="L198" s="8" t="s">
        <v>39</v>
      </c>
      <c r="M198" s="8" t="s">
        <v>40</v>
      </c>
      <c r="N198" s="8" t="s">
        <v>40</v>
      </c>
      <c r="O198" s="15"/>
      <c r="P198" s="15"/>
      <c r="Q198" s="8" t="s">
        <v>883</v>
      </c>
      <c r="R198" s="9" t="s">
        <v>42</v>
      </c>
      <c r="S198" s="16">
        <v>8000.0</v>
      </c>
      <c r="T198" s="17">
        <v>0.0</v>
      </c>
      <c r="U198" s="8">
        <v>0.0</v>
      </c>
      <c r="V198" s="8">
        <v>14.0</v>
      </c>
      <c r="W198" s="8" t="s">
        <v>884</v>
      </c>
      <c r="X198" s="8" t="s">
        <v>224</v>
      </c>
      <c r="Y198" s="8" t="s">
        <v>122</v>
      </c>
      <c r="Z198" s="8" t="s">
        <v>89</v>
      </c>
      <c r="AA198" s="8" t="s">
        <v>90</v>
      </c>
      <c r="AB198" s="8" t="s">
        <v>61</v>
      </c>
      <c r="AC198" s="8" t="s">
        <v>885</v>
      </c>
      <c r="AD198" s="8">
        <v>7.0</v>
      </c>
      <c r="AE198" s="8">
        <v>5.0</v>
      </c>
      <c r="AF198" s="8">
        <v>1.0</v>
      </c>
      <c r="AG198" s="18">
        <v>2500.0</v>
      </c>
      <c r="AH198" s="13"/>
      <c r="AI198" s="15"/>
      <c r="AJ198" s="15"/>
      <c r="AK198" s="15"/>
      <c r="AL198" s="15"/>
      <c r="AM198" s="15"/>
      <c r="AN198" s="15"/>
    </row>
    <row r="199">
      <c r="A199" s="7">
        <v>44404.54741125</v>
      </c>
      <c r="B199" s="8">
        <f t="shared" si="1"/>
        <v>2021</v>
      </c>
      <c r="C199" s="9" t="s">
        <v>49</v>
      </c>
      <c r="D199" s="9">
        <v>33.0</v>
      </c>
      <c r="E199" s="9" t="s">
        <v>35</v>
      </c>
      <c r="F199" s="9" t="s">
        <v>36</v>
      </c>
      <c r="G199" s="8" t="s">
        <v>124</v>
      </c>
      <c r="H199" s="9" t="s">
        <v>156</v>
      </c>
      <c r="I199" s="9" t="s">
        <v>38</v>
      </c>
      <c r="J199" s="9" t="s">
        <v>75</v>
      </c>
      <c r="K199" s="9" t="s">
        <v>327</v>
      </c>
      <c r="L199" s="9" t="s">
        <v>39</v>
      </c>
      <c r="M199" s="9" t="s">
        <v>40</v>
      </c>
      <c r="N199" s="9" t="s">
        <v>40</v>
      </c>
      <c r="Q199" s="8" t="s">
        <v>255</v>
      </c>
      <c r="R199" s="9" t="s">
        <v>42</v>
      </c>
      <c r="S199" s="10">
        <v>9000.0</v>
      </c>
      <c r="T199" s="11">
        <v>0.0</v>
      </c>
      <c r="U199" s="9">
        <v>0.0</v>
      </c>
      <c r="V199" s="9">
        <v>14.0</v>
      </c>
      <c r="W199" s="9" t="s">
        <v>320</v>
      </c>
      <c r="X199" s="9" t="s">
        <v>712</v>
      </c>
      <c r="Y199" s="9" t="s">
        <v>886</v>
      </c>
      <c r="Z199" s="9" t="s">
        <v>155</v>
      </c>
      <c r="AA199" s="9" t="s">
        <v>81</v>
      </c>
      <c r="AB199" s="9" t="s">
        <v>91</v>
      </c>
      <c r="AD199" s="9">
        <v>7.0</v>
      </c>
      <c r="AE199" s="9">
        <v>9.0</v>
      </c>
      <c r="AF199" s="9">
        <v>7.0</v>
      </c>
      <c r="AG199" s="12">
        <v>2500.0</v>
      </c>
      <c r="AH199" s="13"/>
    </row>
    <row r="200">
      <c r="A200" s="14">
        <v>44403.87061484954</v>
      </c>
      <c r="B200" s="8">
        <f t="shared" si="1"/>
        <v>2021</v>
      </c>
      <c r="C200" s="8" t="s">
        <v>49</v>
      </c>
      <c r="D200" s="8">
        <v>38.0</v>
      </c>
      <c r="E200" s="8" t="s">
        <v>35</v>
      </c>
      <c r="F200" s="8" t="s">
        <v>36</v>
      </c>
      <c r="G200" s="8" t="s">
        <v>50</v>
      </c>
      <c r="H200" s="8" t="s">
        <v>206</v>
      </c>
      <c r="I200" s="8" t="s">
        <v>38</v>
      </c>
      <c r="J200" s="8" t="s">
        <v>342</v>
      </c>
      <c r="K200" s="8" t="s">
        <v>887</v>
      </c>
      <c r="L200" s="8" t="s">
        <v>40</v>
      </c>
      <c r="M200" s="8" t="s">
        <v>40</v>
      </c>
      <c r="N200" s="8" t="s">
        <v>40</v>
      </c>
      <c r="O200" s="15"/>
      <c r="P200" s="15"/>
      <c r="Q200" s="8" t="s">
        <v>333</v>
      </c>
      <c r="R200" s="9" t="s">
        <v>42</v>
      </c>
      <c r="S200" s="16">
        <v>10000.0</v>
      </c>
      <c r="T200" s="17">
        <v>10000.0</v>
      </c>
      <c r="U200" s="8">
        <v>0.0</v>
      </c>
      <c r="V200" s="8">
        <v>14.0</v>
      </c>
      <c r="W200" s="8" t="s">
        <v>67</v>
      </c>
      <c r="X200" s="8" t="s">
        <v>888</v>
      </c>
      <c r="Y200" s="8" t="s">
        <v>50</v>
      </c>
      <c r="Z200" s="8" t="s">
        <v>89</v>
      </c>
      <c r="AA200" s="8" t="s">
        <v>47</v>
      </c>
      <c r="AB200" s="8" t="s">
        <v>61</v>
      </c>
      <c r="AC200" s="15"/>
      <c r="AD200" s="8">
        <v>8.0</v>
      </c>
      <c r="AE200" s="8">
        <v>15.0</v>
      </c>
      <c r="AF200" s="8">
        <v>3.0</v>
      </c>
      <c r="AG200" s="18">
        <v>2500.0</v>
      </c>
      <c r="AH200" s="13"/>
      <c r="AI200" s="15"/>
      <c r="AJ200" s="15"/>
      <c r="AK200" s="15"/>
      <c r="AL200" s="15"/>
      <c r="AM200" s="15"/>
      <c r="AN200" s="15"/>
    </row>
    <row r="201">
      <c r="A201" s="14">
        <v>44403.876970694444</v>
      </c>
      <c r="B201" s="8">
        <f t="shared" si="1"/>
        <v>2021</v>
      </c>
      <c r="C201" s="8" t="s">
        <v>49</v>
      </c>
      <c r="D201" s="8">
        <v>34.0</v>
      </c>
      <c r="E201" s="8" t="s">
        <v>35</v>
      </c>
      <c r="F201" s="8" t="s">
        <v>36</v>
      </c>
      <c r="G201" s="8" t="s">
        <v>124</v>
      </c>
      <c r="H201" s="8" t="s">
        <v>298</v>
      </c>
      <c r="I201" s="8" t="s">
        <v>38</v>
      </c>
      <c r="J201" s="8" t="s">
        <v>889</v>
      </c>
      <c r="K201" s="9" t="s">
        <v>66</v>
      </c>
      <c r="L201" s="8" t="s">
        <v>39</v>
      </c>
      <c r="M201" s="8" t="s">
        <v>40</v>
      </c>
      <c r="N201" s="8" t="s">
        <v>40</v>
      </c>
      <c r="O201" s="15"/>
      <c r="P201" s="15"/>
      <c r="Q201" s="8" t="s">
        <v>119</v>
      </c>
      <c r="R201" s="9" t="s">
        <v>42</v>
      </c>
      <c r="S201" s="16">
        <v>7200.0</v>
      </c>
      <c r="T201" s="17">
        <v>0.0</v>
      </c>
      <c r="U201" s="8" t="s">
        <v>890</v>
      </c>
      <c r="V201" s="8">
        <v>14.0</v>
      </c>
      <c r="W201" s="8" t="s">
        <v>891</v>
      </c>
      <c r="X201" s="8" t="s">
        <v>892</v>
      </c>
      <c r="Y201" s="8" t="s">
        <v>122</v>
      </c>
      <c r="Z201" s="8" t="s">
        <v>116</v>
      </c>
      <c r="AA201" s="8" t="s">
        <v>90</v>
      </c>
      <c r="AB201" s="8" t="s">
        <v>91</v>
      </c>
      <c r="AC201" s="15"/>
      <c r="AD201" s="8">
        <v>3.0</v>
      </c>
      <c r="AE201" s="8">
        <v>9.0</v>
      </c>
      <c r="AF201" s="8">
        <v>3.0</v>
      </c>
      <c r="AG201" s="18">
        <v>2500.0</v>
      </c>
      <c r="AH201" s="13"/>
      <c r="AI201" s="15"/>
      <c r="AJ201" s="15"/>
      <c r="AK201" s="15"/>
      <c r="AL201" s="15"/>
      <c r="AM201" s="15"/>
      <c r="AN201" s="15"/>
    </row>
    <row r="202">
      <c r="A202" s="14">
        <v>44403.883684201384</v>
      </c>
      <c r="B202" s="8">
        <f t="shared" si="1"/>
        <v>2021</v>
      </c>
      <c r="C202" s="8" t="s">
        <v>73</v>
      </c>
      <c r="D202" s="8">
        <v>29.0</v>
      </c>
      <c r="E202" s="8" t="s">
        <v>35</v>
      </c>
      <c r="F202" s="8" t="s">
        <v>36</v>
      </c>
      <c r="G202" s="8" t="s">
        <v>50</v>
      </c>
      <c r="H202" s="8" t="s">
        <v>341</v>
      </c>
      <c r="I202" s="8" t="s">
        <v>247</v>
      </c>
      <c r="J202" s="8" t="s">
        <v>83</v>
      </c>
      <c r="K202" s="8" t="s">
        <v>893</v>
      </c>
      <c r="L202" s="8" t="s">
        <v>39</v>
      </c>
      <c r="M202" s="8" t="s">
        <v>40</v>
      </c>
      <c r="N202" s="8" t="s">
        <v>40</v>
      </c>
      <c r="O202" s="15"/>
      <c r="P202" s="15"/>
      <c r="Q202" s="8" t="s">
        <v>602</v>
      </c>
      <c r="R202" s="9" t="s">
        <v>42</v>
      </c>
      <c r="S202" s="16">
        <v>7200.0</v>
      </c>
      <c r="T202" s="17">
        <v>0.0</v>
      </c>
      <c r="U202" s="15"/>
      <c r="V202" s="8">
        <v>14.0</v>
      </c>
      <c r="W202" s="8" t="s">
        <v>894</v>
      </c>
      <c r="X202" s="8" t="s">
        <v>895</v>
      </c>
      <c r="Y202" s="8" t="s">
        <v>58</v>
      </c>
      <c r="Z202" s="8" t="s">
        <v>896</v>
      </c>
      <c r="AA202" s="8" t="s">
        <v>71</v>
      </c>
      <c r="AB202" s="8" t="s">
        <v>61</v>
      </c>
      <c r="AC202" s="15"/>
      <c r="AD202" s="8">
        <v>5.0</v>
      </c>
      <c r="AE202" s="8">
        <v>4.0</v>
      </c>
      <c r="AF202" s="8">
        <v>2.0</v>
      </c>
      <c r="AG202" s="18">
        <v>2500.0</v>
      </c>
      <c r="AH202" s="13"/>
      <c r="AI202" s="15"/>
      <c r="AJ202" s="15"/>
      <c r="AK202" s="15"/>
      <c r="AL202" s="15"/>
      <c r="AM202" s="15"/>
      <c r="AN202" s="15"/>
    </row>
    <row r="203">
      <c r="A203" s="7">
        <v>44404.61690934028</v>
      </c>
      <c r="B203" s="8">
        <f t="shared" si="1"/>
        <v>2021</v>
      </c>
      <c r="C203" s="9" t="s">
        <v>49</v>
      </c>
      <c r="D203" s="9">
        <v>31.0</v>
      </c>
      <c r="E203" s="9" t="s">
        <v>35</v>
      </c>
      <c r="F203" s="9" t="s">
        <v>36</v>
      </c>
      <c r="G203" s="8" t="s">
        <v>50</v>
      </c>
      <c r="H203" s="8" t="s">
        <v>180</v>
      </c>
      <c r="I203" s="9" t="s">
        <v>38</v>
      </c>
      <c r="J203" s="9" t="s">
        <v>207</v>
      </c>
      <c r="K203" s="9" t="s">
        <v>166</v>
      </c>
      <c r="L203" s="9" t="s">
        <v>40</v>
      </c>
      <c r="M203" s="9" t="s">
        <v>40</v>
      </c>
      <c r="N203" s="9" t="s">
        <v>40</v>
      </c>
      <c r="Q203" s="9" t="s">
        <v>146</v>
      </c>
      <c r="R203" s="9" t="s">
        <v>42</v>
      </c>
      <c r="S203" s="10">
        <v>11000.0</v>
      </c>
      <c r="T203" s="11">
        <v>15000.0</v>
      </c>
      <c r="V203" s="9">
        <v>14.0</v>
      </c>
      <c r="W203" s="9" t="s">
        <v>897</v>
      </c>
      <c r="X203" s="9" t="s">
        <v>898</v>
      </c>
      <c r="Y203" s="9" t="s">
        <v>899</v>
      </c>
      <c r="Z203" s="9" t="s">
        <v>59</v>
      </c>
      <c r="AA203" s="9" t="s">
        <v>132</v>
      </c>
      <c r="AB203" s="9" t="s">
        <v>61</v>
      </c>
      <c r="AD203" s="9">
        <v>10.0</v>
      </c>
      <c r="AE203" s="9">
        <v>10.0</v>
      </c>
      <c r="AF203" s="9">
        <v>6.0</v>
      </c>
      <c r="AG203" s="12">
        <v>2500.0</v>
      </c>
      <c r="AH203" s="13"/>
    </row>
    <row r="204">
      <c r="A204" s="7">
        <v>44403.91821069444</v>
      </c>
      <c r="B204" s="8">
        <f t="shared" si="1"/>
        <v>2021</v>
      </c>
      <c r="C204" s="9" t="s">
        <v>73</v>
      </c>
      <c r="D204" s="9">
        <v>27.0</v>
      </c>
      <c r="E204" s="9" t="s">
        <v>35</v>
      </c>
      <c r="F204" s="9" t="s">
        <v>36</v>
      </c>
      <c r="G204" s="8" t="s">
        <v>50</v>
      </c>
      <c r="H204" s="9" t="s">
        <v>106</v>
      </c>
      <c r="I204" s="9" t="s">
        <v>38</v>
      </c>
      <c r="J204" s="9" t="s">
        <v>160</v>
      </c>
      <c r="K204" s="9" t="s">
        <v>84</v>
      </c>
      <c r="L204" s="9" t="s">
        <v>39</v>
      </c>
      <c r="M204" s="9" t="s">
        <v>40</v>
      </c>
      <c r="N204" s="9" t="s">
        <v>40</v>
      </c>
      <c r="Q204" s="9" t="s">
        <v>119</v>
      </c>
      <c r="R204" s="9" t="s">
        <v>42</v>
      </c>
      <c r="S204" s="10">
        <v>8000.0</v>
      </c>
      <c r="T204" s="11" t="s">
        <v>37</v>
      </c>
      <c r="V204" s="9">
        <v>14.0</v>
      </c>
      <c r="W204" s="9" t="s">
        <v>900</v>
      </c>
      <c r="X204" s="9" t="s">
        <v>901</v>
      </c>
      <c r="Y204" s="9" t="s">
        <v>902</v>
      </c>
      <c r="Z204" s="9" t="s">
        <v>228</v>
      </c>
      <c r="AA204" s="9" t="s">
        <v>81</v>
      </c>
      <c r="AB204" s="9" t="s">
        <v>91</v>
      </c>
      <c r="AD204" s="9">
        <v>6.0</v>
      </c>
      <c r="AE204" s="9">
        <v>5.0</v>
      </c>
      <c r="AF204" s="9">
        <v>1.0</v>
      </c>
      <c r="AG204" s="12">
        <v>2500.0</v>
      </c>
      <c r="AH204" s="13"/>
    </row>
    <row r="205">
      <c r="A205" s="7">
        <v>44403.99548388889</v>
      </c>
      <c r="B205" s="8">
        <f t="shared" si="1"/>
        <v>2021</v>
      </c>
      <c r="C205" s="9" t="s">
        <v>73</v>
      </c>
      <c r="D205" s="9">
        <v>33.0</v>
      </c>
      <c r="E205" s="9" t="s">
        <v>35</v>
      </c>
      <c r="F205" s="9" t="s">
        <v>36</v>
      </c>
      <c r="G205" s="8" t="s">
        <v>124</v>
      </c>
      <c r="H205" s="9" t="s">
        <v>125</v>
      </c>
      <c r="I205" s="9" t="s">
        <v>38</v>
      </c>
      <c r="J205" s="9" t="s">
        <v>160</v>
      </c>
      <c r="K205" s="9" t="s">
        <v>234</v>
      </c>
      <c r="L205" s="9" t="s">
        <v>39</v>
      </c>
      <c r="M205" s="9" t="s">
        <v>40</v>
      </c>
      <c r="N205" s="9" t="s">
        <v>40</v>
      </c>
      <c r="Q205" s="9" t="s">
        <v>566</v>
      </c>
      <c r="R205" s="9" t="s">
        <v>42</v>
      </c>
      <c r="S205" s="10">
        <v>5800.0</v>
      </c>
      <c r="T205" s="11" t="s">
        <v>37</v>
      </c>
      <c r="U205" s="9">
        <v>0.0</v>
      </c>
      <c r="V205" s="9">
        <v>15.0</v>
      </c>
      <c r="W205" s="9" t="s">
        <v>903</v>
      </c>
      <c r="X205" s="9" t="s">
        <v>904</v>
      </c>
      <c r="Y205" s="9" t="s">
        <v>131</v>
      </c>
      <c r="Z205" s="9" t="s">
        <v>896</v>
      </c>
      <c r="AA205" s="9" t="s">
        <v>132</v>
      </c>
      <c r="AB205" s="9" t="s">
        <v>61</v>
      </c>
      <c r="AD205" s="9">
        <v>6.0</v>
      </c>
      <c r="AE205" s="9">
        <v>8.0</v>
      </c>
      <c r="AF205" s="9" t="s">
        <v>905</v>
      </c>
      <c r="AG205" s="12">
        <v>2500.0</v>
      </c>
      <c r="AH205" s="13"/>
    </row>
    <row r="206">
      <c r="A206" s="14">
        <v>44403.863613333335</v>
      </c>
      <c r="B206" s="8">
        <f t="shared" si="1"/>
        <v>2021</v>
      </c>
      <c r="C206" s="8" t="s">
        <v>49</v>
      </c>
      <c r="D206" s="8">
        <v>24.0</v>
      </c>
      <c r="E206" s="8" t="s">
        <v>35</v>
      </c>
      <c r="F206" s="8" t="s">
        <v>36</v>
      </c>
      <c r="G206" s="8" t="s">
        <v>74</v>
      </c>
      <c r="H206" s="8" t="s">
        <v>482</v>
      </c>
      <c r="I206" s="8" t="s">
        <v>38</v>
      </c>
      <c r="J206" s="8" t="s">
        <v>906</v>
      </c>
      <c r="K206" s="8" t="s">
        <v>907</v>
      </c>
      <c r="L206" s="8" t="s">
        <v>39</v>
      </c>
      <c r="M206" s="8" t="s">
        <v>40</v>
      </c>
      <c r="N206" s="8" t="s">
        <v>40</v>
      </c>
      <c r="O206" s="15"/>
      <c r="P206" s="15"/>
      <c r="Q206" s="8" t="s">
        <v>128</v>
      </c>
      <c r="R206" s="9" t="s">
        <v>42</v>
      </c>
      <c r="S206" s="16">
        <v>2500.0</v>
      </c>
      <c r="T206" s="17">
        <v>0.0</v>
      </c>
      <c r="U206" s="8">
        <v>0.0</v>
      </c>
      <c r="V206" s="8">
        <v>16.0</v>
      </c>
      <c r="W206" s="8" t="s">
        <v>908</v>
      </c>
      <c r="X206" s="8" t="s">
        <v>909</v>
      </c>
      <c r="Y206" s="8" t="s">
        <v>363</v>
      </c>
      <c r="Z206" s="8" t="s">
        <v>80</v>
      </c>
      <c r="AA206" s="8" t="s">
        <v>60</v>
      </c>
      <c r="AB206" s="8" t="s">
        <v>61</v>
      </c>
      <c r="AC206" s="15"/>
      <c r="AD206" s="8">
        <v>7.0</v>
      </c>
      <c r="AE206" s="8">
        <v>1.0</v>
      </c>
      <c r="AF206" s="8">
        <v>0.0</v>
      </c>
      <c r="AG206" s="18">
        <v>2500.0</v>
      </c>
      <c r="AH206" s="13"/>
      <c r="AI206" s="15"/>
      <c r="AJ206" s="15"/>
      <c r="AK206" s="15"/>
      <c r="AL206" s="15"/>
      <c r="AM206" s="15"/>
      <c r="AN206" s="15"/>
    </row>
    <row r="207">
      <c r="A207" s="7">
        <v>44403.98043267361</v>
      </c>
      <c r="B207" s="8">
        <f t="shared" si="1"/>
        <v>2021</v>
      </c>
      <c r="C207" s="9" t="s">
        <v>49</v>
      </c>
      <c r="D207" s="9">
        <v>30.0</v>
      </c>
      <c r="E207" s="9" t="s">
        <v>35</v>
      </c>
      <c r="F207" s="9" t="s">
        <v>36</v>
      </c>
      <c r="G207" s="8" t="s">
        <v>50</v>
      </c>
      <c r="H207" s="8" t="s">
        <v>493</v>
      </c>
      <c r="I207" s="9" t="s">
        <v>38</v>
      </c>
      <c r="J207" s="9" t="s">
        <v>910</v>
      </c>
      <c r="L207" s="9" t="s">
        <v>40</v>
      </c>
      <c r="M207" s="9" t="s">
        <v>40</v>
      </c>
      <c r="N207" s="9" t="s">
        <v>40</v>
      </c>
      <c r="Q207" s="9" t="s">
        <v>182</v>
      </c>
      <c r="R207" s="9" t="s">
        <v>42</v>
      </c>
      <c r="S207" s="10">
        <v>9500.0</v>
      </c>
      <c r="T207" s="11">
        <v>0.0</v>
      </c>
      <c r="U207" s="9">
        <v>0.0</v>
      </c>
      <c r="V207" s="9">
        <v>16.0</v>
      </c>
      <c r="W207" s="9" t="s">
        <v>911</v>
      </c>
      <c r="X207" s="9" t="s">
        <v>912</v>
      </c>
      <c r="Y207" s="9" t="s">
        <v>124</v>
      </c>
      <c r="Z207" s="9" t="s">
        <v>913</v>
      </c>
      <c r="AA207" s="9" t="s">
        <v>71</v>
      </c>
      <c r="AB207" s="9" t="s">
        <v>91</v>
      </c>
      <c r="AD207" s="9">
        <v>9.0</v>
      </c>
      <c r="AE207" s="9">
        <v>7.0</v>
      </c>
      <c r="AF207" s="9">
        <v>2.0</v>
      </c>
      <c r="AG207" s="12">
        <v>2500.0</v>
      </c>
      <c r="AH207" s="13"/>
    </row>
    <row r="208">
      <c r="A208" s="14">
        <v>44403.8595900463</v>
      </c>
      <c r="B208" s="8">
        <f t="shared" si="1"/>
        <v>2021</v>
      </c>
      <c r="C208" s="8" t="s">
        <v>49</v>
      </c>
      <c r="D208" s="8">
        <v>24.0</v>
      </c>
      <c r="E208" s="8" t="s">
        <v>35</v>
      </c>
      <c r="F208" s="8" t="s">
        <v>36</v>
      </c>
      <c r="G208" s="8" t="s">
        <v>515</v>
      </c>
      <c r="H208" s="8" t="s">
        <v>914</v>
      </c>
      <c r="I208" s="8" t="s">
        <v>93</v>
      </c>
      <c r="J208" s="8" t="s">
        <v>160</v>
      </c>
      <c r="K208" s="8" t="s">
        <v>915</v>
      </c>
      <c r="L208" s="8" t="s">
        <v>39</v>
      </c>
      <c r="M208" s="8" t="s">
        <v>40</v>
      </c>
      <c r="N208" s="8" t="s">
        <v>40</v>
      </c>
      <c r="O208" s="15"/>
      <c r="P208" s="15"/>
      <c r="Q208" s="9" t="s">
        <v>548</v>
      </c>
      <c r="R208" s="9" t="s">
        <v>42</v>
      </c>
      <c r="S208" s="16">
        <v>4300.0</v>
      </c>
      <c r="T208" s="17">
        <v>0.0</v>
      </c>
      <c r="U208" s="15"/>
      <c r="V208" s="8">
        <v>16.0</v>
      </c>
      <c r="W208" s="8" t="s">
        <v>916</v>
      </c>
      <c r="X208" s="8" t="s">
        <v>917</v>
      </c>
      <c r="Y208" s="8" t="s">
        <v>58</v>
      </c>
      <c r="Z208" s="8" t="s">
        <v>59</v>
      </c>
      <c r="AA208" s="8" t="s">
        <v>71</v>
      </c>
      <c r="AB208" s="8" t="s">
        <v>91</v>
      </c>
      <c r="AC208" s="15"/>
      <c r="AD208" s="8">
        <v>8.0</v>
      </c>
      <c r="AE208" s="8">
        <v>3.0</v>
      </c>
      <c r="AF208" s="8">
        <v>1.0</v>
      </c>
      <c r="AG208" s="18">
        <v>2500.0</v>
      </c>
      <c r="AH208" s="13"/>
      <c r="AI208" s="15"/>
      <c r="AJ208" s="15"/>
      <c r="AK208" s="15"/>
      <c r="AL208" s="15"/>
      <c r="AM208" s="15"/>
      <c r="AN208" s="15"/>
    </row>
    <row r="209">
      <c r="A209" s="7">
        <v>44403.91474755787</v>
      </c>
      <c r="B209" s="8">
        <f t="shared" si="1"/>
        <v>2021</v>
      </c>
      <c r="C209" s="9" t="s">
        <v>49</v>
      </c>
      <c r="D209" s="9">
        <v>25.0</v>
      </c>
      <c r="E209" s="9" t="s">
        <v>35</v>
      </c>
      <c r="F209" s="9" t="s">
        <v>36</v>
      </c>
      <c r="G209" s="8" t="s">
        <v>74</v>
      </c>
      <c r="H209" s="8" t="s">
        <v>74</v>
      </c>
      <c r="I209" s="9" t="s">
        <v>93</v>
      </c>
      <c r="J209" s="9" t="s">
        <v>75</v>
      </c>
      <c r="K209" s="9" t="s">
        <v>918</v>
      </c>
      <c r="L209" s="9" t="s">
        <v>39</v>
      </c>
      <c r="M209" s="9" t="s">
        <v>40</v>
      </c>
      <c r="N209" s="9" t="s">
        <v>40</v>
      </c>
      <c r="Q209" s="9" t="s">
        <v>128</v>
      </c>
      <c r="R209" s="9" t="s">
        <v>42</v>
      </c>
      <c r="S209" s="10">
        <v>5367.0</v>
      </c>
      <c r="T209" s="11">
        <v>8000.0</v>
      </c>
      <c r="U209" s="9">
        <v>0.0</v>
      </c>
      <c r="V209" s="9">
        <v>17.0</v>
      </c>
      <c r="W209" s="9" t="s">
        <v>919</v>
      </c>
      <c r="X209" s="9" t="s">
        <v>920</v>
      </c>
      <c r="Y209" s="9" t="s">
        <v>79</v>
      </c>
      <c r="Z209" s="9" t="s">
        <v>80</v>
      </c>
      <c r="AA209" s="9" t="s">
        <v>90</v>
      </c>
      <c r="AB209" s="9" t="s">
        <v>61</v>
      </c>
      <c r="AD209" s="9">
        <v>9.0</v>
      </c>
      <c r="AE209" s="9">
        <v>4.0</v>
      </c>
      <c r="AF209" s="9">
        <v>3.0</v>
      </c>
      <c r="AG209" s="12">
        <v>2500.0</v>
      </c>
      <c r="AH209" s="13"/>
    </row>
    <row r="210">
      <c r="A210" s="14">
        <v>44403.85834335648</v>
      </c>
      <c r="B210" s="8">
        <f t="shared" si="1"/>
        <v>2021</v>
      </c>
      <c r="C210" s="8" t="s">
        <v>49</v>
      </c>
      <c r="D210" s="8">
        <v>26.0</v>
      </c>
      <c r="E210" s="8" t="s">
        <v>35</v>
      </c>
      <c r="F210" s="8" t="s">
        <v>36</v>
      </c>
      <c r="G210" s="8" t="s">
        <v>124</v>
      </c>
      <c r="H210" s="8" t="s">
        <v>206</v>
      </c>
      <c r="I210" s="8" t="s">
        <v>38</v>
      </c>
      <c r="J210" s="8" t="s">
        <v>921</v>
      </c>
      <c r="K210" s="9" t="s">
        <v>337</v>
      </c>
      <c r="L210" s="8" t="s">
        <v>39</v>
      </c>
      <c r="M210" s="8" t="s">
        <v>40</v>
      </c>
      <c r="N210" s="8" t="s">
        <v>40</v>
      </c>
      <c r="O210" s="15"/>
      <c r="P210" s="15"/>
      <c r="Q210" s="8" t="s">
        <v>146</v>
      </c>
      <c r="R210" s="9" t="s">
        <v>42</v>
      </c>
      <c r="S210" s="16">
        <v>3000.0</v>
      </c>
      <c r="T210" s="17">
        <v>0.0</v>
      </c>
      <c r="U210" s="8">
        <v>0.0</v>
      </c>
      <c r="V210" s="8">
        <v>18.0</v>
      </c>
      <c r="W210" s="8" t="s">
        <v>320</v>
      </c>
      <c r="X210" s="8" t="s">
        <v>922</v>
      </c>
      <c r="Y210" s="8" t="s">
        <v>923</v>
      </c>
      <c r="Z210" s="8" t="s">
        <v>670</v>
      </c>
      <c r="AA210" s="8" t="s">
        <v>47</v>
      </c>
      <c r="AB210" s="8" t="s">
        <v>61</v>
      </c>
      <c r="AC210" s="15"/>
      <c r="AD210" s="8">
        <v>5.0</v>
      </c>
      <c r="AE210" s="8">
        <v>2.0</v>
      </c>
      <c r="AF210" s="8">
        <v>2.0</v>
      </c>
      <c r="AG210" s="18">
        <v>2500.0</v>
      </c>
      <c r="AH210" s="13"/>
      <c r="AI210" s="15"/>
      <c r="AJ210" s="15"/>
      <c r="AK210" s="15"/>
      <c r="AL210" s="15"/>
      <c r="AM210" s="15"/>
      <c r="AN210" s="15"/>
    </row>
    <row r="211">
      <c r="A211" s="7">
        <v>44403.95228329861</v>
      </c>
      <c r="B211" s="8">
        <f t="shared" si="1"/>
        <v>2021</v>
      </c>
      <c r="C211" s="9" t="s">
        <v>49</v>
      </c>
      <c r="D211" s="9">
        <v>33.0</v>
      </c>
      <c r="E211" s="9" t="s">
        <v>35</v>
      </c>
      <c r="F211" s="9" t="s">
        <v>36</v>
      </c>
      <c r="G211" s="8" t="s">
        <v>50</v>
      </c>
      <c r="H211" s="9" t="s">
        <v>82</v>
      </c>
      <c r="I211" s="9" t="s">
        <v>38</v>
      </c>
      <c r="J211" s="9" t="s">
        <v>83</v>
      </c>
      <c r="K211" s="9" t="s">
        <v>924</v>
      </c>
      <c r="L211" s="9" t="s">
        <v>40</v>
      </c>
      <c r="M211" s="9" t="s">
        <v>40</v>
      </c>
      <c r="N211" s="9" t="s">
        <v>39</v>
      </c>
      <c r="P211" s="9" t="s">
        <v>925</v>
      </c>
      <c r="Q211" s="9" t="s">
        <v>128</v>
      </c>
      <c r="R211" s="9" t="s">
        <v>42</v>
      </c>
      <c r="S211" s="10">
        <v>13300.0</v>
      </c>
      <c r="T211" s="11">
        <v>23000.0</v>
      </c>
      <c r="U211" s="9">
        <v>0.0</v>
      </c>
      <c r="V211" s="9">
        <v>18.0</v>
      </c>
      <c r="W211" s="9" t="s">
        <v>926</v>
      </c>
      <c r="X211" s="9" t="s">
        <v>927</v>
      </c>
      <c r="Y211" s="9" t="s">
        <v>928</v>
      </c>
      <c r="Z211" s="9" t="s">
        <v>80</v>
      </c>
      <c r="AA211" s="9" t="s">
        <v>60</v>
      </c>
      <c r="AB211" s="9" t="s">
        <v>61</v>
      </c>
      <c r="AD211" s="9">
        <v>6.0</v>
      </c>
      <c r="AE211" s="9">
        <v>10.0</v>
      </c>
      <c r="AF211" s="9">
        <v>4.0</v>
      </c>
      <c r="AG211" s="12">
        <v>2500.0</v>
      </c>
      <c r="AH211" s="13"/>
    </row>
    <row r="212">
      <c r="A212" s="7">
        <v>44404.38012673611</v>
      </c>
      <c r="B212" s="8">
        <f t="shared" si="1"/>
        <v>2021</v>
      </c>
      <c r="C212" s="9" t="s">
        <v>49</v>
      </c>
      <c r="D212" s="9">
        <v>34.0</v>
      </c>
      <c r="E212" s="9" t="s">
        <v>35</v>
      </c>
      <c r="F212" s="9" t="s">
        <v>36</v>
      </c>
      <c r="G212" s="8" t="s">
        <v>50</v>
      </c>
      <c r="H212" s="8" t="s">
        <v>82</v>
      </c>
      <c r="I212" s="9" t="s">
        <v>247</v>
      </c>
      <c r="J212" s="9" t="s">
        <v>65</v>
      </c>
      <c r="K212" s="9" t="s">
        <v>66</v>
      </c>
      <c r="L212" s="9" t="s">
        <v>39</v>
      </c>
      <c r="M212" s="9" t="s">
        <v>40</v>
      </c>
      <c r="N212" s="9" t="s">
        <v>40</v>
      </c>
      <c r="Q212" s="9" t="s">
        <v>377</v>
      </c>
      <c r="R212" s="9" t="s">
        <v>42</v>
      </c>
      <c r="S212" s="10">
        <v>13500.0</v>
      </c>
      <c r="T212" s="11">
        <v>15000.0</v>
      </c>
      <c r="V212" s="9">
        <v>18.0</v>
      </c>
      <c r="W212" s="9" t="s">
        <v>929</v>
      </c>
      <c r="X212" s="9" t="s">
        <v>930</v>
      </c>
      <c r="Y212" s="9" t="s">
        <v>931</v>
      </c>
      <c r="Z212" s="9" t="s">
        <v>350</v>
      </c>
      <c r="AA212" s="9" t="s">
        <v>81</v>
      </c>
      <c r="AB212" s="9" t="s">
        <v>61</v>
      </c>
      <c r="AD212" s="9">
        <v>8.0</v>
      </c>
      <c r="AE212" s="9">
        <v>10.0</v>
      </c>
      <c r="AF212" s="9">
        <v>3.0</v>
      </c>
      <c r="AG212" s="12">
        <v>2500.0</v>
      </c>
      <c r="AH212" s="13"/>
    </row>
    <row r="213">
      <c r="A213" s="7">
        <v>44404.48691319444</v>
      </c>
      <c r="B213" s="8">
        <f t="shared" si="1"/>
        <v>2021</v>
      </c>
      <c r="C213" s="9" t="s">
        <v>49</v>
      </c>
      <c r="D213" s="9">
        <v>24.0</v>
      </c>
      <c r="E213" s="9" t="s">
        <v>35</v>
      </c>
      <c r="F213" s="9" t="s">
        <v>36</v>
      </c>
      <c r="G213" s="8" t="s">
        <v>50</v>
      </c>
      <c r="H213" s="9" t="s">
        <v>932</v>
      </c>
      <c r="I213" s="9" t="s">
        <v>38</v>
      </c>
      <c r="J213" s="9" t="s">
        <v>160</v>
      </c>
      <c r="K213" s="9" t="s">
        <v>161</v>
      </c>
      <c r="L213" s="9" t="s">
        <v>39</v>
      </c>
      <c r="M213" s="9" t="s">
        <v>39</v>
      </c>
      <c r="N213" s="9" t="s">
        <v>40</v>
      </c>
      <c r="O213" s="9" t="s">
        <v>933</v>
      </c>
      <c r="Q213" s="9" t="s">
        <v>272</v>
      </c>
      <c r="R213" s="9" t="s">
        <v>42</v>
      </c>
      <c r="S213" s="10">
        <v>4000.0</v>
      </c>
      <c r="T213" s="11">
        <v>0.0</v>
      </c>
      <c r="U213" s="9">
        <v>0.0</v>
      </c>
      <c r="V213" s="9">
        <v>19.0</v>
      </c>
      <c r="W213" s="9" t="s">
        <v>934</v>
      </c>
      <c r="X213" s="9" t="s">
        <v>935</v>
      </c>
      <c r="Y213" s="9" t="s">
        <v>131</v>
      </c>
      <c r="Z213" s="9" t="s">
        <v>59</v>
      </c>
      <c r="AA213" s="9" t="s">
        <v>90</v>
      </c>
      <c r="AB213" s="9" t="s">
        <v>133</v>
      </c>
      <c r="AC213" s="9" t="s">
        <v>936</v>
      </c>
      <c r="AD213" s="9">
        <v>7.0</v>
      </c>
      <c r="AE213" s="9" t="s">
        <v>937</v>
      </c>
      <c r="AF213" s="9">
        <v>2.0</v>
      </c>
      <c r="AG213" s="12">
        <v>2500.0</v>
      </c>
      <c r="AH213" s="13"/>
    </row>
    <row r="214">
      <c r="A214" s="14">
        <v>44403.86344891204</v>
      </c>
      <c r="B214" s="8">
        <f t="shared" si="1"/>
        <v>2021</v>
      </c>
      <c r="C214" s="8" t="s">
        <v>49</v>
      </c>
      <c r="D214" s="8">
        <v>31.0</v>
      </c>
      <c r="E214" s="8" t="s">
        <v>35</v>
      </c>
      <c r="F214" s="8" t="s">
        <v>36</v>
      </c>
      <c r="G214" s="8" t="s">
        <v>50</v>
      </c>
      <c r="H214" s="9" t="s">
        <v>570</v>
      </c>
      <c r="I214" s="8" t="s">
        <v>38</v>
      </c>
      <c r="J214" s="9" t="s">
        <v>75</v>
      </c>
      <c r="K214" s="9" t="s">
        <v>337</v>
      </c>
      <c r="L214" s="8" t="s">
        <v>39</v>
      </c>
      <c r="M214" s="8" t="s">
        <v>40</v>
      </c>
      <c r="N214" s="8" t="s">
        <v>40</v>
      </c>
      <c r="O214" s="15"/>
      <c r="P214" s="15"/>
      <c r="Q214" s="8" t="s">
        <v>146</v>
      </c>
      <c r="R214" s="9" t="s">
        <v>42</v>
      </c>
      <c r="S214" s="16">
        <v>6046.0</v>
      </c>
      <c r="T214" s="17">
        <v>6046.0</v>
      </c>
      <c r="U214" s="8">
        <v>0.0</v>
      </c>
      <c r="V214" s="8">
        <v>19.0</v>
      </c>
      <c r="W214" s="8" t="s">
        <v>938</v>
      </c>
      <c r="X214" s="8" t="s">
        <v>939</v>
      </c>
      <c r="Y214" s="8" t="s">
        <v>58</v>
      </c>
      <c r="Z214" s="8" t="s">
        <v>59</v>
      </c>
      <c r="AA214" s="8" t="s">
        <v>132</v>
      </c>
      <c r="AB214" s="8" t="s">
        <v>133</v>
      </c>
      <c r="AC214" s="15"/>
      <c r="AD214" s="8">
        <v>5.0</v>
      </c>
      <c r="AE214" s="8">
        <v>6.0</v>
      </c>
      <c r="AF214" s="8">
        <v>2.0</v>
      </c>
      <c r="AG214" s="18">
        <v>2500.0</v>
      </c>
      <c r="AH214" s="13"/>
      <c r="AI214" s="15"/>
      <c r="AJ214" s="15"/>
      <c r="AK214" s="15"/>
      <c r="AL214" s="15"/>
      <c r="AM214" s="15"/>
      <c r="AN214" s="15"/>
    </row>
    <row r="215">
      <c r="A215" s="14">
        <v>44403.85218109954</v>
      </c>
      <c r="B215" s="8">
        <f t="shared" si="1"/>
        <v>2021</v>
      </c>
      <c r="C215" s="8" t="s">
        <v>49</v>
      </c>
      <c r="D215" s="8">
        <v>29.0</v>
      </c>
      <c r="E215" s="8" t="s">
        <v>35</v>
      </c>
      <c r="F215" s="8" t="s">
        <v>36</v>
      </c>
      <c r="G215" s="8" t="s">
        <v>50</v>
      </c>
      <c r="H215" s="8" t="s">
        <v>106</v>
      </c>
      <c r="I215" s="8" t="s">
        <v>38</v>
      </c>
      <c r="J215" s="9" t="s">
        <v>160</v>
      </c>
      <c r="K215" s="9" t="s">
        <v>134</v>
      </c>
      <c r="L215" s="8" t="s">
        <v>39</v>
      </c>
      <c r="M215" s="8" t="s">
        <v>40</v>
      </c>
      <c r="N215" s="8" t="s">
        <v>40</v>
      </c>
      <c r="O215" s="15"/>
      <c r="P215" s="15"/>
      <c r="Q215" s="8" t="s">
        <v>634</v>
      </c>
      <c r="R215" s="9" t="s">
        <v>42</v>
      </c>
      <c r="S215" s="16">
        <v>5000.0</v>
      </c>
      <c r="T215" s="17">
        <v>0.0</v>
      </c>
      <c r="U215" s="8">
        <v>0.0</v>
      </c>
      <c r="V215" s="8">
        <v>20.0</v>
      </c>
      <c r="W215" s="8" t="s">
        <v>940</v>
      </c>
      <c r="X215" s="8" t="s">
        <v>941</v>
      </c>
      <c r="Y215" s="8" t="s">
        <v>82</v>
      </c>
      <c r="Z215" s="8" t="s">
        <v>350</v>
      </c>
      <c r="AA215" s="8" t="s">
        <v>81</v>
      </c>
      <c r="AB215" s="8" t="s">
        <v>61</v>
      </c>
      <c r="AC215" s="15"/>
      <c r="AD215" s="8">
        <v>7.0</v>
      </c>
      <c r="AE215" s="8">
        <v>4.0</v>
      </c>
      <c r="AF215" s="8">
        <v>1.0</v>
      </c>
      <c r="AG215" s="18">
        <v>2500.0</v>
      </c>
      <c r="AH215" s="13"/>
      <c r="AI215" s="15"/>
      <c r="AJ215" s="15"/>
      <c r="AK215" s="15"/>
      <c r="AL215" s="15"/>
      <c r="AM215" s="15"/>
      <c r="AN215" s="15"/>
    </row>
    <row r="216">
      <c r="A216" s="14">
        <v>44403.852788993056</v>
      </c>
      <c r="B216" s="8">
        <f t="shared" si="1"/>
        <v>2021</v>
      </c>
      <c r="C216" s="8" t="s">
        <v>49</v>
      </c>
      <c r="D216" s="8">
        <v>27.0</v>
      </c>
      <c r="E216" s="8" t="s">
        <v>35</v>
      </c>
      <c r="F216" s="8" t="s">
        <v>36</v>
      </c>
      <c r="G216" s="8" t="s">
        <v>50</v>
      </c>
      <c r="H216" s="8" t="s">
        <v>106</v>
      </c>
      <c r="I216" s="8" t="s">
        <v>38</v>
      </c>
      <c r="J216" s="9" t="s">
        <v>75</v>
      </c>
      <c r="K216" s="9" t="s">
        <v>875</v>
      </c>
      <c r="L216" s="8" t="s">
        <v>39</v>
      </c>
      <c r="M216" s="8" t="s">
        <v>40</v>
      </c>
      <c r="N216" s="8" t="s">
        <v>40</v>
      </c>
      <c r="O216" s="15"/>
      <c r="P216" s="15"/>
      <c r="Q216" s="8" t="s">
        <v>255</v>
      </c>
      <c r="R216" s="9" t="s">
        <v>42</v>
      </c>
      <c r="S216" s="16">
        <v>7000.0</v>
      </c>
      <c r="T216" s="17">
        <v>0.0</v>
      </c>
      <c r="U216" s="8">
        <v>0.0</v>
      </c>
      <c r="V216" s="8">
        <v>20.0</v>
      </c>
      <c r="W216" s="8" t="s">
        <v>942</v>
      </c>
      <c r="X216" s="8" t="s">
        <v>943</v>
      </c>
      <c r="Y216" s="8" t="s">
        <v>58</v>
      </c>
      <c r="Z216" s="8" t="s">
        <v>70</v>
      </c>
      <c r="AA216" s="8" t="s">
        <v>47</v>
      </c>
      <c r="AB216" s="8" t="s">
        <v>61</v>
      </c>
      <c r="AC216" s="15"/>
      <c r="AD216" s="8">
        <v>8.0</v>
      </c>
      <c r="AE216" s="8">
        <v>5.0</v>
      </c>
      <c r="AF216" s="8">
        <v>4.0</v>
      </c>
      <c r="AG216" s="18">
        <v>2500.0</v>
      </c>
      <c r="AH216" s="13"/>
      <c r="AI216" s="15"/>
      <c r="AJ216" s="15"/>
      <c r="AK216" s="15"/>
      <c r="AL216" s="15"/>
      <c r="AM216" s="15"/>
      <c r="AN216" s="15"/>
    </row>
    <row r="217">
      <c r="A217" s="7">
        <v>44403.9554658912</v>
      </c>
      <c r="B217" s="8">
        <f t="shared" si="1"/>
        <v>2021</v>
      </c>
      <c r="C217" s="9" t="s">
        <v>49</v>
      </c>
      <c r="D217" s="9">
        <v>39.0</v>
      </c>
      <c r="E217" s="9" t="s">
        <v>35</v>
      </c>
      <c r="F217" s="9" t="s">
        <v>36</v>
      </c>
      <c r="G217" s="8" t="s">
        <v>50</v>
      </c>
      <c r="H217" s="9" t="s">
        <v>106</v>
      </c>
      <c r="I217" s="9" t="s">
        <v>247</v>
      </c>
      <c r="J217" s="9" t="s">
        <v>207</v>
      </c>
      <c r="K217" s="9" t="s">
        <v>944</v>
      </c>
      <c r="L217" s="9" t="s">
        <v>39</v>
      </c>
      <c r="M217" s="9" t="s">
        <v>40</v>
      </c>
      <c r="N217" s="9" t="s">
        <v>40</v>
      </c>
      <c r="Q217" s="9" t="s">
        <v>146</v>
      </c>
      <c r="R217" s="9" t="s">
        <v>42</v>
      </c>
      <c r="S217" s="10">
        <v>6500.0</v>
      </c>
      <c r="T217" s="11">
        <v>7000.0</v>
      </c>
      <c r="U217" s="9">
        <v>1000.0</v>
      </c>
      <c r="V217" s="9">
        <v>21.0</v>
      </c>
      <c r="W217" s="9" t="s">
        <v>945</v>
      </c>
      <c r="X217" s="9" t="s">
        <v>946</v>
      </c>
      <c r="Y217" s="9" t="s">
        <v>947</v>
      </c>
      <c r="Z217" s="9" t="s">
        <v>185</v>
      </c>
      <c r="AA217" s="9" t="s">
        <v>132</v>
      </c>
      <c r="AB217" s="9" t="s">
        <v>61</v>
      </c>
      <c r="AD217" s="9">
        <v>8.0</v>
      </c>
      <c r="AE217" s="9">
        <v>23.0</v>
      </c>
      <c r="AF217" s="9">
        <v>6.0</v>
      </c>
      <c r="AG217" s="12">
        <v>2500.0</v>
      </c>
      <c r="AH217" s="13"/>
    </row>
    <row r="218">
      <c r="A218" s="14">
        <v>44403.89322295139</v>
      </c>
      <c r="B218" s="8">
        <f t="shared" si="1"/>
        <v>2021</v>
      </c>
      <c r="C218" s="8" t="s">
        <v>49</v>
      </c>
      <c r="D218" s="8">
        <v>29.0</v>
      </c>
      <c r="E218" s="8" t="s">
        <v>35</v>
      </c>
      <c r="F218" s="8" t="s">
        <v>36</v>
      </c>
      <c r="G218" s="8" t="s">
        <v>50</v>
      </c>
      <c r="H218" s="8" t="s">
        <v>106</v>
      </c>
      <c r="I218" s="8" t="s">
        <v>38</v>
      </c>
      <c r="J218" s="9" t="s">
        <v>75</v>
      </c>
      <c r="K218" s="8" t="s">
        <v>407</v>
      </c>
      <c r="L218" s="8" t="s">
        <v>39</v>
      </c>
      <c r="M218" s="8" t="s">
        <v>40</v>
      </c>
      <c r="N218" s="8" t="s">
        <v>40</v>
      </c>
      <c r="O218" s="15"/>
      <c r="P218" s="15"/>
      <c r="Q218" s="8" t="s">
        <v>511</v>
      </c>
      <c r="R218" s="9" t="s">
        <v>42</v>
      </c>
      <c r="S218" s="16">
        <v>6500.0</v>
      </c>
      <c r="T218" s="17">
        <v>8900.0</v>
      </c>
      <c r="U218" s="15"/>
      <c r="V218" s="8">
        <v>24.0</v>
      </c>
      <c r="W218" s="8" t="s">
        <v>948</v>
      </c>
      <c r="X218" s="8" t="s">
        <v>949</v>
      </c>
      <c r="Y218" s="8" t="s">
        <v>734</v>
      </c>
      <c r="Z218" s="8" t="s">
        <v>481</v>
      </c>
      <c r="AA218" s="8" t="s">
        <v>132</v>
      </c>
      <c r="AB218" s="8" t="s">
        <v>61</v>
      </c>
      <c r="AC218" s="15"/>
      <c r="AD218" s="8">
        <v>5.0</v>
      </c>
      <c r="AE218" s="8">
        <v>6.0</v>
      </c>
      <c r="AF218" s="8">
        <v>1.0</v>
      </c>
      <c r="AG218" s="18">
        <v>2500.0</v>
      </c>
      <c r="AH218" s="13"/>
      <c r="AI218" s="15"/>
      <c r="AJ218" s="15"/>
      <c r="AK218" s="15"/>
      <c r="AL218" s="15"/>
      <c r="AM218" s="15"/>
      <c r="AN218" s="15"/>
    </row>
    <row r="219">
      <c r="A219" s="7">
        <v>44611.59964035879</v>
      </c>
      <c r="B219" s="8">
        <f t="shared" si="1"/>
        <v>2022</v>
      </c>
      <c r="C219" s="9" t="s">
        <v>49</v>
      </c>
      <c r="D219" s="9">
        <v>24.0</v>
      </c>
      <c r="E219" s="9" t="s">
        <v>35</v>
      </c>
      <c r="F219" s="9" t="s">
        <v>36</v>
      </c>
      <c r="G219" s="8" t="s">
        <v>124</v>
      </c>
      <c r="H219" s="9" t="s">
        <v>606</v>
      </c>
      <c r="I219" s="9" t="s">
        <v>38</v>
      </c>
      <c r="J219" s="9" t="s">
        <v>160</v>
      </c>
      <c r="K219" s="9" t="s">
        <v>221</v>
      </c>
      <c r="L219" s="9" t="s">
        <v>39</v>
      </c>
      <c r="M219" s="9" t="s">
        <v>40</v>
      </c>
      <c r="N219" s="9" t="s">
        <v>40</v>
      </c>
      <c r="Q219" s="9" t="s">
        <v>950</v>
      </c>
      <c r="R219" s="9" t="s">
        <v>42</v>
      </c>
      <c r="S219" s="10">
        <v>2600.0</v>
      </c>
      <c r="T219" s="11">
        <v>0.0</v>
      </c>
      <c r="U219" s="9">
        <v>0.0</v>
      </c>
      <c r="V219" s="9">
        <v>14.0</v>
      </c>
      <c r="W219" s="9" t="s">
        <v>951</v>
      </c>
      <c r="X219" s="9" t="s">
        <v>952</v>
      </c>
      <c r="Y219" s="9" t="s">
        <v>953</v>
      </c>
      <c r="Z219" s="9" t="s">
        <v>70</v>
      </c>
      <c r="AA219" s="9" t="s">
        <v>71</v>
      </c>
      <c r="AB219" s="9" t="s">
        <v>91</v>
      </c>
      <c r="AC219" s="9" t="s">
        <v>954</v>
      </c>
      <c r="AD219" s="9">
        <v>5.0</v>
      </c>
      <c r="AE219" s="9">
        <v>1.0</v>
      </c>
      <c r="AF219" s="9">
        <v>1.0</v>
      </c>
      <c r="AG219" s="12">
        <v>2600.0</v>
      </c>
      <c r="AH219" s="13"/>
    </row>
    <row r="220">
      <c r="A220" s="7">
        <v>44410.60270729166</v>
      </c>
      <c r="B220" s="8">
        <f t="shared" si="1"/>
        <v>2021</v>
      </c>
      <c r="C220" s="9" t="s">
        <v>49</v>
      </c>
      <c r="D220" s="9">
        <v>25.0</v>
      </c>
      <c r="E220" s="9" t="s">
        <v>35</v>
      </c>
      <c r="F220" s="9" t="s">
        <v>36</v>
      </c>
      <c r="G220" s="8" t="s">
        <v>63</v>
      </c>
      <c r="H220" s="9" t="s">
        <v>955</v>
      </c>
      <c r="I220" s="9" t="s">
        <v>38</v>
      </c>
      <c r="J220" s="9" t="s">
        <v>143</v>
      </c>
      <c r="K220" s="9" t="s">
        <v>327</v>
      </c>
      <c r="L220" s="9" t="s">
        <v>39</v>
      </c>
      <c r="M220" s="9" t="s">
        <v>40</v>
      </c>
      <c r="N220" s="9" t="s">
        <v>40</v>
      </c>
      <c r="Q220" s="9" t="s">
        <v>956</v>
      </c>
      <c r="R220" s="9" t="s">
        <v>42</v>
      </c>
      <c r="S220" s="10">
        <v>2600.0</v>
      </c>
      <c r="T220" s="11">
        <v>0.0</v>
      </c>
      <c r="U220" s="9">
        <v>0.0</v>
      </c>
      <c r="V220" s="9">
        <v>14.0</v>
      </c>
      <c r="W220" s="9" t="s">
        <v>957</v>
      </c>
      <c r="X220" s="9" t="s">
        <v>958</v>
      </c>
      <c r="Y220" s="9" t="s">
        <v>79</v>
      </c>
      <c r="Z220" s="9" t="s">
        <v>80</v>
      </c>
      <c r="AA220" s="9" t="s">
        <v>60</v>
      </c>
      <c r="AB220" s="9" t="s">
        <v>91</v>
      </c>
      <c r="AD220" s="9">
        <v>3.0</v>
      </c>
      <c r="AE220" s="9">
        <v>1.0</v>
      </c>
      <c r="AF220" s="9">
        <v>0.0</v>
      </c>
      <c r="AG220" s="12">
        <v>2600.0</v>
      </c>
      <c r="AH220" s="13"/>
    </row>
    <row r="221">
      <c r="A221" s="7">
        <v>44423.92588703704</v>
      </c>
      <c r="B221" s="8">
        <f t="shared" si="1"/>
        <v>2021</v>
      </c>
      <c r="C221" s="9" t="s">
        <v>49</v>
      </c>
      <c r="D221" s="9">
        <v>28.0</v>
      </c>
      <c r="E221" s="9" t="s">
        <v>35</v>
      </c>
      <c r="F221" s="9" t="s">
        <v>36</v>
      </c>
      <c r="G221" s="8" t="s">
        <v>50</v>
      </c>
      <c r="H221" s="8" t="s">
        <v>99</v>
      </c>
      <c r="I221" s="9" t="s">
        <v>38</v>
      </c>
      <c r="J221" s="9" t="s">
        <v>75</v>
      </c>
      <c r="K221" s="9" t="s">
        <v>959</v>
      </c>
      <c r="L221" s="9" t="s">
        <v>39</v>
      </c>
      <c r="M221" s="9" t="s">
        <v>40</v>
      </c>
      <c r="N221" s="9" t="s">
        <v>40</v>
      </c>
      <c r="Q221" s="9" t="s">
        <v>746</v>
      </c>
      <c r="R221" s="9" t="s">
        <v>42</v>
      </c>
      <c r="S221" s="10">
        <v>5150.0</v>
      </c>
      <c r="T221" s="11">
        <v>5000.0</v>
      </c>
      <c r="U221" s="9">
        <v>0.0</v>
      </c>
      <c r="V221" s="9">
        <v>14.0</v>
      </c>
      <c r="W221" s="9" t="s">
        <v>960</v>
      </c>
      <c r="X221" s="9" t="s">
        <v>961</v>
      </c>
      <c r="Y221" s="9" t="s">
        <v>99</v>
      </c>
      <c r="Z221" s="9" t="s">
        <v>59</v>
      </c>
      <c r="AA221" s="9" t="s">
        <v>60</v>
      </c>
      <c r="AB221" s="9" t="s">
        <v>61</v>
      </c>
      <c r="AD221" s="9">
        <v>4.0</v>
      </c>
      <c r="AE221" s="9">
        <v>4.0</v>
      </c>
      <c r="AF221" s="9">
        <v>1.0</v>
      </c>
      <c r="AG221" s="12">
        <v>2600.0</v>
      </c>
      <c r="AH221" s="13"/>
    </row>
    <row r="222">
      <c r="A222" s="7">
        <v>44424.79210333333</v>
      </c>
      <c r="B222" s="8">
        <f t="shared" si="1"/>
        <v>2021</v>
      </c>
      <c r="C222" s="9" t="s">
        <v>49</v>
      </c>
      <c r="D222" s="9">
        <v>33.0</v>
      </c>
      <c r="E222" s="9" t="s">
        <v>35</v>
      </c>
      <c r="F222" s="9" t="s">
        <v>36</v>
      </c>
      <c r="G222" s="8" t="s">
        <v>50</v>
      </c>
      <c r="H222" s="9" t="s">
        <v>570</v>
      </c>
      <c r="I222" s="9" t="s">
        <v>38</v>
      </c>
      <c r="J222" s="9" t="s">
        <v>220</v>
      </c>
      <c r="K222" s="9" t="s">
        <v>84</v>
      </c>
      <c r="L222" s="9" t="s">
        <v>39</v>
      </c>
      <c r="M222" s="9" t="s">
        <v>40</v>
      </c>
      <c r="N222" s="9" t="s">
        <v>40</v>
      </c>
      <c r="Q222" s="9" t="s">
        <v>962</v>
      </c>
      <c r="R222" s="9" t="s">
        <v>42</v>
      </c>
      <c r="S222" s="10">
        <v>10080.0</v>
      </c>
      <c r="T222" s="11">
        <v>10080.0</v>
      </c>
      <c r="U222" s="9">
        <v>1000.0</v>
      </c>
      <c r="V222" s="9">
        <v>18.0</v>
      </c>
      <c r="W222" s="9" t="s">
        <v>963</v>
      </c>
      <c r="X222" s="9" t="s">
        <v>964</v>
      </c>
      <c r="Y222" s="9" t="s">
        <v>122</v>
      </c>
      <c r="Z222" s="9" t="s">
        <v>159</v>
      </c>
      <c r="AA222" s="9" t="s">
        <v>60</v>
      </c>
      <c r="AB222" s="9" t="s">
        <v>91</v>
      </c>
      <c r="AD222" s="9">
        <v>6.0</v>
      </c>
      <c r="AE222" s="9">
        <v>10.0</v>
      </c>
      <c r="AF222" s="9">
        <v>2.0</v>
      </c>
      <c r="AG222" s="12">
        <v>2600.0</v>
      </c>
      <c r="AH222" s="13"/>
    </row>
    <row r="223">
      <c r="A223" s="7">
        <v>44615.7535041088</v>
      </c>
      <c r="B223" s="8">
        <f t="shared" si="1"/>
        <v>2022</v>
      </c>
      <c r="C223" s="9" t="s">
        <v>49</v>
      </c>
      <c r="D223" s="9">
        <v>29.0</v>
      </c>
      <c r="E223" s="9" t="s">
        <v>35</v>
      </c>
      <c r="F223" s="9" t="s">
        <v>36</v>
      </c>
      <c r="G223" s="8" t="s">
        <v>50</v>
      </c>
      <c r="H223" s="9" t="s">
        <v>82</v>
      </c>
      <c r="I223" s="9" t="s">
        <v>38</v>
      </c>
      <c r="J223" s="9" t="s">
        <v>160</v>
      </c>
      <c r="K223" s="9" t="s">
        <v>84</v>
      </c>
      <c r="L223" s="9" t="s">
        <v>39</v>
      </c>
      <c r="M223" s="9" t="s">
        <v>40</v>
      </c>
      <c r="N223" s="9" t="s">
        <v>40</v>
      </c>
      <c r="Q223" s="9" t="s">
        <v>182</v>
      </c>
      <c r="R223" s="9" t="s">
        <v>42</v>
      </c>
      <c r="S223" s="10">
        <v>5100.0</v>
      </c>
      <c r="T223" s="11">
        <v>6900.0</v>
      </c>
      <c r="V223" s="9">
        <v>18.0</v>
      </c>
      <c r="W223" s="9" t="s">
        <v>965</v>
      </c>
      <c r="X223" s="9" t="s">
        <v>966</v>
      </c>
      <c r="Y223" s="9" t="s">
        <v>122</v>
      </c>
      <c r="Z223" s="9" t="s">
        <v>59</v>
      </c>
      <c r="AA223" s="9" t="s">
        <v>71</v>
      </c>
      <c r="AB223" s="9" t="s">
        <v>61</v>
      </c>
      <c r="AD223" s="9">
        <v>7.0</v>
      </c>
      <c r="AE223" s="9" t="s">
        <v>967</v>
      </c>
      <c r="AF223" s="9">
        <v>0.0</v>
      </c>
      <c r="AG223" s="12">
        <v>2600.0</v>
      </c>
      <c r="AH223" s="13"/>
    </row>
    <row r="224">
      <c r="A224" s="7">
        <v>44404.945342997686</v>
      </c>
      <c r="B224" s="8">
        <f t="shared" si="1"/>
        <v>2021</v>
      </c>
      <c r="C224" s="9" t="s">
        <v>73</v>
      </c>
      <c r="D224" s="9">
        <v>31.0</v>
      </c>
      <c r="E224" s="9" t="s">
        <v>35</v>
      </c>
      <c r="F224" s="9" t="s">
        <v>36</v>
      </c>
      <c r="G224" s="8" t="s">
        <v>50</v>
      </c>
      <c r="H224" s="8" t="s">
        <v>37</v>
      </c>
      <c r="I224" s="9" t="s">
        <v>247</v>
      </c>
      <c r="J224" s="8" t="s">
        <v>160</v>
      </c>
      <c r="K224" s="9" t="s">
        <v>166</v>
      </c>
      <c r="L224" s="9" t="s">
        <v>40</v>
      </c>
      <c r="M224" s="9" t="s">
        <v>40</v>
      </c>
      <c r="N224" s="9" t="s">
        <v>39</v>
      </c>
      <c r="Q224" s="9" t="s">
        <v>333</v>
      </c>
      <c r="R224" s="9" t="s">
        <v>42</v>
      </c>
      <c r="S224" s="10">
        <v>12000.0</v>
      </c>
      <c r="T224" s="11">
        <v>12000.0</v>
      </c>
      <c r="V224" s="9">
        <v>18.0</v>
      </c>
      <c r="W224" s="9" t="s">
        <v>968</v>
      </c>
      <c r="X224" s="9" t="s">
        <v>731</v>
      </c>
      <c r="Y224" s="9" t="s">
        <v>50</v>
      </c>
      <c r="Z224" s="9" t="s">
        <v>89</v>
      </c>
      <c r="AA224" s="9" t="s">
        <v>132</v>
      </c>
      <c r="AB224" s="9" t="s">
        <v>61</v>
      </c>
      <c r="AD224" s="9">
        <v>7.0</v>
      </c>
      <c r="AE224" s="9">
        <v>6.0</v>
      </c>
      <c r="AF224" s="9">
        <v>3.0</v>
      </c>
      <c r="AG224" s="12">
        <v>2600.0</v>
      </c>
      <c r="AH224" s="13"/>
    </row>
    <row r="225">
      <c r="A225" s="7">
        <v>44557.94292673611</v>
      </c>
      <c r="B225" s="8">
        <f t="shared" si="1"/>
        <v>2021</v>
      </c>
      <c r="C225" s="9" t="s">
        <v>49</v>
      </c>
      <c r="D225" s="9">
        <v>35.0</v>
      </c>
      <c r="E225" s="9" t="s">
        <v>35</v>
      </c>
      <c r="F225" s="9" t="s">
        <v>36</v>
      </c>
      <c r="G225" s="9" t="s">
        <v>617</v>
      </c>
      <c r="H225" s="9" t="s">
        <v>621</v>
      </c>
      <c r="I225" s="9" t="s">
        <v>38</v>
      </c>
      <c r="J225" s="9" t="s">
        <v>75</v>
      </c>
      <c r="K225" s="9" t="s">
        <v>969</v>
      </c>
      <c r="L225" s="9" t="s">
        <v>39</v>
      </c>
      <c r="M225" s="9" t="s">
        <v>40</v>
      </c>
      <c r="N225" s="9" t="s">
        <v>39</v>
      </c>
      <c r="P225" s="9" t="s">
        <v>398</v>
      </c>
      <c r="Q225" s="9" t="s">
        <v>182</v>
      </c>
      <c r="R225" s="9" t="s">
        <v>42</v>
      </c>
      <c r="S225" s="10">
        <v>8500.0</v>
      </c>
      <c r="T225" s="11">
        <v>12000.0</v>
      </c>
      <c r="U225" s="9">
        <v>0.0</v>
      </c>
      <c r="V225" s="9">
        <v>20.0</v>
      </c>
      <c r="W225" s="9" t="s">
        <v>970</v>
      </c>
      <c r="X225" s="9" t="s">
        <v>971</v>
      </c>
      <c r="Y225" s="9" t="s">
        <v>972</v>
      </c>
      <c r="Z225" s="9" t="s">
        <v>159</v>
      </c>
      <c r="AA225" s="9" t="s">
        <v>71</v>
      </c>
      <c r="AB225" s="9" t="s">
        <v>61</v>
      </c>
      <c r="AD225" s="9">
        <v>7.0</v>
      </c>
      <c r="AE225" s="9">
        <v>13.0</v>
      </c>
      <c r="AF225" s="9">
        <v>1.0</v>
      </c>
      <c r="AG225" s="12">
        <v>2600.0</v>
      </c>
      <c r="AH225" s="13"/>
    </row>
    <row r="226">
      <c r="A226" s="7">
        <v>44459.77261859954</v>
      </c>
      <c r="B226" s="8">
        <f t="shared" si="1"/>
        <v>2021</v>
      </c>
      <c r="C226" s="9" t="s">
        <v>49</v>
      </c>
      <c r="D226" s="9">
        <v>28.0</v>
      </c>
      <c r="E226" s="9" t="s">
        <v>35</v>
      </c>
      <c r="F226" s="9" t="s">
        <v>36</v>
      </c>
      <c r="G226" s="8" t="s">
        <v>50</v>
      </c>
      <c r="H226" s="8" t="s">
        <v>493</v>
      </c>
      <c r="I226" s="9" t="s">
        <v>38</v>
      </c>
      <c r="J226" s="9" t="s">
        <v>160</v>
      </c>
      <c r="K226" s="9" t="s">
        <v>161</v>
      </c>
      <c r="L226" s="9" t="s">
        <v>39</v>
      </c>
      <c r="M226" s="9" t="s">
        <v>40</v>
      </c>
      <c r="N226" s="9" t="s">
        <v>39</v>
      </c>
      <c r="P226" s="9" t="s">
        <v>973</v>
      </c>
      <c r="Q226" s="9" t="s">
        <v>974</v>
      </c>
      <c r="R226" s="9" t="s">
        <v>42</v>
      </c>
      <c r="S226" s="10">
        <v>4200.0</v>
      </c>
      <c r="T226" s="11">
        <v>8400.0</v>
      </c>
      <c r="U226" s="9">
        <v>0.0</v>
      </c>
      <c r="V226" s="9">
        <v>21.0</v>
      </c>
      <c r="W226" s="9" t="s">
        <v>975</v>
      </c>
      <c r="X226" s="9" t="s">
        <v>976</v>
      </c>
      <c r="Y226" s="9" t="s">
        <v>36</v>
      </c>
      <c r="Z226" s="9" t="s">
        <v>185</v>
      </c>
      <c r="AA226" s="9" t="s">
        <v>81</v>
      </c>
      <c r="AB226" s="9" t="s">
        <v>61</v>
      </c>
      <c r="AD226" s="9">
        <v>4.0</v>
      </c>
      <c r="AE226" s="9">
        <v>5.0</v>
      </c>
      <c r="AF226" s="9">
        <v>1.0</v>
      </c>
      <c r="AG226" s="12">
        <v>2600.0</v>
      </c>
      <c r="AH226" s="13"/>
    </row>
    <row r="227">
      <c r="A227" s="7">
        <v>44512.384222175926</v>
      </c>
      <c r="B227" s="8">
        <f t="shared" si="1"/>
        <v>2021</v>
      </c>
      <c r="C227" s="9" t="s">
        <v>49</v>
      </c>
      <c r="D227" s="9">
        <v>28.0</v>
      </c>
      <c r="E227" s="9" t="s">
        <v>35</v>
      </c>
      <c r="F227" s="9" t="s">
        <v>36</v>
      </c>
      <c r="G227" s="8" t="s">
        <v>50</v>
      </c>
      <c r="H227" s="9" t="s">
        <v>341</v>
      </c>
      <c r="I227" s="9" t="s">
        <v>38</v>
      </c>
      <c r="J227" s="9" t="s">
        <v>220</v>
      </c>
      <c r="K227" s="9" t="s">
        <v>490</v>
      </c>
      <c r="L227" s="9" t="s">
        <v>39</v>
      </c>
      <c r="M227" s="9" t="s">
        <v>40</v>
      </c>
      <c r="N227" s="9" t="s">
        <v>40</v>
      </c>
      <c r="Q227" s="9" t="s">
        <v>977</v>
      </c>
      <c r="R227" s="9" t="s">
        <v>42</v>
      </c>
      <c r="S227" s="10">
        <v>2900.0</v>
      </c>
      <c r="T227" s="11">
        <v>0.0</v>
      </c>
      <c r="U227" s="9">
        <v>0.0</v>
      </c>
      <c r="V227" s="9">
        <v>25.0</v>
      </c>
      <c r="W227" s="9" t="s">
        <v>978</v>
      </c>
      <c r="X227" s="9" t="s">
        <v>979</v>
      </c>
      <c r="Y227" s="9" t="s">
        <v>58</v>
      </c>
      <c r="Z227" s="9" t="s">
        <v>59</v>
      </c>
      <c r="AA227" s="9" t="s">
        <v>81</v>
      </c>
      <c r="AB227" s="9" t="s">
        <v>133</v>
      </c>
      <c r="AC227" s="9" t="s">
        <v>980</v>
      </c>
      <c r="AD227" s="9">
        <v>7.0</v>
      </c>
      <c r="AE227" s="9">
        <v>2.0</v>
      </c>
      <c r="AF227" s="9">
        <v>4.0</v>
      </c>
      <c r="AG227" s="12">
        <v>2600.0</v>
      </c>
      <c r="AH227" s="13"/>
    </row>
    <row r="228">
      <c r="A228" s="7">
        <v>44404.45699359954</v>
      </c>
      <c r="B228" s="8">
        <f t="shared" si="1"/>
        <v>2021</v>
      </c>
      <c r="C228" s="9" t="s">
        <v>49</v>
      </c>
      <c r="D228" s="9">
        <v>31.0</v>
      </c>
      <c r="E228" s="9" t="s">
        <v>35</v>
      </c>
      <c r="F228" s="9" t="s">
        <v>36</v>
      </c>
      <c r="G228" s="8" t="s">
        <v>124</v>
      </c>
      <c r="H228" s="9" t="s">
        <v>156</v>
      </c>
      <c r="I228" s="9" t="s">
        <v>247</v>
      </c>
      <c r="J228" s="9" t="s">
        <v>83</v>
      </c>
      <c r="K228" s="9" t="s">
        <v>981</v>
      </c>
      <c r="L228" s="9" t="s">
        <v>39</v>
      </c>
      <c r="M228" s="9" t="s">
        <v>40</v>
      </c>
      <c r="N228" s="9" t="s">
        <v>39</v>
      </c>
      <c r="P228" s="9" t="s">
        <v>982</v>
      </c>
      <c r="Q228" s="9" t="s">
        <v>119</v>
      </c>
      <c r="R228" s="9" t="s">
        <v>42</v>
      </c>
      <c r="S228" s="10">
        <v>6000.0</v>
      </c>
      <c r="T228" s="11">
        <v>12500.0</v>
      </c>
      <c r="U228" s="9">
        <v>0.0</v>
      </c>
      <c r="V228" s="9">
        <v>13.0</v>
      </c>
      <c r="W228" s="9" t="s">
        <v>983</v>
      </c>
      <c r="X228" s="9" t="s">
        <v>984</v>
      </c>
      <c r="Y228" s="9" t="s">
        <v>122</v>
      </c>
      <c r="Z228" s="9" t="s">
        <v>80</v>
      </c>
      <c r="AA228" s="9" t="s">
        <v>132</v>
      </c>
      <c r="AB228" s="9" t="s">
        <v>133</v>
      </c>
      <c r="AD228" s="9">
        <v>7.0</v>
      </c>
      <c r="AE228" s="9">
        <v>6.0</v>
      </c>
      <c r="AF228" s="9">
        <v>4.0</v>
      </c>
      <c r="AG228" s="12">
        <v>2600.0</v>
      </c>
      <c r="AH228" s="13"/>
    </row>
    <row r="229">
      <c r="A229" s="7">
        <v>44404.05529175926</v>
      </c>
      <c r="B229" s="8">
        <f t="shared" si="1"/>
        <v>2021</v>
      </c>
      <c r="C229" s="9" t="s">
        <v>49</v>
      </c>
      <c r="D229" s="9">
        <v>26.0</v>
      </c>
      <c r="E229" s="9" t="s">
        <v>35</v>
      </c>
      <c r="F229" s="9" t="s">
        <v>36</v>
      </c>
      <c r="G229" s="8" t="s">
        <v>50</v>
      </c>
      <c r="H229" s="9" t="s">
        <v>82</v>
      </c>
      <c r="I229" s="9" t="s">
        <v>38</v>
      </c>
      <c r="J229" s="9" t="s">
        <v>985</v>
      </c>
      <c r="K229" s="9" t="s">
        <v>100</v>
      </c>
      <c r="L229" s="9" t="s">
        <v>40</v>
      </c>
      <c r="M229" s="9" t="s">
        <v>40</v>
      </c>
      <c r="N229" s="9" t="s">
        <v>40</v>
      </c>
      <c r="Q229" s="9" t="s">
        <v>448</v>
      </c>
      <c r="R229" s="9" t="s">
        <v>42</v>
      </c>
      <c r="S229" s="10">
        <v>12000.0</v>
      </c>
      <c r="T229" s="11">
        <v>12000.0</v>
      </c>
      <c r="U229" s="9" t="s">
        <v>986</v>
      </c>
      <c r="V229" s="9">
        <v>15.0</v>
      </c>
      <c r="W229" s="9" t="s">
        <v>987</v>
      </c>
      <c r="X229" s="9" t="s">
        <v>865</v>
      </c>
      <c r="Y229" s="9" t="s">
        <v>122</v>
      </c>
      <c r="Z229" s="9" t="s">
        <v>70</v>
      </c>
      <c r="AA229" s="9" t="s">
        <v>81</v>
      </c>
      <c r="AB229" s="9" t="s">
        <v>91</v>
      </c>
      <c r="AD229" s="9">
        <v>8.0</v>
      </c>
      <c r="AE229" s="9">
        <v>4.0</v>
      </c>
      <c r="AF229" s="9">
        <v>2.0</v>
      </c>
      <c r="AG229" s="12">
        <v>2600.0</v>
      </c>
      <c r="AH229" s="13"/>
    </row>
    <row r="230">
      <c r="A230" s="7">
        <v>44404.37562841435</v>
      </c>
      <c r="B230" s="8">
        <f t="shared" si="1"/>
        <v>2021</v>
      </c>
      <c r="C230" s="9" t="s">
        <v>49</v>
      </c>
      <c r="D230" s="9">
        <v>24.0</v>
      </c>
      <c r="E230" s="9" t="s">
        <v>35</v>
      </c>
      <c r="F230" s="9" t="s">
        <v>36</v>
      </c>
      <c r="G230" s="8" t="s">
        <v>50</v>
      </c>
      <c r="H230" s="9" t="s">
        <v>106</v>
      </c>
      <c r="I230" s="9" t="s">
        <v>38</v>
      </c>
      <c r="J230" s="9" t="s">
        <v>75</v>
      </c>
      <c r="K230" s="9" t="s">
        <v>988</v>
      </c>
      <c r="L230" s="9" t="s">
        <v>39</v>
      </c>
      <c r="M230" s="9" t="s">
        <v>40</v>
      </c>
      <c r="N230" s="9" t="s">
        <v>40</v>
      </c>
      <c r="Q230" s="9" t="s">
        <v>272</v>
      </c>
      <c r="R230" s="9" t="s">
        <v>42</v>
      </c>
      <c r="S230" s="10">
        <v>3500.0</v>
      </c>
      <c r="T230" s="11">
        <v>0.0</v>
      </c>
      <c r="U230" s="9">
        <v>0.0</v>
      </c>
      <c r="V230" s="9">
        <v>16.0</v>
      </c>
      <c r="W230" s="9" t="s">
        <v>989</v>
      </c>
      <c r="X230" s="9" t="s">
        <v>990</v>
      </c>
      <c r="Y230" s="9" t="s">
        <v>58</v>
      </c>
      <c r="Z230" s="9" t="s">
        <v>116</v>
      </c>
      <c r="AA230" s="9" t="s">
        <v>47</v>
      </c>
      <c r="AB230" s="9" t="s">
        <v>48</v>
      </c>
      <c r="AD230" s="9">
        <v>10.0</v>
      </c>
      <c r="AE230" s="9" t="s">
        <v>991</v>
      </c>
      <c r="AF230" s="9">
        <v>1.0</v>
      </c>
      <c r="AG230" s="12">
        <v>2600.0</v>
      </c>
      <c r="AH230" s="13"/>
    </row>
    <row r="231">
      <c r="A231" s="7">
        <v>44403.8984139699</v>
      </c>
      <c r="B231" s="8">
        <f t="shared" si="1"/>
        <v>2021</v>
      </c>
      <c r="C231" s="9" t="s">
        <v>49</v>
      </c>
      <c r="D231" s="9">
        <v>30.0</v>
      </c>
      <c r="E231" s="9" t="s">
        <v>35</v>
      </c>
      <c r="F231" s="9" t="s">
        <v>36</v>
      </c>
      <c r="G231" s="8" t="s">
        <v>74</v>
      </c>
      <c r="H231" s="9" t="s">
        <v>212</v>
      </c>
      <c r="I231" s="9" t="s">
        <v>38</v>
      </c>
      <c r="J231" s="9" t="s">
        <v>75</v>
      </c>
      <c r="K231" s="9" t="s">
        <v>84</v>
      </c>
      <c r="L231" s="9" t="s">
        <v>39</v>
      </c>
      <c r="M231" s="9" t="s">
        <v>40</v>
      </c>
      <c r="N231" s="9" t="s">
        <v>39</v>
      </c>
      <c r="P231" s="9" t="s">
        <v>992</v>
      </c>
      <c r="Q231" s="9" t="s">
        <v>993</v>
      </c>
      <c r="R231" s="9" t="s">
        <v>42</v>
      </c>
      <c r="S231" s="10">
        <v>4500.0</v>
      </c>
      <c r="T231" s="11">
        <v>18000.0</v>
      </c>
      <c r="V231" s="9">
        <v>18.0</v>
      </c>
      <c r="W231" s="9" t="s">
        <v>994</v>
      </c>
      <c r="X231" s="9" t="s">
        <v>995</v>
      </c>
      <c r="Y231" s="9" t="s">
        <v>79</v>
      </c>
      <c r="Z231" s="9" t="s">
        <v>80</v>
      </c>
      <c r="AA231" s="9" t="s">
        <v>81</v>
      </c>
      <c r="AB231" s="9" t="s">
        <v>91</v>
      </c>
      <c r="AC231" s="9" t="s">
        <v>996</v>
      </c>
      <c r="AD231" s="9">
        <v>8.0</v>
      </c>
      <c r="AE231" s="9">
        <v>5.0</v>
      </c>
      <c r="AF231" s="9">
        <v>1.0</v>
      </c>
      <c r="AG231" s="12">
        <v>2600.0</v>
      </c>
      <c r="AH231" s="13"/>
    </row>
    <row r="232">
      <c r="A232" s="14">
        <v>44403.864314861115</v>
      </c>
      <c r="B232" s="8">
        <f t="shared" si="1"/>
        <v>2021</v>
      </c>
      <c r="C232" s="8" t="s">
        <v>49</v>
      </c>
      <c r="D232" s="8">
        <v>31.0</v>
      </c>
      <c r="E232" s="8" t="s">
        <v>35</v>
      </c>
      <c r="F232" s="8" t="s">
        <v>36</v>
      </c>
      <c r="G232" s="8" t="s">
        <v>124</v>
      </c>
      <c r="H232" s="8" t="s">
        <v>601</v>
      </c>
      <c r="I232" s="8" t="s">
        <v>38</v>
      </c>
      <c r="J232" s="9" t="s">
        <v>75</v>
      </c>
      <c r="K232" s="8" t="s">
        <v>502</v>
      </c>
      <c r="L232" s="8" t="s">
        <v>39</v>
      </c>
      <c r="M232" s="8" t="s">
        <v>40</v>
      </c>
      <c r="N232" s="8" t="s">
        <v>40</v>
      </c>
      <c r="O232" s="15"/>
      <c r="P232" s="15"/>
      <c r="Q232" s="8" t="s">
        <v>308</v>
      </c>
      <c r="R232" s="9" t="s">
        <v>42</v>
      </c>
      <c r="S232" s="16">
        <v>12300.0</v>
      </c>
      <c r="T232" s="17">
        <v>0.0</v>
      </c>
      <c r="U232" s="8">
        <v>0.0</v>
      </c>
      <c r="V232" s="8">
        <v>22.0</v>
      </c>
      <c r="W232" s="8" t="s">
        <v>997</v>
      </c>
      <c r="X232" s="8" t="s">
        <v>998</v>
      </c>
      <c r="Y232" s="8" t="s">
        <v>58</v>
      </c>
      <c r="Z232" s="8" t="s">
        <v>297</v>
      </c>
      <c r="AA232" s="8" t="s">
        <v>81</v>
      </c>
      <c r="AB232" s="8" t="s">
        <v>91</v>
      </c>
      <c r="AC232" s="15"/>
      <c r="AD232" s="8">
        <v>8.0</v>
      </c>
      <c r="AE232" s="8">
        <v>7.0</v>
      </c>
      <c r="AF232" s="8">
        <v>4.0</v>
      </c>
      <c r="AG232" s="18">
        <v>2600.0</v>
      </c>
      <c r="AH232" s="13"/>
      <c r="AI232" s="15"/>
      <c r="AJ232" s="15"/>
      <c r="AK232" s="15"/>
      <c r="AL232" s="15"/>
      <c r="AM232" s="15"/>
      <c r="AN232" s="15"/>
    </row>
    <row r="233">
      <c r="A233" s="7">
        <v>44449.06691555555</v>
      </c>
      <c r="B233" s="8">
        <f t="shared" si="1"/>
        <v>2021</v>
      </c>
      <c r="C233" s="9" t="s">
        <v>49</v>
      </c>
      <c r="D233" s="9">
        <v>25.0</v>
      </c>
      <c r="E233" s="9" t="s">
        <v>35</v>
      </c>
      <c r="F233" s="9" t="s">
        <v>36</v>
      </c>
      <c r="G233" s="8" t="s">
        <v>164</v>
      </c>
      <c r="H233" s="9" t="s">
        <v>767</v>
      </c>
      <c r="I233" s="9" t="s">
        <v>38</v>
      </c>
      <c r="J233" s="9" t="s">
        <v>160</v>
      </c>
      <c r="K233" s="9" t="s">
        <v>134</v>
      </c>
      <c r="L233" s="9" t="s">
        <v>39</v>
      </c>
      <c r="M233" s="9" t="s">
        <v>40</v>
      </c>
      <c r="N233" s="9" t="s">
        <v>40</v>
      </c>
      <c r="Q233" s="9" t="s">
        <v>128</v>
      </c>
      <c r="R233" s="9" t="s">
        <v>42</v>
      </c>
      <c r="S233" s="10">
        <v>2650.0</v>
      </c>
      <c r="T233" s="11">
        <v>1000.0</v>
      </c>
      <c r="U233" s="9">
        <v>0.0</v>
      </c>
      <c r="V233" s="9">
        <v>0.0</v>
      </c>
      <c r="W233" s="9" t="s">
        <v>999</v>
      </c>
      <c r="X233" s="9" t="s">
        <v>1000</v>
      </c>
      <c r="Y233" s="9" t="s">
        <v>1001</v>
      </c>
      <c r="Z233" s="9" t="s">
        <v>89</v>
      </c>
      <c r="AA233" s="9" t="s">
        <v>71</v>
      </c>
      <c r="AB233" s="9" t="s">
        <v>91</v>
      </c>
      <c r="AD233" s="9">
        <v>7.0</v>
      </c>
      <c r="AE233" s="9">
        <v>1.0</v>
      </c>
      <c r="AF233" s="9">
        <v>0.0</v>
      </c>
      <c r="AG233" s="12">
        <v>2650.0</v>
      </c>
      <c r="AH233" s="9" t="s">
        <v>42</v>
      </c>
    </row>
    <row r="234">
      <c r="A234" s="7">
        <v>44580.65753998843</v>
      </c>
      <c r="B234" s="8">
        <f t="shared" si="1"/>
        <v>2022</v>
      </c>
      <c r="C234" s="9" t="s">
        <v>73</v>
      </c>
      <c r="D234" s="9">
        <v>27.0</v>
      </c>
      <c r="E234" s="9" t="s">
        <v>35</v>
      </c>
      <c r="F234" s="9" t="s">
        <v>36</v>
      </c>
      <c r="G234" s="8" t="s">
        <v>50</v>
      </c>
      <c r="H234" s="9" t="s">
        <v>117</v>
      </c>
      <c r="I234" s="9" t="s">
        <v>38</v>
      </c>
      <c r="J234" s="9" t="s">
        <v>1002</v>
      </c>
      <c r="K234" s="9" t="s">
        <v>66</v>
      </c>
      <c r="L234" s="9" t="s">
        <v>40</v>
      </c>
      <c r="M234" s="9" t="s">
        <v>39</v>
      </c>
      <c r="N234" s="9" t="s">
        <v>40</v>
      </c>
      <c r="Q234" s="9" t="s">
        <v>146</v>
      </c>
      <c r="R234" s="9" t="s">
        <v>42</v>
      </c>
      <c r="S234" s="10">
        <v>3500.0</v>
      </c>
      <c r="T234" s="11">
        <v>0.0</v>
      </c>
      <c r="U234" s="9">
        <v>0.0</v>
      </c>
      <c r="V234" s="9">
        <v>8.0</v>
      </c>
      <c r="W234" s="9" t="s">
        <v>1003</v>
      </c>
      <c r="X234" s="9" t="s">
        <v>1004</v>
      </c>
      <c r="Y234" s="9" t="s">
        <v>58</v>
      </c>
      <c r="Z234" s="9" t="s">
        <v>547</v>
      </c>
      <c r="AA234" s="9" t="s">
        <v>71</v>
      </c>
      <c r="AB234" s="9" t="s">
        <v>61</v>
      </c>
      <c r="AD234" s="9">
        <v>7.0</v>
      </c>
      <c r="AE234" s="9">
        <v>3.0</v>
      </c>
      <c r="AF234" s="9">
        <v>2.0</v>
      </c>
      <c r="AG234" s="12">
        <v>2700.0</v>
      </c>
      <c r="AH234" s="9" t="s">
        <v>42</v>
      </c>
    </row>
    <row r="235">
      <c r="A235" s="7">
        <v>44411.82215482639</v>
      </c>
      <c r="B235" s="8">
        <f t="shared" si="1"/>
        <v>2021</v>
      </c>
      <c r="C235" s="9" t="s">
        <v>49</v>
      </c>
      <c r="D235" s="9">
        <v>27.0</v>
      </c>
      <c r="E235" s="9" t="s">
        <v>35</v>
      </c>
      <c r="F235" s="9" t="s">
        <v>36</v>
      </c>
      <c r="G235" s="8" t="s">
        <v>63</v>
      </c>
      <c r="H235" s="9" t="s">
        <v>301</v>
      </c>
      <c r="I235" s="9" t="s">
        <v>38</v>
      </c>
      <c r="J235" s="9" t="s">
        <v>75</v>
      </c>
      <c r="K235" s="9" t="s">
        <v>66</v>
      </c>
      <c r="L235" s="9" t="s">
        <v>39</v>
      </c>
      <c r="M235" s="9" t="s">
        <v>40</v>
      </c>
      <c r="N235" s="9" t="s">
        <v>40</v>
      </c>
      <c r="Q235" s="9" t="s">
        <v>128</v>
      </c>
      <c r="R235" s="9" t="s">
        <v>42</v>
      </c>
      <c r="S235" s="10">
        <v>5000.0</v>
      </c>
      <c r="T235" s="11">
        <v>5000.0</v>
      </c>
      <c r="V235" s="9">
        <v>12.0</v>
      </c>
      <c r="W235" s="9" t="s">
        <v>1005</v>
      </c>
      <c r="X235" s="9" t="s">
        <v>1006</v>
      </c>
      <c r="Y235" s="9" t="s">
        <v>1007</v>
      </c>
      <c r="Z235" s="9" t="s">
        <v>80</v>
      </c>
      <c r="AA235" s="9" t="s">
        <v>47</v>
      </c>
      <c r="AB235" s="9" t="s">
        <v>61</v>
      </c>
      <c r="AD235" s="9">
        <v>8.0</v>
      </c>
      <c r="AE235" s="9">
        <v>4.0</v>
      </c>
      <c r="AF235" s="9">
        <v>3.0</v>
      </c>
      <c r="AG235" s="12">
        <v>2700.0</v>
      </c>
      <c r="AH235" s="9" t="s">
        <v>42</v>
      </c>
    </row>
    <row r="236">
      <c r="A236" s="7">
        <v>44404.91079069444</v>
      </c>
      <c r="B236" s="8">
        <f t="shared" si="1"/>
        <v>2021</v>
      </c>
      <c r="C236" s="9" t="s">
        <v>49</v>
      </c>
      <c r="D236" s="9">
        <v>25.0</v>
      </c>
      <c r="E236" s="9" t="s">
        <v>35</v>
      </c>
      <c r="F236" s="9" t="s">
        <v>36</v>
      </c>
      <c r="G236" s="8" t="s">
        <v>124</v>
      </c>
      <c r="H236" s="9" t="s">
        <v>296</v>
      </c>
      <c r="I236" s="9" t="s">
        <v>38</v>
      </c>
      <c r="J236" s="9" t="s">
        <v>75</v>
      </c>
      <c r="K236" s="8" t="s">
        <v>502</v>
      </c>
      <c r="L236" s="9" t="s">
        <v>39</v>
      </c>
      <c r="M236" s="9" t="s">
        <v>40</v>
      </c>
      <c r="N236" s="9" t="s">
        <v>40</v>
      </c>
      <c r="Q236" s="9" t="s">
        <v>312</v>
      </c>
      <c r="R236" s="9" t="s">
        <v>42</v>
      </c>
      <c r="S236" s="10">
        <v>5000.0</v>
      </c>
      <c r="T236" s="11" t="s">
        <v>37</v>
      </c>
      <c r="V236" s="9">
        <v>12.0</v>
      </c>
      <c r="W236" s="9" t="s">
        <v>1008</v>
      </c>
      <c r="X236" s="9" t="s">
        <v>1009</v>
      </c>
      <c r="Y236" s="9" t="s">
        <v>122</v>
      </c>
      <c r="Z236" s="9" t="s">
        <v>59</v>
      </c>
      <c r="AA236" s="9" t="s">
        <v>60</v>
      </c>
      <c r="AB236" s="9" t="s">
        <v>61</v>
      </c>
      <c r="AC236" s="9" t="s">
        <v>716</v>
      </c>
      <c r="AD236" s="9">
        <v>8.0</v>
      </c>
      <c r="AE236" s="9">
        <v>2.0</v>
      </c>
      <c r="AF236" s="9">
        <v>2.0</v>
      </c>
      <c r="AG236" s="12">
        <v>2700.0</v>
      </c>
      <c r="AH236" s="9" t="s">
        <v>42</v>
      </c>
    </row>
    <row r="237">
      <c r="A237" s="7">
        <v>44518.23429540509</v>
      </c>
      <c r="B237" s="8">
        <f t="shared" si="1"/>
        <v>2021</v>
      </c>
      <c r="C237" s="9" t="s">
        <v>49</v>
      </c>
      <c r="D237" s="9">
        <v>22.0</v>
      </c>
      <c r="E237" s="9" t="s">
        <v>35</v>
      </c>
      <c r="F237" s="9" t="s">
        <v>36</v>
      </c>
      <c r="G237" s="8" t="s">
        <v>124</v>
      </c>
      <c r="H237" s="9" t="s">
        <v>606</v>
      </c>
      <c r="I237" s="9" t="s">
        <v>38</v>
      </c>
      <c r="J237" s="9" t="s">
        <v>659</v>
      </c>
      <c r="K237" s="9" t="s">
        <v>84</v>
      </c>
      <c r="L237" s="9" t="s">
        <v>39</v>
      </c>
      <c r="M237" s="9" t="s">
        <v>39</v>
      </c>
      <c r="N237" s="9" t="s">
        <v>40</v>
      </c>
      <c r="O237" s="9" t="s">
        <v>1010</v>
      </c>
      <c r="Q237" s="9" t="s">
        <v>128</v>
      </c>
      <c r="R237" s="9" t="s">
        <v>42</v>
      </c>
      <c r="S237" s="10">
        <v>2700.0</v>
      </c>
      <c r="T237" s="11">
        <v>0.0</v>
      </c>
      <c r="U237" s="9">
        <v>0.0</v>
      </c>
      <c r="V237" s="9">
        <v>14.0</v>
      </c>
      <c r="W237" s="9" t="s">
        <v>1011</v>
      </c>
      <c r="X237" s="9" t="s">
        <v>1012</v>
      </c>
      <c r="Y237" s="9" t="s">
        <v>734</v>
      </c>
      <c r="Z237" s="9" t="s">
        <v>1013</v>
      </c>
      <c r="AA237" s="9" t="s">
        <v>132</v>
      </c>
      <c r="AB237" s="9" t="s">
        <v>61</v>
      </c>
      <c r="AD237" s="9">
        <v>1.0</v>
      </c>
      <c r="AE237" s="9" t="s">
        <v>1014</v>
      </c>
      <c r="AF237" s="9">
        <v>0.0</v>
      </c>
      <c r="AG237" s="12">
        <v>2700.0</v>
      </c>
      <c r="AH237" s="13"/>
    </row>
    <row r="238">
      <c r="A238" s="7">
        <v>44411.88591789352</v>
      </c>
      <c r="B238" s="8">
        <f t="shared" si="1"/>
        <v>2021</v>
      </c>
      <c r="C238" s="9" t="s">
        <v>49</v>
      </c>
      <c r="D238" s="9">
        <v>28.0</v>
      </c>
      <c r="E238" s="9" t="s">
        <v>35</v>
      </c>
      <c r="F238" s="9" t="s">
        <v>36</v>
      </c>
      <c r="G238" s="8" t="s">
        <v>50</v>
      </c>
      <c r="H238" s="9" t="s">
        <v>570</v>
      </c>
      <c r="I238" s="9" t="s">
        <v>38</v>
      </c>
      <c r="J238" s="9" t="s">
        <v>1015</v>
      </c>
      <c r="K238" s="9" t="s">
        <v>337</v>
      </c>
      <c r="L238" s="9" t="s">
        <v>40</v>
      </c>
      <c r="M238" s="9" t="s">
        <v>40</v>
      </c>
      <c r="N238" s="9" t="s">
        <v>40</v>
      </c>
      <c r="Q238" s="9" t="s">
        <v>128</v>
      </c>
      <c r="R238" s="9" t="s">
        <v>42</v>
      </c>
      <c r="S238" s="10">
        <v>4500.0</v>
      </c>
      <c r="T238" s="11">
        <v>0.0</v>
      </c>
      <c r="U238" s="9">
        <v>0.0</v>
      </c>
      <c r="V238" s="9">
        <v>14.0</v>
      </c>
      <c r="W238" s="9" t="s">
        <v>157</v>
      </c>
      <c r="X238" s="9" t="s">
        <v>1016</v>
      </c>
      <c r="Y238" s="9" t="s">
        <v>58</v>
      </c>
      <c r="Z238" s="9" t="s">
        <v>350</v>
      </c>
      <c r="AA238" s="9" t="s">
        <v>71</v>
      </c>
      <c r="AB238" s="9" t="s">
        <v>61</v>
      </c>
      <c r="AD238" s="9">
        <v>7.0</v>
      </c>
      <c r="AE238" s="9">
        <v>1.0</v>
      </c>
      <c r="AF238" s="9">
        <v>4.0</v>
      </c>
      <c r="AG238" s="12">
        <v>2700.0</v>
      </c>
      <c r="AH238" s="13"/>
    </row>
    <row r="239">
      <c r="A239" s="7">
        <v>44451.822610902775</v>
      </c>
      <c r="B239" s="8">
        <f t="shared" si="1"/>
        <v>2021</v>
      </c>
      <c r="C239" s="9" t="s">
        <v>49</v>
      </c>
      <c r="D239" s="9">
        <v>30.0</v>
      </c>
      <c r="E239" s="9" t="s">
        <v>35</v>
      </c>
      <c r="F239" s="9" t="s">
        <v>36</v>
      </c>
      <c r="G239" s="8" t="s">
        <v>124</v>
      </c>
      <c r="H239" s="9" t="s">
        <v>156</v>
      </c>
      <c r="I239" s="9" t="s">
        <v>38</v>
      </c>
      <c r="J239" s="9" t="s">
        <v>239</v>
      </c>
      <c r="K239" s="9" t="s">
        <v>988</v>
      </c>
      <c r="L239" s="9" t="s">
        <v>39</v>
      </c>
      <c r="M239" s="9" t="s">
        <v>40</v>
      </c>
      <c r="N239" s="9" t="s">
        <v>39</v>
      </c>
      <c r="P239" s="9" t="s">
        <v>1017</v>
      </c>
      <c r="Q239" s="9" t="s">
        <v>1018</v>
      </c>
      <c r="R239" s="9" t="s">
        <v>42</v>
      </c>
      <c r="S239" s="10">
        <v>6900.0</v>
      </c>
      <c r="T239" s="11">
        <v>14000.0</v>
      </c>
      <c r="U239" s="9">
        <v>0.0</v>
      </c>
      <c r="V239" s="9">
        <v>14.0</v>
      </c>
      <c r="W239" s="9" t="s">
        <v>1019</v>
      </c>
      <c r="X239" s="9" t="s">
        <v>1020</v>
      </c>
      <c r="Y239" s="9" t="s">
        <v>122</v>
      </c>
      <c r="Z239" s="9" t="s">
        <v>59</v>
      </c>
      <c r="AA239" s="9" t="s">
        <v>60</v>
      </c>
      <c r="AB239" s="9" t="s">
        <v>91</v>
      </c>
      <c r="AD239" s="9">
        <v>7.0</v>
      </c>
      <c r="AE239" s="9">
        <v>6.0</v>
      </c>
      <c r="AF239" s="9">
        <v>0.0</v>
      </c>
      <c r="AG239" s="12">
        <v>2700.0</v>
      </c>
      <c r="AH239" s="13"/>
    </row>
    <row r="240">
      <c r="A240" s="7">
        <v>44405.438268321755</v>
      </c>
      <c r="B240" s="8">
        <f t="shared" si="1"/>
        <v>2021</v>
      </c>
      <c r="C240" s="9" t="s">
        <v>49</v>
      </c>
      <c r="D240" s="9">
        <v>27.0</v>
      </c>
      <c r="E240" s="9" t="s">
        <v>35</v>
      </c>
      <c r="F240" s="9" t="s">
        <v>36</v>
      </c>
      <c r="G240" s="8" t="s">
        <v>50</v>
      </c>
      <c r="H240" s="9" t="s">
        <v>117</v>
      </c>
      <c r="I240" s="9" t="s">
        <v>38</v>
      </c>
      <c r="J240" s="9" t="s">
        <v>75</v>
      </c>
      <c r="K240" s="9" t="s">
        <v>337</v>
      </c>
      <c r="L240" s="9" t="s">
        <v>39</v>
      </c>
      <c r="M240" s="9" t="s">
        <v>40</v>
      </c>
      <c r="N240" s="9" t="s">
        <v>40</v>
      </c>
      <c r="Q240" s="9" t="s">
        <v>308</v>
      </c>
      <c r="R240" s="9" t="s">
        <v>42</v>
      </c>
      <c r="S240" s="10">
        <v>4700.0</v>
      </c>
      <c r="T240" s="11">
        <v>0.0</v>
      </c>
      <c r="U240" s="9" t="s">
        <v>1021</v>
      </c>
      <c r="V240" s="9">
        <v>14.0</v>
      </c>
      <c r="W240" s="9" t="s">
        <v>1022</v>
      </c>
      <c r="X240" s="9" t="s">
        <v>1023</v>
      </c>
      <c r="Y240" s="9" t="s">
        <v>58</v>
      </c>
      <c r="Z240" s="9" t="s">
        <v>159</v>
      </c>
      <c r="AA240" s="9" t="s">
        <v>132</v>
      </c>
      <c r="AB240" s="9" t="s">
        <v>91</v>
      </c>
      <c r="AD240" s="9">
        <v>6.0</v>
      </c>
      <c r="AE240" s="9">
        <v>4.0</v>
      </c>
      <c r="AF240" s="9">
        <v>3.0</v>
      </c>
      <c r="AG240" s="12">
        <v>2700.0</v>
      </c>
      <c r="AH240" s="13"/>
    </row>
    <row r="241">
      <c r="A241" s="7">
        <v>44625.62287388889</v>
      </c>
      <c r="B241" s="8">
        <f t="shared" si="1"/>
        <v>2022</v>
      </c>
      <c r="C241" s="9" t="s">
        <v>73</v>
      </c>
      <c r="D241" s="9">
        <v>29.0</v>
      </c>
      <c r="E241" s="9" t="s">
        <v>35</v>
      </c>
      <c r="F241" s="9" t="s">
        <v>36</v>
      </c>
      <c r="G241" s="8" t="s">
        <v>50</v>
      </c>
      <c r="H241" s="9" t="s">
        <v>106</v>
      </c>
      <c r="I241" s="9" t="s">
        <v>38</v>
      </c>
      <c r="J241" s="9" t="s">
        <v>75</v>
      </c>
      <c r="K241" s="9" t="s">
        <v>84</v>
      </c>
      <c r="L241" s="9" t="s">
        <v>39</v>
      </c>
      <c r="M241" s="9" t="s">
        <v>40</v>
      </c>
      <c r="N241" s="9" t="s">
        <v>40</v>
      </c>
      <c r="Q241" s="9" t="s">
        <v>1024</v>
      </c>
      <c r="R241" s="9" t="s">
        <v>42</v>
      </c>
      <c r="S241" s="10">
        <v>9600.0</v>
      </c>
      <c r="T241" s="11">
        <v>0.0</v>
      </c>
      <c r="V241" s="9">
        <v>16.0</v>
      </c>
      <c r="W241" s="9" t="s">
        <v>1025</v>
      </c>
      <c r="X241" s="9" t="s">
        <v>1026</v>
      </c>
      <c r="Y241" s="9" t="s">
        <v>734</v>
      </c>
      <c r="Z241" s="9" t="s">
        <v>228</v>
      </c>
      <c r="AA241" s="9" t="s">
        <v>81</v>
      </c>
      <c r="AB241" s="9" t="s">
        <v>133</v>
      </c>
      <c r="AD241" s="9">
        <v>6.0</v>
      </c>
      <c r="AE241" s="9">
        <v>5.0</v>
      </c>
      <c r="AF241" s="9">
        <v>4.0</v>
      </c>
      <c r="AG241" s="12">
        <v>2700.0</v>
      </c>
      <c r="AH241" s="13"/>
    </row>
    <row r="242">
      <c r="A242" s="7">
        <v>44497.633971469906</v>
      </c>
      <c r="B242" s="8">
        <f t="shared" si="1"/>
        <v>2021</v>
      </c>
      <c r="C242" s="9" t="s">
        <v>49</v>
      </c>
      <c r="D242" s="9">
        <v>33.0</v>
      </c>
      <c r="E242" s="9" t="s">
        <v>35</v>
      </c>
      <c r="F242" s="9" t="s">
        <v>36</v>
      </c>
      <c r="G242" s="8" t="s">
        <v>50</v>
      </c>
      <c r="H242" s="9" t="s">
        <v>106</v>
      </c>
      <c r="I242" s="9" t="s">
        <v>38</v>
      </c>
      <c r="J242" s="9" t="s">
        <v>1027</v>
      </c>
      <c r="K242" s="9" t="s">
        <v>234</v>
      </c>
      <c r="L242" s="9" t="s">
        <v>39</v>
      </c>
      <c r="M242" s="9" t="s">
        <v>40</v>
      </c>
      <c r="N242" s="9" t="s">
        <v>40</v>
      </c>
      <c r="Q242" s="9" t="s">
        <v>1028</v>
      </c>
      <c r="R242" s="9" t="s">
        <v>42</v>
      </c>
      <c r="S242" s="10">
        <v>11000.0</v>
      </c>
      <c r="T242" s="11">
        <v>10000.0</v>
      </c>
      <c r="U242" s="9">
        <v>0.0</v>
      </c>
      <c r="V242" s="9">
        <v>20.0</v>
      </c>
      <c r="W242" s="9" t="s">
        <v>1029</v>
      </c>
      <c r="X242" s="9" t="s">
        <v>1030</v>
      </c>
      <c r="Y242" s="9" t="s">
        <v>1031</v>
      </c>
      <c r="Z242" s="9" t="s">
        <v>547</v>
      </c>
      <c r="AA242" s="9" t="s">
        <v>60</v>
      </c>
      <c r="AB242" s="9" t="s">
        <v>91</v>
      </c>
      <c r="AD242" s="9">
        <v>7.0</v>
      </c>
      <c r="AE242" s="9">
        <v>9.0</v>
      </c>
      <c r="AF242" s="9">
        <v>1.0</v>
      </c>
      <c r="AG242" s="12">
        <v>2700.0</v>
      </c>
      <c r="AH242" s="13"/>
    </row>
    <row r="243">
      <c r="A243" s="7">
        <v>44404.384602986116</v>
      </c>
      <c r="B243" s="8">
        <f t="shared" si="1"/>
        <v>2021</v>
      </c>
      <c r="C243" s="9" t="s">
        <v>49</v>
      </c>
      <c r="D243" s="9">
        <v>24.0</v>
      </c>
      <c r="E243" s="9" t="s">
        <v>35</v>
      </c>
      <c r="F243" s="9" t="s">
        <v>36</v>
      </c>
      <c r="G243" s="9" t="s">
        <v>412</v>
      </c>
      <c r="H243" s="9" t="s">
        <v>633</v>
      </c>
      <c r="I243" s="9" t="s">
        <v>38</v>
      </c>
      <c r="J243" s="9" t="s">
        <v>75</v>
      </c>
      <c r="K243" s="9" t="s">
        <v>502</v>
      </c>
      <c r="L243" s="9" t="s">
        <v>39</v>
      </c>
      <c r="M243" s="9" t="s">
        <v>40</v>
      </c>
      <c r="N243" s="9" t="s">
        <v>40</v>
      </c>
      <c r="Q243" s="9" t="s">
        <v>128</v>
      </c>
      <c r="R243" s="9" t="s">
        <v>42</v>
      </c>
      <c r="S243" s="10">
        <v>2700.0</v>
      </c>
      <c r="T243" s="11">
        <v>0.0</v>
      </c>
      <c r="U243" s="9">
        <v>0.0</v>
      </c>
      <c r="V243" s="9">
        <v>12.0</v>
      </c>
      <c r="W243" s="9" t="s">
        <v>223</v>
      </c>
      <c r="X243" s="9" t="s">
        <v>224</v>
      </c>
      <c r="Y243" s="9" t="s">
        <v>683</v>
      </c>
      <c r="Z243" s="9" t="s">
        <v>481</v>
      </c>
      <c r="AA243" s="9" t="s">
        <v>60</v>
      </c>
      <c r="AB243" s="9" t="s">
        <v>61</v>
      </c>
      <c r="AD243" s="9">
        <v>5.0</v>
      </c>
      <c r="AE243" s="9">
        <v>0.0</v>
      </c>
      <c r="AF243" s="9">
        <v>0.0</v>
      </c>
      <c r="AG243" s="12">
        <v>2700.0</v>
      </c>
      <c r="AH243" s="13"/>
    </row>
    <row r="244">
      <c r="A244" s="7">
        <v>44404.46538797454</v>
      </c>
      <c r="B244" s="8">
        <f t="shared" si="1"/>
        <v>2021</v>
      </c>
      <c r="C244" s="9" t="s">
        <v>49</v>
      </c>
      <c r="D244" s="9">
        <v>27.0</v>
      </c>
      <c r="E244" s="9" t="s">
        <v>35</v>
      </c>
      <c r="F244" s="9" t="s">
        <v>36</v>
      </c>
      <c r="G244" s="8" t="s">
        <v>50</v>
      </c>
      <c r="H244" s="8" t="s">
        <v>180</v>
      </c>
      <c r="I244" s="9" t="s">
        <v>38</v>
      </c>
      <c r="J244" s="9" t="s">
        <v>160</v>
      </c>
      <c r="K244" s="9" t="s">
        <v>166</v>
      </c>
      <c r="L244" s="9" t="s">
        <v>39</v>
      </c>
      <c r="M244" s="9" t="s">
        <v>40</v>
      </c>
      <c r="N244" s="9" t="s">
        <v>40</v>
      </c>
      <c r="Q244" s="9" t="s">
        <v>128</v>
      </c>
      <c r="R244" s="9" t="s">
        <v>42</v>
      </c>
      <c r="S244" s="10">
        <v>7000.0</v>
      </c>
      <c r="T244" s="11">
        <v>0.0</v>
      </c>
      <c r="U244" s="9">
        <v>0.0</v>
      </c>
      <c r="V244" s="9">
        <v>12.0</v>
      </c>
      <c r="W244" s="9" t="s">
        <v>1032</v>
      </c>
      <c r="X244" s="9" t="s">
        <v>1033</v>
      </c>
      <c r="Y244" s="9" t="s">
        <v>50</v>
      </c>
      <c r="Z244" s="9" t="s">
        <v>197</v>
      </c>
      <c r="AA244" s="9" t="s">
        <v>71</v>
      </c>
      <c r="AB244" s="9" t="s">
        <v>61</v>
      </c>
      <c r="AD244" s="9">
        <v>3.0</v>
      </c>
      <c r="AE244" s="9">
        <v>3.0</v>
      </c>
      <c r="AF244" s="9">
        <v>3.0</v>
      </c>
      <c r="AG244" s="12">
        <v>2700.0</v>
      </c>
      <c r="AH244" s="13"/>
    </row>
    <row r="245">
      <c r="A245" s="7">
        <v>44404.60925591435</v>
      </c>
      <c r="B245" s="8">
        <f t="shared" si="1"/>
        <v>2021</v>
      </c>
      <c r="C245" s="9" t="s">
        <v>49</v>
      </c>
      <c r="D245" s="9">
        <v>27.0</v>
      </c>
      <c r="E245" s="9" t="s">
        <v>35</v>
      </c>
      <c r="F245" s="9" t="s">
        <v>36</v>
      </c>
      <c r="G245" s="8" t="s">
        <v>50</v>
      </c>
      <c r="H245" s="8" t="s">
        <v>539</v>
      </c>
      <c r="I245" s="9" t="s">
        <v>38</v>
      </c>
      <c r="J245" s="9" t="s">
        <v>626</v>
      </c>
      <c r="K245" s="9" t="s">
        <v>502</v>
      </c>
      <c r="L245" s="9" t="s">
        <v>39</v>
      </c>
      <c r="M245" s="9" t="s">
        <v>40</v>
      </c>
      <c r="N245" s="9" t="s">
        <v>40</v>
      </c>
      <c r="Q245" s="9" t="s">
        <v>548</v>
      </c>
      <c r="R245" s="9" t="s">
        <v>42</v>
      </c>
      <c r="S245" s="10">
        <v>5750.0</v>
      </c>
      <c r="T245" s="11">
        <v>0.0</v>
      </c>
      <c r="U245" s="9">
        <v>0.0</v>
      </c>
      <c r="V245" s="9">
        <v>14.0</v>
      </c>
      <c r="W245" s="9" t="s">
        <v>1034</v>
      </c>
      <c r="X245" s="9" t="s">
        <v>1035</v>
      </c>
      <c r="Y245" s="9" t="s">
        <v>122</v>
      </c>
      <c r="Z245" s="9" t="s">
        <v>59</v>
      </c>
      <c r="AA245" s="9" t="s">
        <v>60</v>
      </c>
      <c r="AB245" s="9" t="s">
        <v>91</v>
      </c>
      <c r="AD245" s="9">
        <v>10.0</v>
      </c>
      <c r="AE245" s="9">
        <v>3.0</v>
      </c>
      <c r="AF245" s="9">
        <v>1.0</v>
      </c>
      <c r="AG245" s="12">
        <v>2700.0</v>
      </c>
      <c r="AH245" s="13"/>
    </row>
    <row r="246">
      <c r="A246" s="7">
        <v>44404.456817893515</v>
      </c>
      <c r="B246" s="8">
        <f t="shared" si="1"/>
        <v>2021</v>
      </c>
      <c r="C246" s="9" t="s">
        <v>73</v>
      </c>
      <c r="D246" s="9">
        <v>25.0</v>
      </c>
      <c r="E246" s="9" t="s">
        <v>35</v>
      </c>
      <c r="F246" s="9" t="s">
        <v>36</v>
      </c>
      <c r="G246" s="9" t="s">
        <v>186</v>
      </c>
      <c r="H246" s="9" t="s">
        <v>1036</v>
      </c>
      <c r="I246" s="9" t="s">
        <v>38</v>
      </c>
      <c r="J246" s="9" t="s">
        <v>75</v>
      </c>
      <c r="K246" s="9" t="s">
        <v>166</v>
      </c>
      <c r="L246" s="9" t="s">
        <v>39</v>
      </c>
      <c r="M246" s="9" t="s">
        <v>40</v>
      </c>
      <c r="N246" s="9" t="s">
        <v>40</v>
      </c>
      <c r="Q246" s="9" t="s">
        <v>146</v>
      </c>
      <c r="R246" s="9" t="s">
        <v>42</v>
      </c>
      <c r="S246" s="10">
        <v>2700.0</v>
      </c>
      <c r="T246" s="11">
        <v>0.0</v>
      </c>
      <c r="U246" s="9">
        <v>0.0</v>
      </c>
      <c r="V246" s="9">
        <v>15.0</v>
      </c>
      <c r="W246" s="9" t="s">
        <v>1037</v>
      </c>
      <c r="X246" s="9" t="s">
        <v>1038</v>
      </c>
      <c r="Y246" s="9" t="s">
        <v>106</v>
      </c>
      <c r="Z246" s="9" t="s">
        <v>297</v>
      </c>
      <c r="AA246" s="9" t="s">
        <v>132</v>
      </c>
      <c r="AB246" s="9" t="s">
        <v>61</v>
      </c>
      <c r="AD246" s="9">
        <v>6.0</v>
      </c>
      <c r="AE246" s="9">
        <v>1.0</v>
      </c>
      <c r="AF246" s="9">
        <v>1.0</v>
      </c>
      <c r="AG246" s="12">
        <v>2700.0</v>
      </c>
      <c r="AH246" s="13"/>
    </row>
    <row r="247">
      <c r="A247" s="7">
        <v>44404.84693679398</v>
      </c>
      <c r="B247" s="8">
        <f t="shared" si="1"/>
        <v>2021</v>
      </c>
      <c r="C247" s="9" t="s">
        <v>49</v>
      </c>
      <c r="D247" s="9">
        <v>34.0</v>
      </c>
      <c r="E247" s="9" t="s">
        <v>35</v>
      </c>
      <c r="F247" s="9" t="s">
        <v>36</v>
      </c>
      <c r="G247" s="8" t="s">
        <v>63</v>
      </c>
      <c r="H247" s="9" t="s">
        <v>301</v>
      </c>
      <c r="I247" s="9" t="s">
        <v>38</v>
      </c>
      <c r="J247" s="9" t="s">
        <v>220</v>
      </c>
      <c r="K247" s="9" t="s">
        <v>1039</v>
      </c>
      <c r="L247" s="9" t="s">
        <v>40</v>
      </c>
      <c r="M247" s="9" t="s">
        <v>40</v>
      </c>
      <c r="N247" s="9" t="s">
        <v>40</v>
      </c>
      <c r="Q247" s="8" t="s">
        <v>293</v>
      </c>
      <c r="R247" s="9" t="s">
        <v>42</v>
      </c>
      <c r="S247" s="10">
        <v>3900.0</v>
      </c>
      <c r="T247" s="11">
        <v>0.0</v>
      </c>
      <c r="U247" s="9">
        <v>0.0</v>
      </c>
      <c r="V247" s="9">
        <v>15.0</v>
      </c>
      <c r="W247" s="9" t="s">
        <v>1040</v>
      </c>
      <c r="X247" s="9" t="s">
        <v>1041</v>
      </c>
      <c r="Y247" s="9" t="s">
        <v>267</v>
      </c>
      <c r="Z247" s="9" t="s">
        <v>1042</v>
      </c>
      <c r="AA247" s="9" t="s">
        <v>132</v>
      </c>
      <c r="AB247" s="9" t="s">
        <v>61</v>
      </c>
      <c r="AD247" s="9">
        <v>3.0</v>
      </c>
      <c r="AE247" s="9">
        <v>8.0</v>
      </c>
      <c r="AF247" s="9">
        <v>2.0</v>
      </c>
      <c r="AG247" s="12">
        <v>2700.0</v>
      </c>
      <c r="AH247" s="13"/>
    </row>
    <row r="248">
      <c r="A248" s="14">
        <v>44403.83967298611</v>
      </c>
      <c r="B248" s="8">
        <f t="shared" si="1"/>
        <v>2021</v>
      </c>
      <c r="C248" s="8" t="s">
        <v>49</v>
      </c>
      <c r="D248" s="8">
        <v>27.0</v>
      </c>
      <c r="E248" s="8" t="s">
        <v>1043</v>
      </c>
      <c r="F248" s="8" t="s">
        <v>36</v>
      </c>
      <c r="G248" s="8" t="s">
        <v>124</v>
      </c>
      <c r="H248" s="8" t="s">
        <v>106</v>
      </c>
      <c r="I248" s="8" t="s">
        <v>38</v>
      </c>
      <c r="K248" s="15"/>
      <c r="L248" s="8" t="s">
        <v>39</v>
      </c>
      <c r="M248" s="8" t="s">
        <v>40</v>
      </c>
      <c r="N248" s="8" t="s">
        <v>40</v>
      </c>
      <c r="O248" s="15"/>
      <c r="P248" s="15"/>
      <c r="Q248" s="9" t="s">
        <v>312</v>
      </c>
      <c r="R248" s="9" t="s">
        <v>42</v>
      </c>
      <c r="S248" s="16">
        <v>6000.0</v>
      </c>
      <c r="T248" s="17">
        <v>0.0</v>
      </c>
      <c r="U248" s="8">
        <v>0.0</v>
      </c>
      <c r="V248" s="8">
        <v>15.0</v>
      </c>
      <c r="W248" s="8" t="s">
        <v>1044</v>
      </c>
      <c r="X248" s="8" t="s">
        <v>1045</v>
      </c>
      <c r="Y248" s="8" t="s">
        <v>58</v>
      </c>
      <c r="Z248" s="8" t="s">
        <v>70</v>
      </c>
      <c r="AA248" s="8" t="s">
        <v>71</v>
      </c>
      <c r="AB248" s="8" t="s">
        <v>61</v>
      </c>
      <c r="AC248" s="15"/>
      <c r="AD248" s="8">
        <v>7.0</v>
      </c>
      <c r="AE248" s="8">
        <v>5.0</v>
      </c>
      <c r="AF248" s="8">
        <v>1.0</v>
      </c>
      <c r="AG248" s="18">
        <v>2700.0</v>
      </c>
      <c r="AH248" s="13"/>
      <c r="AI248" s="15"/>
      <c r="AJ248" s="15"/>
      <c r="AK248" s="15"/>
      <c r="AL248" s="15"/>
      <c r="AM248" s="15"/>
      <c r="AN248" s="15"/>
    </row>
    <row r="249">
      <c r="A249" s="7">
        <v>44403.908277083334</v>
      </c>
      <c r="B249" s="8">
        <f t="shared" si="1"/>
        <v>2021</v>
      </c>
      <c r="C249" s="9" t="s">
        <v>49</v>
      </c>
      <c r="D249" s="9">
        <v>31.0</v>
      </c>
      <c r="E249" s="9" t="s">
        <v>35</v>
      </c>
      <c r="F249" s="9" t="s">
        <v>36</v>
      </c>
      <c r="G249" s="8" t="s">
        <v>124</v>
      </c>
      <c r="H249" s="9" t="s">
        <v>156</v>
      </c>
      <c r="I249" s="9" t="s">
        <v>247</v>
      </c>
      <c r="L249" s="9" t="s">
        <v>40</v>
      </c>
      <c r="M249" s="9" t="s">
        <v>39</v>
      </c>
      <c r="N249" s="9" t="s">
        <v>40</v>
      </c>
      <c r="O249" s="9" t="s">
        <v>1046</v>
      </c>
      <c r="Q249" s="9" t="s">
        <v>150</v>
      </c>
      <c r="R249" s="9" t="s">
        <v>42</v>
      </c>
      <c r="S249" s="10">
        <v>8300.0</v>
      </c>
      <c r="T249" s="11" t="s">
        <v>37</v>
      </c>
      <c r="U249" s="9">
        <v>0.0</v>
      </c>
      <c r="V249" s="9">
        <v>15.0</v>
      </c>
      <c r="W249" s="9" t="s">
        <v>1047</v>
      </c>
      <c r="X249" s="9" t="s">
        <v>78</v>
      </c>
      <c r="Y249" s="9" t="s">
        <v>124</v>
      </c>
      <c r="Z249" s="9" t="s">
        <v>406</v>
      </c>
      <c r="AA249" s="9" t="s">
        <v>90</v>
      </c>
      <c r="AB249" s="9" t="s">
        <v>133</v>
      </c>
      <c r="AD249" s="9">
        <v>8.0</v>
      </c>
      <c r="AE249" s="9">
        <v>6.0</v>
      </c>
      <c r="AF249" s="9">
        <v>2.0</v>
      </c>
      <c r="AG249" s="12">
        <v>2700.0</v>
      </c>
      <c r="AH249" s="13"/>
    </row>
    <row r="250">
      <c r="A250" s="14">
        <v>44403.853654907405</v>
      </c>
      <c r="B250" s="8">
        <f t="shared" si="1"/>
        <v>2021</v>
      </c>
      <c r="C250" s="8" t="s">
        <v>49</v>
      </c>
      <c r="D250" s="8">
        <v>30.0</v>
      </c>
      <c r="E250" s="8" t="s">
        <v>35</v>
      </c>
      <c r="F250" s="8" t="s">
        <v>36</v>
      </c>
      <c r="G250" s="8" t="s">
        <v>50</v>
      </c>
      <c r="H250" s="8" t="s">
        <v>1048</v>
      </c>
      <c r="I250" s="8" t="s">
        <v>247</v>
      </c>
      <c r="J250" s="8" t="s">
        <v>263</v>
      </c>
      <c r="K250" s="9" t="s">
        <v>84</v>
      </c>
      <c r="L250" s="8" t="s">
        <v>39</v>
      </c>
      <c r="M250" s="8" t="s">
        <v>40</v>
      </c>
      <c r="N250" s="8" t="s">
        <v>40</v>
      </c>
      <c r="O250" s="15"/>
      <c r="P250" s="15"/>
      <c r="Q250" s="9" t="s">
        <v>146</v>
      </c>
      <c r="R250" s="9" t="s">
        <v>42</v>
      </c>
      <c r="S250" s="16">
        <v>6800.0</v>
      </c>
      <c r="T250" s="17">
        <v>6800.0</v>
      </c>
      <c r="U250" s="15"/>
      <c r="V250" s="8">
        <v>15.0</v>
      </c>
      <c r="W250" s="8" t="s">
        <v>320</v>
      </c>
      <c r="X250" s="8" t="s">
        <v>384</v>
      </c>
      <c r="Y250" s="8" t="s">
        <v>1049</v>
      </c>
      <c r="Z250" s="8" t="s">
        <v>80</v>
      </c>
      <c r="AA250" s="8" t="s">
        <v>71</v>
      </c>
      <c r="AB250" s="8" t="s">
        <v>61</v>
      </c>
      <c r="AC250" s="15"/>
      <c r="AD250" s="8">
        <v>8.0</v>
      </c>
      <c r="AE250" s="8">
        <v>6.0</v>
      </c>
      <c r="AF250" s="8">
        <v>2.0</v>
      </c>
      <c r="AG250" s="18">
        <v>2700.0</v>
      </c>
      <c r="AH250" s="13"/>
      <c r="AI250" s="15"/>
      <c r="AJ250" s="15"/>
      <c r="AK250" s="15"/>
      <c r="AL250" s="15"/>
      <c r="AM250" s="15"/>
      <c r="AN250" s="15"/>
    </row>
    <row r="251">
      <c r="A251" s="7">
        <v>44404.06292516204</v>
      </c>
      <c r="B251" s="8">
        <f t="shared" si="1"/>
        <v>2021</v>
      </c>
      <c r="C251" s="9" t="s">
        <v>49</v>
      </c>
      <c r="D251" s="9">
        <v>27.0</v>
      </c>
      <c r="E251" s="9" t="s">
        <v>35</v>
      </c>
      <c r="F251" s="9" t="s">
        <v>36</v>
      </c>
      <c r="G251" s="8" t="s">
        <v>50</v>
      </c>
      <c r="H251" s="8" t="s">
        <v>51</v>
      </c>
      <c r="I251" s="9" t="s">
        <v>38</v>
      </c>
      <c r="J251" s="9" t="s">
        <v>160</v>
      </c>
      <c r="K251" s="9" t="s">
        <v>84</v>
      </c>
      <c r="L251" s="9" t="s">
        <v>39</v>
      </c>
      <c r="M251" s="9" t="s">
        <v>40</v>
      </c>
      <c r="N251" s="9" t="s">
        <v>39</v>
      </c>
      <c r="P251" s="9" t="s">
        <v>1050</v>
      </c>
      <c r="Q251" s="9" t="s">
        <v>652</v>
      </c>
      <c r="R251" s="9" t="s">
        <v>42</v>
      </c>
      <c r="S251" s="10">
        <v>5300.0</v>
      </c>
      <c r="T251" s="11">
        <v>0.0</v>
      </c>
      <c r="U251" s="9">
        <v>0.0</v>
      </c>
      <c r="V251" s="9">
        <v>16.0</v>
      </c>
      <c r="W251" s="9" t="s">
        <v>1051</v>
      </c>
      <c r="X251" s="9" t="s">
        <v>1052</v>
      </c>
      <c r="Y251" s="9" t="s">
        <v>1053</v>
      </c>
      <c r="Z251" s="9" t="s">
        <v>350</v>
      </c>
      <c r="AA251" s="9" t="s">
        <v>47</v>
      </c>
      <c r="AB251" s="9" t="s">
        <v>61</v>
      </c>
      <c r="AD251" s="9">
        <v>8.0</v>
      </c>
      <c r="AE251" s="9">
        <v>4.0</v>
      </c>
      <c r="AF251" s="9">
        <v>1.0</v>
      </c>
      <c r="AG251" s="12">
        <v>2700.0</v>
      </c>
      <c r="AH251" s="13"/>
    </row>
    <row r="252">
      <c r="A252" s="7">
        <v>44403.903105289355</v>
      </c>
      <c r="B252" s="8">
        <f t="shared" si="1"/>
        <v>2021</v>
      </c>
      <c r="C252" s="9" t="s">
        <v>73</v>
      </c>
      <c r="D252" s="9">
        <v>33.0</v>
      </c>
      <c r="E252" s="9" t="s">
        <v>35</v>
      </c>
      <c r="F252" s="9" t="s">
        <v>36</v>
      </c>
      <c r="G252" s="8" t="s">
        <v>50</v>
      </c>
      <c r="H252" s="9" t="s">
        <v>106</v>
      </c>
      <c r="I252" s="9" t="s">
        <v>38</v>
      </c>
      <c r="J252" s="9" t="s">
        <v>239</v>
      </c>
      <c r="K252" s="9" t="s">
        <v>414</v>
      </c>
      <c r="L252" s="9" t="s">
        <v>39</v>
      </c>
      <c r="M252" s="9" t="s">
        <v>40</v>
      </c>
      <c r="N252" s="9" t="s">
        <v>40</v>
      </c>
      <c r="Q252" s="9" t="s">
        <v>548</v>
      </c>
      <c r="R252" s="9" t="s">
        <v>42</v>
      </c>
      <c r="S252" s="10">
        <v>8500.0</v>
      </c>
      <c r="T252" s="11">
        <v>0.0</v>
      </c>
      <c r="U252" s="9">
        <v>0.0</v>
      </c>
      <c r="V252" s="9">
        <v>20.0</v>
      </c>
      <c r="W252" s="9" t="s">
        <v>1054</v>
      </c>
      <c r="X252" s="9" t="s">
        <v>72</v>
      </c>
      <c r="Y252" s="9" t="s">
        <v>139</v>
      </c>
      <c r="Z252" s="9" t="s">
        <v>116</v>
      </c>
      <c r="AA252" s="9" t="s">
        <v>71</v>
      </c>
      <c r="AB252" s="9" t="s">
        <v>61</v>
      </c>
      <c r="AD252" s="9">
        <v>8.0</v>
      </c>
      <c r="AE252" s="9">
        <v>8.0</v>
      </c>
      <c r="AF252" s="9">
        <v>5.0</v>
      </c>
      <c r="AG252" s="12">
        <v>2700.0</v>
      </c>
      <c r="AH252" s="13"/>
    </row>
    <row r="253">
      <c r="A253" s="7">
        <v>44404.405199664354</v>
      </c>
      <c r="B253" s="8">
        <f t="shared" si="1"/>
        <v>2021</v>
      </c>
      <c r="C253" s="9" t="s">
        <v>73</v>
      </c>
      <c r="D253" s="9">
        <v>24.0</v>
      </c>
      <c r="E253" s="9" t="s">
        <v>35</v>
      </c>
      <c r="F253" s="9" t="s">
        <v>36</v>
      </c>
      <c r="G253" s="8" t="s">
        <v>50</v>
      </c>
      <c r="H253" s="9" t="s">
        <v>106</v>
      </c>
      <c r="I253" s="9" t="s">
        <v>38</v>
      </c>
      <c r="J253" s="9" t="s">
        <v>75</v>
      </c>
      <c r="K253" s="8" t="s">
        <v>332</v>
      </c>
      <c r="L253" s="9" t="s">
        <v>39</v>
      </c>
      <c r="M253" s="9" t="s">
        <v>40</v>
      </c>
      <c r="N253" s="9" t="s">
        <v>40</v>
      </c>
      <c r="Q253" s="9" t="s">
        <v>146</v>
      </c>
      <c r="R253" s="9" t="s">
        <v>42</v>
      </c>
      <c r="S253" s="10">
        <v>3700.0</v>
      </c>
      <c r="T253" s="11">
        <v>0.0</v>
      </c>
      <c r="U253" s="9">
        <v>0.0</v>
      </c>
      <c r="V253" s="9">
        <v>14.0</v>
      </c>
      <c r="W253" s="9" t="s">
        <v>1055</v>
      </c>
      <c r="X253" s="9" t="s">
        <v>1056</v>
      </c>
      <c r="Y253" s="9" t="s">
        <v>58</v>
      </c>
      <c r="Z253" s="9" t="s">
        <v>1057</v>
      </c>
      <c r="AA253" s="9" t="s">
        <v>71</v>
      </c>
      <c r="AB253" s="9" t="s">
        <v>61</v>
      </c>
      <c r="AD253" s="9">
        <v>6.0</v>
      </c>
      <c r="AE253" s="9">
        <v>2.0</v>
      </c>
      <c r="AF253" s="9">
        <v>1.0</v>
      </c>
      <c r="AG253" s="12">
        <v>2750.0</v>
      </c>
      <c r="AH253" s="13"/>
    </row>
    <row r="254">
      <c r="A254" s="7">
        <v>44424.49804701388</v>
      </c>
      <c r="B254" s="8">
        <f t="shared" si="1"/>
        <v>2021</v>
      </c>
      <c r="C254" s="9" t="s">
        <v>49</v>
      </c>
      <c r="D254" s="9">
        <v>26.0</v>
      </c>
      <c r="E254" s="9" t="s">
        <v>35</v>
      </c>
      <c r="F254" s="9" t="s">
        <v>36</v>
      </c>
      <c r="G254" s="8" t="s">
        <v>124</v>
      </c>
      <c r="H254" s="9" t="s">
        <v>156</v>
      </c>
      <c r="I254" s="9" t="s">
        <v>38</v>
      </c>
      <c r="J254" s="9" t="s">
        <v>160</v>
      </c>
      <c r="K254" s="9" t="s">
        <v>200</v>
      </c>
      <c r="L254" s="9" t="s">
        <v>39</v>
      </c>
      <c r="M254" s="9" t="s">
        <v>40</v>
      </c>
      <c r="N254" s="9" t="s">
        <v>40</v>
      </c>
      <c r="Q254" s="9" t="s">
        <v>146</v>
      </c>
      <c r="R254" s="9" t="s">
        <v>42</v>
      </c>
      <c r="S254" s="10">
        <v>200.0</v>
      </c>
      <c r="T254" s="11">
        <v>0.0</v>
      </c>
      <c r="U254" s="9">
        <v>0.0</v>
      </c>
      <c r="V254" s="9">
        <v>12.0</v>
      </c>
      <c r="W254" s="9" t="s">
        <v>1058</v>
      </c>
      <c r="X254" s="9" t="s">
        <v>1059</v>
      </c>
      <c r="Y254" s="9" t="s">
        <v>58</v>
      </c>
      <c r="Z254" s="9" t="s">
        <v>159</v>
      </c>
      <c r="AA254" s="9" t="s">
        <v>71</v>
      </c>
      <c r="AB254" s="9" t="s">
        <v>61</v>
      </c>
      <c r="AC254" s="9" t="s">
        <v>1060</v>
      </c>
      <c r="AD254" s="9">
        <v>8.0</v>
      </c>
      <c r="AE254" s="9">
        <v>2.0</v>
      </c>
      <c r="AF254" s="9">
        <v>2.0</v>
      </c>
      <c r="AG254" s="12">
        <v>2800.0</v>
      </c>
      <c r="AH254" s="9" t="s">
        <v>42</v>
      </c>
    </row>
    <row r="255">
      <c r="A255" s="7">
        <v>44405.69218894676</v>
      </c>
      <c r="B255" s="8">
        <f t="shared" si="1"/>
        <v>2021</v>
      </c>
      <c r="C255" s="9" t="s">
        <v>49</v>
      </c>
      <c r="D255" s="9">
        <v>29.0</v>
      </c>
      <c r="E255" s="9" t="s">
        <v>35</v>
      </c>
      <c r="F255" s="9" t="s">
        <v>36</v>
      </c>
      <c r="G255" s="8" t="s">
        <v>74</v>
      </c>
      <c r="H255" s="9" t="s">
        <v>1061</v>
      </c>
      <c r="I255" s="9" t="s">
        <v>247</v>
      </c>
      <c r="J255" s="8" t="s">
        <v>160</v>
      </c>
      <c r="K255" s="9" t="s">
        <v>188</v>
      </c>
      <c r="L255" s="9" t="s">
        <v>39</v>
      </c>
      <c r="M255" s="9" t="s">
        <v>39</v>
      </c>
      <c r="N255" s="9" t="s">
        <v>40</v>
      </c>
      <c r="Q255" s="9" t="s">
        <v>584</v>
      </c>
      <c r="R255" s="9" t="s">
        <v>42</v>
      </c>
      <c r="S255" s="10">
        <v>5000.0</v>
      </c>
      <c r="T255" s="11" t="s">
        <v>37</v>
      </c>
      <c r="V255" s="9">
        <v>12.0</v>
      </c>
      <c r="W255" s="9" t="s">
        <v>1062</v>
      </c>
      <c r="X255" s="9" t="s">
        <v>1063</v>
      </c>
      <c r="Y255" s="9" t="s">
        <v>79</v>
      </c>
      <c r="Z255" s="9" t="s">
        <v>80</v>
      </c>
      <c r="AA255" s="9" t="s">
        <v>81</v>
      </c>
      <c r="AB255" s="9" t="s">
        <v>91</v>
      </c>
      <c r="AD255" s="9">
        <v>8.0</v>
      </c>
      <c r="AE255" s="9">
        <v>6.0</v>
      </c>
      <c r="AF255" s="9">
        <v>2.0</v>
      </c>
      <c r="AG255" s="12">
        <v>2800.0</v>
      </c>
      <c r="AH255" s="9" t="s">
        <v>42</v>
      </c>
    </row>
    <row r="256">
      <c r="A256" s="7">
        <v>44574.43426574074</v>
      </c>
      <c r="B256" s="8">
        <f t="shared" si="1"/>
        <v>2022</v>
      </c>
      <c r="C256" s="9" t="s">
        <v>73</v>
      </c>
      <c r="D256" s="9">
        <v>29.0</v>
      </c>
      <c r="E256" s="9" t="s">
        <v>35</v>
      </c>
      <c r="F256" s="9" t="s">
        <v>36</v>
      </c>
      <c r="G256" s="8" t="s">
        <v>50</v>
      </c>
      <c r="H256" s="9" t="s">
        <v>298</v>
      </c>
      <c r="I256" s="9" t="s">
        <v>38</v>
      </c>
      <c r="J256" s="9" t="s">
        <v>1064</v>
      </c>
      <c r="K256" s="9" t="s">
        <v>188</v>
      </c>
      <c r="L256" s="9" t="s">
        <v>40</v>
      </c>
      <c r="M256" s="9" t="s">
        <v>40</v>
      </c>
      <c r="N256" s="9" t="s">
        <v>40</v>
      </c>
      <c r="Q256" s="9" t="s">
        <v>146</v>
      </c>
      <c r="R256" s="9" t="s">
        <v>42</v>
      </c>
      <c r="S256" s="10">
        <v>2800.0</v>
      </c>
      <c r="T256" s="11">
        <v>0.0</v>
      </c>
      <c r="U256" s="9">
        <v>0.0</v>
      </c>
      <c r="V256" s="9">
        <v>14.0</v>
      </c>
      <c r="W256" s="9" t="s">
        <v>1065</v>
      </c>
      <c r="X256" s="9" t="s">
        <v>1066</v>
      </c>
      <c r="Y256" s="9" t="s">
        <v>58</v>
      </c>
      <c r="Z256" s="9" t="s">
        <v>70</v>
      </c>
      <c r="AA256" s="9" t="s">
        <v>47</v>
      </c>
      <c r="AB256" s="9" t="s">
        <v>61</v>
      </c>
      <c r="AD256" s="9">
        <v>6.0</v>
      </c>
      <c r="AE256" s="9" t="s">
        <v>1067</v>
      </c>
      <c r="AF256" s="9">
        <v>0.0</v>
      </c>
      <c r="AG256" s="12">
        <v>2800.0</v>
      </c>
      <c r="AH256" s="13"/>
    </row>
    <row r="257">
      <c r="A257" s="7">
        <v>44614.03824521991</v>
      </c>
      <c r="B257" s="8">
        <f t="shared" si="1"/>
        <v>2022</v>
      </c>
      <c r="C257" s="9" t="s">
        <v>49</v>
      </c>
      <c r="D257" s="9">
        <v>24.0</v>
      </c>
      <c r="E257" s="9" t="s">
        <v>35</v>
      </c>
      <c r="F257" s="9" t="s">
        <v>36</v>
      </c>
      <c r="G257" s="8" t="s">
        <v>124</v>
      </c>
      <c r="H257" s="9" t="s">
        <v>156</v>
      </c>
      <c r="I257" s="9" t="s">
        <v>107</v>
      </c>
      <c r="J257" s="9" t="s">
        <v>1068</v>
      </c>
      <c r="K257" s="9" t="s">
        <v>1069</v>
      </c>
      <c r="L257" s="9" t="s">
        <v>40</v>
      </c>
      <c r="M257" s="9" t="s">
        <v>40</v>
      </c>
      <c r="N257" s="9" t="s">
        <v>40</v>
      </c>
      <c r="Q257" s="9" t="s">
        <v>1018</v>
      </c>
      <c r="R257" s="9" t="s">
        <v>42</v>
      </c>
      <c r="S257" s="10">
        <v>3500.0</v>
      </c>
      <c r="T257" s="11">
        <v>0.0</v>
      </c>
      <c r="U257" s="9">
        <v>0.0</v>
      </c>
      <c r="V257" s="9">
        <v>14.0</v>
      </c>
      <c r="W257" s="9" t="s">
        <v>1070</v>
      </c>
      <c r="X257" s="9" t="s">
        <v>1071</v>
      </c>
      <c r="Y257" s="9" t="s">
        <v>124</v>
      </c>
      <c r="Z257" s="9" t="s">
        <v>59</v>
      </c>
      <c r="AA257" s="9" t="s">
        <v>132</v>
      </c>
      <c r="AB257" s="9" t="s">
        <v>91</v>
      </c>
      <c r="AD257" s="9">
        <v>9.0</v>
      </c>
      <c r="AE257" s="9">
        <v>0.0</v>
      </c>
      <c r="AF257" s="9">
        <v>1.0</v>
      </c>
      <c r="AG257" s="12">
        <v>2800.0</v>
      </c>
      <c r="AH257" s="13"/>
    </row>
    <row r="258">
      <c r="A258" s="7">
        <v>44512.405625555555</v>
      </c>
      <c r="B258" s="8">
        <f t="shared" si="1"/>
        <v>2021</v>
      </c>
      <c r="C258" s="9" t="s">
        <v>49</v>
      </c>
      <c r="D258" s="9">
        <v>27.0</v>
      </c>
      <c r="E258" s="9" t="s">
        <v>35</v>
      </c>
      <c r="F258" s="9" t="s">
        <v>36</v>
      </c>
      <c r="G258" s="8" t="s">
        <v>124</v>
      </c>
      <c r="H258" s="9" t="s">
        <v>156</v>
      </c>
      <c r="I258" s="9" t="s">
        <v>38</v>
      </c>
      <c r="J258" s="9" t="s">
        <v>1072</v>
      </c>
      <c r="K258" s="9" t="s">
        <v>723</v>
      </c>
      <c r="L258" s="9" t="s">
        <v>39</v>
      </c>
      <c r="M258" s="9" t="s">
        <v>39</v>
      </c>
      <c r="N258" s="9" t="s">
        <v>40</v>
      </c>
      <c r="Q258" s="9" t="s">
        <v>146</v>
      </c>
      <c r="R258" s="9" t="s">
        <v>42</v>
      </c>
      <c r="S258" s="10">
        <v>4500.0</v>
      </c>
      <c r="T258" s="11">
        <v>0.0</v>
      </c>
      <c r="U258" s="9">
        <v>0.0</v>
      </c>
      <c r="V258" s="9">
        <v>14.0</v>
      </c>
      <c r="W258" s="9" t="s">
        <v>1073</v>
      </c>
      <c r="X258" s="9" t="s">
        <v>1074</v>
      </c>
      <c r="Y258" s="9" t="s">
        <v>58</v>
      </c>
      <c r="Z258" s="9" t="s">
        <v>59</v>
      </c>
      <c r="AA258" s="9" t="s">
        <v>132</v>
      </c>
      <c r="AB258" s="9" t="s">
        <v>61</v>
      </c>
      <c r="AD258" s="9">
        <v>4.0</v>
      </c>
      <c r="AE258" s="9">
        <v>3.0</v>
      </c>
      <c r="AF258" s="9">
        <v>2.0</v>
      </c>
      <c r="AG258" s="12">
        <v>2800.0</v>
      </c>
      <c r="AH258" s="13"/>
    </row>
    <row r="259">
      <c r="A259" s="7">
        <v>44405.4979021412</v>
      </c>
      <c r="B259" s="8">
        <f t="shared" si="1"/>
        <v>2021</v>
      </c>
      <c r="C259" s="9" t="s">
        <v>49</v>
      </c>
      <c r="D259" s="9">
        <v>31.0</v>
      </c>
      <c r="E259" s="9" t="s">
        <v>35</v>
      </c>
      <c r="F259" s="9" t="s">
        <v>36</v>
      </c>
      <c r="G259" s="8" t="s">
        <v>50</v>
      </c>
      <c r="H259" s="9" t="s">
        <v>117</v>
      </c>
      <c r="I259" s="9" t="s">
        <v>302</v>
      </c>
      <c r="K259" s="9" t="s">
        <v>166</v>
      </c>
      <c r="L259" s="9" t="s">
        <v>39</v>
      </c>
      <c r="M259" s="9" t="s">
        <v>40</v>
      </c>
      <c r="N259" s="9" t="s">
        <v>40</v>
      </c>
      <c r="Q259" s="9" t="s">
        <v>182</v>
      </c>
      <c r="R259" s="9" t="s">
        <v>42</v>
      </c>
      <c r="S259" s="10">
        <v>6000.0</v>
      </c>
      <c r="T259" s="11">
        <v>3000.0</v>
      </c>
      <c r="U259" s="9">
        <v>0.0</v>
      </c>
      <c r="V259" s="9">
        <v>14.0</v>
      </c>
      <c r="W259" s="9" t="s">
        <v>1075</v>
      </c>
      <c r="X259" s="9" t="s">
        <v>1076</v>
      </c>
      <c r="Y259" s="9" t="s">
        <v>1077</v>
      </c>
      <c r="Z259" s="9" t="s">
        <v>1078</v>
      </c>
      <c r="AA259" s="9" t="s">
        <v>71</v>
      </c>
      <c r="AB259" s="9" t="s">
        <v>91</v>
      </c>
      <c r="AD259" s="9">
        <v>8.0</v>
      </c>
      <c r="AE259" s="9">
        <v>11.0</v>
      </c>
      <c r="AF259" s="9">
        <v>3.0</v>
      </c>
      <c r="AG259" s="12">
        <v>2800.0</v>
      </c>
      <c r="AH259" s="13"/>
    </row>
    <row r="260">
      <c r="A260" s="7">
        <v>44406.73106086806</v>
      </c>
      <c r="B260" s="8">
        <f t="shared" si="1"/>
        <v>2021</v>
      </c>
      <c r="C260" s="9" t="s">
        <v>49</v>
      </c>
      <c r="D260" s="9">
        <v>31.0</v>
      </c>
      <c r="E260" s="9" t="s">
        <v>35</v>
      </c>
      <c r="F260" s="9" t="s">
        <v>36</v>
      </c>
      <c r="G260" s="8" t="s">
        <v>50</v>
      </c>
      <c r="H260" s="8" t="s">
        <v>82</v>
      </c>
      <c r="I260" s="9" t="s">
        <v>38</v>
      </c>
      <c r="J260" s="9" t="s">
        <v>75</v>
      </c>
      <c r="K260" s="9" t="s">
        <v>1079</v>
      </c>
      <c r="L260" s="9" t="s">
        <v>39</v>
      </c>
      <c r="M260" s="9" t="s">
        <v>40</v>
      </c>
      <c r="N260" s="9" t="s">
        <v>40</v>
      </c>
      <c r="Q260" s="9" t="s">
        <v>182</v>
      </c>
      <c r="R260" s="9" t="s">
        <v>42</v>
      </c>
      <c r="S260" s="10">
        <v>7000.0</v>
      </c>
      <c r="T260" s="11">
        <v>10000.0</v>
      </c>
      <c r="U260" s="9">
        <v>0.0</v>
      </c>
      <c r="V260" s="9">
        <v>14.0</v>
      </c>
      <c r="W260" s="9" t="s">
        <v>1080</v>
      </c>
      <c r="X260" s="9" t="s">
        <v>1081</v>
      </c>
      <c r="Y260" s="9" t="s">
        <v>58</v>
      </c>
      <c r="Z260" s="9" t="s">
        <v>80</v>
      </c>
      <c r="AA260" s="9" t="s">
        <v>132</v>
      </c>
      <c r="AB260" s="9" t="s">
        <v>61</v>
      </c>
      <c r="AD260" s="9">
        <v>4.0</v>
      </c>
      <c r="AE260" s="9">
        <v>8.0</v>
      </c>
      <c r="AF260" s="9">
        <v>1.0</v>
      </c>
      <c r="AG260" s="12">
        <v>2800.0</v>
      </c>
      <c r="AH260" s="13"/>
    </row>
    <row r="261">
      <c r="A261" s="7">
        <v>44408.911167604165</v>
      </c>
      <c r="B261" s="8">
        <f t="shared" si="1"/>
        <v>2021</v>
      </c>
      <c r="C261" s="9" t="s">
        <v>49</v>
      </c>
      <c r="D261" s="9">
        <v>31.0</v>
      </c>
      <c r="E261" s="9" t="s">
        <v>35</v>
      </c>
      <c r="F261" s="9" t="s">
        <v>36</v>
      </c>
      <c r="G261" s="9" t="s">
        <v>164</v>
      </c>
      <c r="H261" s="9" t="s">
        <v>165</v>
      </c>
      <c r="I261" s="9" t="s">
        <v>38</v>
      </c>
      <c r="J261" s="9" t="s">
        <v>143</v>
      </c>
      <c r="K261" s="9" t="s">
        <v>188</v>
      </c>
      <c r="L261" s="9" t="s">
        <v>39</v>
      </c>
      <c r="M261" s="9" t="s">
        <v>40</v>
      </c>
      <c r="N261" s="9" t="s">
        <v>39</v>
      </c>
      <c r="P261" s="9" t="s">
        <v>1082</v>
      </c>
      <c r="Q261" s="9" t="s">
        <v>146</v>
      </c>
      <c r="R261" s="9" t="s">
        <v>42</v>
      </c>
      <c r="S261" s="10">
        <v>7500.0</v>
      </c>
      <c r="T261" s="11">
        <v>11250.0</v>
      </c>
      <c r="U261" s="9">
        <v>0.0</v>
      </c>
      <c r="V261" s="9">
        <v>14.0</v>
      </c>
      <c r="W261" s="9" t="s">
        <v>1083</v>
      </c>
      <c r="X261" s="9" t="s">
        <v>1084</v>
      </c>
      <c r="Y261" s="9" t="s">
        <v>122</v>
      </c>
      <c r="Z261" s="9" t="s">
        <v>1085</v>
      </c>
      <c r="AA261" s="9" t="s">
        <v>81</v>
      </c>
      <c r="AB261" s="9" t="s">
        <v>61</v>
      </c>
      <c r="AD261" s="9">
        <v>7.0</v>
      </c>
      <c r="AE261" s="9">
        <v>8.0</v>
      </c>
      <c r="AF261" s="9">
        <v>2.0</v>
      </c>
      <c r="AG261" s="12">
        <v>2800.0</v>
      </c>
      <c r="AH261" s="13"/>
    </row>
    <row r="262">
      <c r="A262" s="7">
        <v>44424.577776631944</v>
      </c>
      <c r="B262" s="8">
        <f t="shared" si="1"/>
        <v>2021</v>
      </c>
      <c r="C262" s="9" t="s">
        <v>49</v>
      </c>
      <c r="D262" s="9">
        <v>30.0</v>
      </c>
      <c r="E262" s="9" t="s">
        <v>1086</v>
      </c>
      <c r="F262" s="9" t="s">
        <v>36</v>
      </c>
      <c r="G262" s="8" t="s">
        <v>50</v>
      </c>
      <c r="H262" s="9" t="s">
        <v>106</v>
      </c>
      <c r="I262" s="9" t="s">
        <v>38</v>
      </c>
      <c r="J262" s="9" t="s">
        <v>75</v>
      </c>
      <c r="K262" s="9" t="s">
        <v>161</v>
      </c>
      <c r="L262" s="9" t="s">
        <v>39</v>
      </c>
      <c r="M262" s="9" t="s">
        <v>40</v>
      </c>
      <c r="N262" s="9" t="s">
        <v>39</v>
      </c>
      <c r="Q262" s="9" t="s">
        <v>308</v>
      </c>
      <c r="R262" s="9" t="s">
        <v>42</v>
      </c>
      <c r="S262" s="10">
        <v>13300.0</v>
      </c>
      <c r="T262" s="11">
        <v>16000.0</v>
      </c>
      <c r="U262" s="9">
        <v>0.0</v>
      </c>
      <c r="V262" s="9">
        <v>14.0</v>
      </c>
      <c r="W262" s="9" t="s">
        <v>1087</v>
      </c>
      <c r="X262" s="9" t="s">
        <v>1088</v>
      </c>
      <c r="Y262" s="9" t="s">
        <v>131</v>
      </c>
      <c r="Z262" s="9" t="s">
        <v>268</v>
      </c>
      <c r="AA262" s="9" t="s">
        <v>81</v>
      </c>
      <c r="AB262" s="9" t="s">
        <v>133</v>
      </c>
      <c r="AD262" s="9">
        <v>7.0</v>
      </c>
      <c r="AE262" s="9">
        <v>9.0</v>
      </c>
      <c r="AF262" s="9">
        <v>2.0</v>
      </c>
      <c r="AG262" s="12">
        <v>2800.0</v>
      </c>
      <c r="AH262" s="13"/>
    </row>
    <row r="263">
      <c r="A263" s="7">
        <v>44422.622871203705</v>
      </c>
      <c r="B263" s="8">
        <f t="shared" si="1"/>
        <v>2021</v>
      </c>
      <c r="C263" s="9" t="s">
        <v>49</v>
      </c>
      <c r="D263" s="9">
        <v>31.0</v>
      </c>
      <c r="E263" s="9" t="s">
        <v>35</v>
      </c>
      <c r="F263" s="9" t="s">
        <v>36</v>
      </c>
      <c r="G263" s="8" t="s">
        <v>124</v>
      </c>
      <c r="H263" s="9" t="s">
        <v>206</v>
      </c>
      <c r="I263" s="9" t="s">
        <v>38</v>
      </c>
      <c r="J263" s="9" t="s">
        <v>75</v>
      </c>
      <c r="K263" s="9" t="s">
        <v>84</v>
      </c>
      <c r="L263" s="9" t="s">
        <v>39</v>
      </c>
      <c r="M263" s="9" t="s">
        <v>40</v>
      </c>
      <c r="N263" s="9" t="s">
        <v>39</v>
      </c>
      <c r="P263" s="9" t="s">
        <v>1089</v>
      </c>
      <c r="Q263" s="9" t="s">
        <v>1090</v>
      </c>
      <c r="R263" s="9" t="s">
        <v>42</v>
      </c>
      <c r="S263" s="10">
        <v>15000.0</v>
      </c>
      <c r="T263" s="11">
        <v>30000.0</v>
      </c>
      <c r="V263" s="9">
        <v>14.0</v>
      </c>
      <c r="W263" s="9" t="s">
        <v>1091</v>
      </c>
      <c r="X263" s="9" t="s">
        <v>1092</v>
      </c>
      <c r="Y263" s="9" t="s">
        <v>1093</v>
      </c>
      <c r="Z263" s="9" t="s">
        <v>59</v>
      </c>
      <c r="AA263" s="9" t="s">
        <v>47</v>
      </c>
      <c r="AB263" s="9" t="s">
        <v>61</v>
      </c>
      <c r="AD263" s="9">
        <v>7.0</v>
      </c>
      <c r="AE263" s="9">
        <v>9.0</v>
      </c>
      <c r="AF263" s="9">
        <v>3.0</v>
      </c>
      <c r="AG263" s="12">
        <v>2800.0</v>
      </c>
      <c r="AH263" s="13"/>
    </row>
    <row r="264">
      <c r="A264" s="7">
        <v>44581.031047662036</v>
      </c>
      <c r="B264" s="8">
        <f t="shared" si="1"/>
        <v>2022</v>
      </c>
      <c r="C264" s="9" t="s">
        <v>49</v>
      </c>
      <c r="D264" s="9">
        <v>26.0</v>
      </c>
      <c r="E264" s="9" t="s">
        <v>35</v>
      </c>
      <c r="F264" s="9" t="s">
        <v>36</v>
      </c>
      <c r="G264" s="8" t="s">
        <v>124</v>
      </c>
      <c r="H264" s="9" t="s">
        <v>296</v>
      </c>
      <c r="I264" s="9" t="s">
        <v>38</v>
      </c>
      <c r="J264" s="9" t="s">
        <v>83</v>
      </c>
      <c r="K264" s="9" t="s">
        <v>959</v>
      </c>
      <c r="L264" s="9" t="s">
        <v>39</v>
      </c>
      <c r="M264" s="9" t="s">
        <v>40</v>
      </c>
      <c r="N264" s="9" t="s">
        <v>40</v>
      </c>
      <c r="Q264" s="9" t="s">
        <v>281</v>
      </c>
      <c r="R264" s="9" t="s">
        <v>42</v>
      </c>
      <c r="S264" s="10">
        <v>4300.0</v>
      </c>
      <c r="T264" s="11">
        <v>4300.0</v>
      </c>
      <c r="U264" s="9">
        <v>0.0</v>
      </c>
      <c r="V264" s="9">
        <v>15.0</v>
      </c>
      <c r="W264" s="9" t="s">
        <v>1094</v>
      </c>
      <c r="X264" s="9" t="s">
        <v>1095</v>
      </c>
      <c r="Y264" s="9" t="s">
        <v>1096</v>
      </c>
      <c r="Z264" s="9" t="s">
        <v>89</v>
      </c>
      <c r="AA264" s="9" t="s">
        <v>81</v>
      </c>
      <c r="AB264" s="9" t="s">
        <v>61</v>
      </c>
      <c r="AD264" s="9">
        <v>1.0</v>
      </c>
      <c r="AE264" s="9">
        <v>1.0</v>
      </c>
      <c r="AF264" s="9">
        <v>2.0</v>
      </c>
      <c r="AG264" s="12">
        <v>2800.0</v>
      </c>
      <c r="AH264" s="13"/>
    </row>
    <row r="265">
      <c r="A265" s="7">
        <v>44436.50006600695</v>
      </c>
      <c r="B265" s="8">
        <f t="shared" si="1"/>
        <v>2021</v>
      </c>
      <c r="C265" s="9" t="s">
        <v>49</v>
      </c>
      <c r="D265" s="9">
        <v>28.0</v>
      </c>
      <c r="E265" s="9" t="s">
        <v>35</v>
      </c>
      <c r="F265" s="9" t="s">
        <v>36</v>
      </c>
      <c r="G265" s="8" t="s">
        <v>124</v>
      </c>
      <c r="H265" s="9" t="s">
        <v>156</v>
      </c>
      <c r="I265" s="9" t="s">
        <v>38</v>
      </c>
      <c r="J265" s="9" t="s">
        <v>160</v>
      </c>
      <c r="K265" s="9" t="s">
        <v>84</v>
      </c>
      <c r="L265" s="9" t="s">
        <v>39</v>
      </c>
      <c r="M265" s="9" t="s">
        <v>40</v>
      </c>
      <c r="N265" s="9" t="s">
        <v>40</v>
      </c>
      <c r="Q265" s="9" t="s">
        <v>146</v>
      </c>
      <c r="R265" s="9" t="s">
        <v>42</v>
      </c>
      <c r="S265" s="10">
        <v>6000.0</v>
      </c>
      <c r="T265" s="11">
        <v>10000.0</v>
      </c>
      <c r="V265" s="9">
        <v>15.0</v>
      </c>
      <c r="W265" s="9" t="s">
        <v>1097</v>
      </c>
      <c r="X265" s="9" t="s">
        <v>1098</v>
      </c>
      <c r="Y265" s="9" t="s">
        <v>122</v>
      </c>
      <c r="Z265" s="9" t="s">
        <v>105</v>
      </c>
      <c r="AA265" s="9" t="s">
        <v>132</v>
      </c>
      <c r="AB265" s="9" t="s">
        <v>61</v>
      </c>
      <c r="AD265" s="9">
        <v>8.0</v>
      </c>
      <c r="AE265" s="9">
        <v>5.0</v>
      </c>
      <c r="AF265" s="9">
        <v>3.0</v>
      </c>
      <c r="AG265" s="12">
        <v>2800.0</v>
      </c>
      <c r="AH265" s="13"/>
    </row>
    <row r="266">
      <c r="A266" s="7">
        <v>44614.927507534725</v>
      </c>
      <c r="B266" s="8">
        <f t="shared" si="1"/>
        <v>2022</v>
      </c>
      <c r="C266" s="9" t="s">
        <v>73</v>
      </c>
      <c r="D266" s="9">
        <v>24.0</v>
      </c>
      <c r="E266" s="9" t="s">
        <v>35</v>
      </c>
      <c r="F266" s="9" t="s">
        <v>36</v>
      </c>
      <c r="G266" s="8" t="s">
        <v>50</v>
      </c>
      <c r="H266" s="9" t="s">
        <v>106</v>
      </c>
      <c r="I266" s="9" t="s">
        <v>93</v>
      </c>
      <c r="J266" s="9" t="s">
        <v>160</v>
      </c>
      <c r="K266" s="9" t="s">
        <v>1099</v>
      </c>
      <c r="L266" s="9" t="s">
        <v>39</v>
      </c>
      <c r="M266" s="9" t="s">
        <v>40</v>
      </c>
      <c r="N266" s="9" t="s">
        <v>40</v>
      </c>
      <c r="Q266" s="9" t="s">
        <v>128</v>
      </c>
      <c r="R266" s="9" t="s">
        <v>42</v>
      </c>
      <c r="S266" s="10">
        <v>4000.0</v>
      </c>
      <c r="T266" s="11">
        <v>0.0</v>
      </c>
      <c r="U266" s="9">
        <v>0.0</v>
      </c>
      <c r="V266" s="9">
        <v>16.0</v>
      </c>
      <c r="W266" s="9" t="s">
        <v>1100</v>
      </c>
      <c r="X266" s="9" t="s">
        <v>1101</v>
      </c>
      <c r="Y266" s="9" t="s">
        <v>124</v>
      </c>
      <c r="Z266" s="9" t="s">
        <v>1102</v>
      </c>
      <c r="AA266" s="9" t="s">
        <v>132</v>
      </c>
      <c r="AB266" s="9" t="s">
        <v>61</v>
      </c>
      <c r="AD266" s="9">
        <v>8.0</v>
      </c>
      <c r="AE266" s="9">
        <v>2.0</v>
      </c>
      <c r="AF266" s="9">
        <v>1.0</v>
      </c>
      <c r="AG266" s="12">
        <v>2800.0</v>
      </c>
      <c r="AH266" s="13"/>
    </row>
    <row r="267">
      <c r="A267" s="7">
        <v>44460.65864807871</v>
      </c>
      <c r="B267" s="8">
        <f t="shared" si="1"/>
        <v>2021</v>
      </c>
      <c r="C267" s="9" t="s">
        <v>49</v>
      </c>
      <c r="D267" s="9">
        <v>28.0</v>
      </c>
      <c r="E267" s="9" t="s">
        <v>35</v>
      </c>
      <c r="F267" s="9" t="s">
        <v>36</v>
      </c>
      <c r="G267" s="8" t="s">
        <v>515</v>
      </c>
      <c r="H267" s="9" t="s">
        <v>836</v>
      </c>
      <c r="I267" s="9" t="s">
        <v>38</v>
      </c>
      <c r="J267" s="9" t="s">
        <v>910</v>
      </c>
      <c r="K267" s="9" t="s">
        <v>355</v>
      </c>
      <c r="L267" s="9" t="s">
        <v>39</v>
      </c>
      <c r="M267" s="9" t="s">
        <v>40</v>
      </c>
      <c r="N267" s="9" t="s">
        <v>40</v>
      </c>
      <c r="Q267" s="9" t="s">
        <v>128</v>
      </c>
      <c r="R267" s="9" t="s">
        <v>42</v>
      </c>
      <c r="S267" s="10">
        <v>4600.0</v>
      </c>
      <c r="T267" s="11">
        <v>4600.0</v>
      </c>
      <c r="U267" s="9">
        <v>0.0</v>
      </c>
      <c r="V267" s="9">
        <v>16.0</v>
      </c>
      <c r="W267" s="9" t="s">
        <v>1103</v>
      </c>
      <c r="X267" s="9" t="s">
        <v>87</v>
      </c>
      <c r="Y267" s="9" t="s">
        <v>1104</v>
      </c>
      <c r="Z267" s="9" t="s">
        <v>80</v>
      </c>
      <c r="AA267" s="9" t="s">
        <v>90</v>
      </c>
      <c r="AB267" s="9" t="s">
        <v>91</v>
      </c>
      <c r="AC267" s="9" t="s">
        <v>1105</v>
      </c>
      <c r="AD267" s="9">
        <v>7.0</v>
      </c>
      <c r="AE267" s="9">
        <v>5.0</v>
      </c>
      <c r="AF267" s="9">
        <v>2.0</v>
      </c>
      <c r="AG267" s="12">
        <v>2800.0</v>
      </c>
      <c r="AH267" s="13"/>
    </row>
    <row r="268">
      <c r="A268" s="7">
        <v>44619.02718574074</v>
      </c>
      <c r="B268" s="8">
        <f t="shared" si="1"/>
        <v>2022</v>
      </c>
      <c r="C268" s="9" t="s">
        <v>49</v>
      </c>
      <c r="D268" s="9">
        <v>30.0</v>
      </c>
      <c r="E268" s="9" t="s">
        <v>35</v>
      </c>
      <c r="F268" s="9" t="s">
        <v>36</v>
      </c>
      <c r="G268" s="8" t="s">
        <v>124</v>
      </c>
      <c r="H268" s="9" t="s">
        <v>1106</v>
      </c>
      <c r="I268" s="9" t="s">
        <v>38</v>
      </c>
      <c r="J268" s="9" t="s">
        <v>160</v>
      </c>
      <c r="K268" s="9" t="s">
        <v>161</v>
      </c>
      <c r="L268" s="9" t="s">
        <v>39</v>
      </c>
      <c r="M268" s="9" t="s">
        <v>40</v>
      </c>
      <c r="N268" s="9" t="s">
        <v>40</v>
      </c>
      <c r="Q268" s="9" t="s">
        <v>272</v>
      </c>
      <c r="R268" s="9" t="s">
        <v>42</v>
      </c>
      <c r="S268" s="10">
        <v>7100.0</v>
      </c>
      <c r="T268" s="11">
        <v>14200.0</v>
      </c>
      <c r="U268" s="9">
        <v>0.0</v>
      </c>
      <c r="V268" s="9">
        <v>16.0</v>
      </c>
      <c r="W268" s="9" t="s">
        <v>1107</v>
      </c>
      <c r="X268" s="9" t="s">
        <v>1108</v>
      </c>
      <c r="Y268" s="9" t="s">
        <v>902</v>
      </c>
      <c r="Z268" s="9" t="s">
        <v>70</v>
      </c>
      <c r="AA268" s="9" t="s">
        <v>60</v>
      </c>
      <c r="AB268" s="9" t="s">
        <v>61</v>
      </c>
      <c r="AD268" s="9">
        <v>7.0</v>
      </c>
      <c r="AE268" s="9">
        <v>5.0</v>
      </c>
      <c r="AF268" s="9">
        <v>1.0</v>
      </c>
      <c r="AG268" s="12">
        <v>2800.0</v>
      </c>
      <c r="AH268" s="13"/>
    </row>
    <row r="269">
      <c r="A269" s="7">
        <v>44630.02114020834</v>
      </c>
      <c r="B269" s="8">
        <f t="shared" si="1"/>
        <v>2022</v>
      </c>
      <c r="C269" s="9" t="s">
        <v>73</v>
      </c>
      <c r="D269" s="9">
        <v>29.0</v>
      </c>
      <c r="E269" s="9" t="s">
        <v>35</v>
      </c>
      <c r="F269" s="9" t="s">
        <v>36</v>
      </c>
      <c r="G269" s="8" t="s">
        <v>50</v>
      </c>
      <c r="H269" s="9" t="s">
        <v>106</v>
      </c>
      <c r="I269" s="9" t="s">
        <v>38</v>
      </c>
      <c r="J269" s="9" t="s">
        <v>1109</v>
      </c>
      <c r="K269" s="9" t="s">
        <v>407</v>
      </c>
      <c r="L269" s="9" t="s">
        <v>40</v>
      </c>
      <c r="M269" s="9" t="s">
        <v>39</v>
      </c>
      <c r="N269" s="9" t="s">
        <v>40</v>
      </c>
      <c r="O269" s="9" t="s">
        <v>1110</v>
      </c>
      <c r="Q269" s="9" t="s">
        <v>119</v>
      </c>
      <c r="R269" s="9" t="s">
        <v>42</v>
      </c>
      <c r="S269" s="10">
        <v>6900.0</v>
      </c>
      <c r="T269" s="11">
        <v>0.0</v>
      </c>
      <c r="U269" s="9">
        <v>0.0</v>
      </c>
      <c r="V269" s="9">
        <v>18.0</v>
      </c>
      <c r="W269" s="9" t="s">
        <v>1111</v>
      </c>
      <c r="X269" s="9" t="s">
        <v>1112</v>
      </c>
      <c r="Y269" s="9" t="s">
        <v>58</v>
      </c>
      <c r="Z269" s="9" t="s">
        <v>59</v>
      </c>
      <c r="AA269" s="9" t="s">
        <v>132</v>
      </c>
      <c r="AB269" s="9" t="s">
        <v>61</v>
      </c>
      <c r="AD269" s="9">
        <v>6.0</v>
      </c>
      <c r="AE269" s="9">
        <v>6.0</v>
      </c>
      <c r="AF269" s="9">
        <v>0.0</v>
      </c>
      <c r="AG269" s="12">
        <v>2800.0</v>
      </c>
      <c r="AH269" s="13"/>
    </row>
    <row r="270">
      <c r="A270" s="7">
        <v>44405.383240462965</v>
      </c>
      <c r="B270" s="8">
        <f t="shared" si="1"/>
        <v>2021</v>
      </c>
      <c r="C270" s="9" t="s">
        <v>49</v>
      </c>
      <c r="D270" s="9">
        <v>28.0</v>
      </c>
      <c r="E270" s="9" t="s">
        <v>35</v>
      </c>
      <c r="F270" s="9" t="s">
        <v>36</v>
      </c>
      <c r="G270" s="8" t="s">
        <v>50</v>
      </c>
      <c r="H270" s="9" t="s">
        <v>106</v>
      </c>
      <c r="I270" s="9" t="s">
        <v>38</v>
      </c>
      <c r="J270" s="9" t="s">
        <v>75</v>
      </c>
      <c r="K270" s="9" t="s">
        <v>166</v>
      </c>
      <c r="L270" s="9" t="s">
        <v>39</v>
      </c>
      <c r="M270" s="9" t="s">
        <v>40</v>
      </c>
      <c r="N270" s="9" t="s">
        <v>39</v>
      </c>
      <c r="P270" s="9" t="s">
        <v>1113</v>
      </c>
      <c r="Q270" s="9" t="s">
        <v>589</v>
      </c>
      <c r="R270" s="9" t="s">
        <v>42</v>
      </c>
      <c r="S270" s="10">
        <v>13000.0</v>
      </c>
      <c r="T270" s="11">
        <v>0.0</v>
      </c>
      <c r="U270" s="9">
        <v>0.0</v>
      </c>
      <c r="V270" s="9">
        <v>18.0</v>
      </c>
      <c r="W270" s="9" t="s">
        <v>1114</v>
      </c>
      <c r="X270" s="9" t="s">
        <v>1115</v>
      </c>
      <c r="Y270" s="9" t="s">
        <v>50</v>
      </c>
      <c r="Z270" s="9" t="s">
        <v>105</v>
      </c>
      <c r="AA270" s="9" t="s">
        <v>71</v>
      </c>
      <c r="AB270" s="9" t="s">
        <v>61</v>
      </c>
      <c r="AD270" s="9">
        <v>4.0</v>
      </c>
      <c r="AE270" s="9">
        <v>6.0</v>
      </c>
      <c r="AF270" s="9">
        <v>3.0</v>
      </c>
      <c r="AG270" s="12">
        <v>2800.0</v>
      </c>
      <c r="AH270" s="13"/>
    </row>
    <row r="271">
      <c r="A271" s="7">
        <v>44614.49416440973</v>
      </c>
      <c r="B271" s="8">
        <f t="shared" si="1"/>
        <v>2022</v>
      </c>
      <c r="C271" s="9" t="s">
        <v>49</v>
      </c>
      <c r="D271" s="9">
        <v>30.0</v>
      </c>
      <c r="E271" s="9" t="s">
        <v>35</v>
      </c>
      <c r="F271" s="9" t="s">
        <v>36</v>
      </c>
      <c r="G271" s="9" t="s">
        <v>99</v>
      </c>
      <c r="H271" s="8" t="s">
        <v>99</v>
      </c>
      <c r="I271" s="9" t="s">
        <v>38</v>
      </c>
      <c r="J271" s="9" t="s">
        <v>1116</v>
      </c>
      <c r="K271" s="9" t="s">
        <v>200</v>
      </c>
      <c r="L271" s="9" t="s">
        <v>39</v>
      </c>
      <c r="M271" s="9" t="s">
        <v>40</v>
      </c>
      <c r="N271" s="9" t="s">
        <v>40</v>
      </c>
      <c r="Q271" s="9" t="s">
        <v>308</v>
      </c>
      <c r="R271" s="9" t="s">
        <v>42</v>
      </c>
      <c r="S271" s="10">
        <v>5000.0</v>
      </c>
      <c r="T271" s="11">
        <v>10000.0</v>
      </c>
      <c r="U271" s="9">
        <v>0.0</v>
      </c>
      <c r="V271" s="9">
        <v>18.0</v>
      </c>
      <c r="W271" s="9" t="s">
        <v>1117</v>
      </c>
      <c r="X271" s="9" t="s">
        <v>1118</v>
      </c>
      <c r="Y271" s="9" t="s">
        <v>139</v>
      </c>
      <c r="Z271" s="9" t="s">
        <v>1119</v>
      </c>
      <c r="AA271" s="9" t="s">
        <v>90</v>
      </c>
      <c r="AB271" s="9" t="s">
        <v>91</v>
      </c>
      <c r="AD271" s="9">
        <v>10.0</v>
      </c>
      <c r="AE271" s="9">
        <v>6.0</v>
      </c>
      <c r="AF271" s="9">
        <v>4.0</v>
      </c>
      <c r="AG271" s="12">
        <v>2800.0</v>
      </c>
      <c r="AH271" s="13"/>
    </row>
    <row r="272">
      <c r="A272" s="7">
        <v>44460.363339421296</v>
      </c>
      <c r="B272" s="8">
        <f t="shared" si="1"/>
        <v>2021</v>
      </c>
      <c r="C272" s="9" t="s">
        <v>73</v>
      </c>
      <c r="D272" s="9">
        <v>28.0</v>
      </c>
      <c r="E272" s="9" t="s">
        <v>35</v>
      </c>
      <c r="F272" s="9" t="s">
        <v>36</v>
      </c>
      <c r="G272" s="8" t="s">
        <v>124</v>
      </c>
      <c r="H272" s="9" t="s">
        <v>156</v>
      </c>
      <c r="I272" s="9" t="s">
        <v>38</v>
      </c>
      <c r="J272" s="9" t="s">
        <v>1120</v>
      </c>
      <c r="K272" s="9" t="s">
        <v>166</v>
      </c>
      <c r="L272" s="9" t="s">
        <v>40</v>
      </c>
      <c r="M272" s="9" t="s">
        <v>39</v>
      </c>
      <c r="N272" s="9" t="s">
        <v>40</v>
      </c>
      <c r="O272" s="9" t="s">
        <v>1121</v>
      </c>
      <c r="P272" s="9" t="s">
        <v>1122</v>
      </c>
      <c r="Q272" s="9" t="s">
        <v>796</v>
      </c>
      <c r="R272" s="9" t="s">
        <v>42</v>
      </c>
      <c r="S272" s="10">
        <v>6000.0</v>
      </c>
      <c r="T272" s="11">
        <v>0.0</v>
      </c>
      <c r="U272" s="9">
        <v>0.0</v>
      </c>
      <c r="V272" s="9">
        <v>20.0</v>
      </c>
      <c r="W272" s="9" t="s">
        <v>1123</v>
      </c>
      <c r="X272" s="9" t="s">
        <v>1124</v>
      </c>
      <c r="Y272" s="9" t="s">
        <v>122</v>
      </c>
      <c r="Z272" s="9" t="s">
        <v>423</v>
      </c>
      <c r="AA272" s="9" t="s">
        <v>60</v>
      </c>
      <c r="AB272" s="9" t="s">
        <v>133</v>
      </c>
      <c r="AD272" s="9">
        <v>9.0</v>
      </c>
      <c r="AE272" s="9">
        <v>4.0</v>
      </c>
      <c r="AF272" s="9">
        <v>3.0</v>
      </c>
      <c r="AG272" s="12">
        <v>2800.0</v>
      </c>
      <c r="AH272" s="13"/>
    </row>
    <row r="273">
      <c r="A273" s="7">
        <v>44476.79987158565</v>
      </c>
      <c r="B273" s="8">
        <f t="shared" si="1"/>
        <v>2021</v>
      </c>
      <c r="C273" s="9" t="s">
        <v>49</v>
      </c>
      <c r="D273" s="9">
        <v>31.0</v>
      </c>
      <c r="E273" s="9" t="s">
        <v>35</v>
      </c>
      <c r="F273" s="9" t="s">
        <v>36</v>
      </c>
      <c r="G273" s="8" t="s">
        <v>50</v>
      </c>
      <c r="H273" s="9" t="s">
        <v>106</v>
      </c>
      <c r="I273" s="9" t="s">
        <v>247</v>
      </c>
      <c r="J273" s="9" t="s">
        <v>1125</v>
      </c>
      <c r="K273" s="9" t="s">
        <v>1126</v>
      </c>
      <c r="L273" s="9" t="s">
        <v>40</v>
      </c>
      <c r="M273" s="9" t="s">
        <v>39</v>
      </c>
      <c r="N273" s="9" t="s">
        <v>40</v>
      </c>
      <c r="O273" s="9" t="s">
        <v>642</v>
      </c>
      <c r="Q273" s="9" t="s">
        <v>746</v>
      </c>
      <c r="R273" s="9" t="s">
        <v>42</v>
      </c>
      <c r="S273" s="10">
        <v>7000.0</v>
      </c>
      <c r="T273" s="11">
        <v>0.0</v>
      </c>
      <c r="U273" s="9">
        <v>0.0</v>
      </c>
      <c r="V273" s="9">
        <v>20.0</v>
      </c>
      <c r="W273" s="9" t="s">
        <v>1127</v>
      </c>
      <c r="X273" s="9" t="s">
        <v>1128</v>
      </c>
      <c r="Y273" s="9" t="s">
        <v>1129</v>
      </c>
      <c r="Z273" s="9" t="s">
        <v>59</v>
      </c>
      <c r="AA273" s="9" t="s">
        <v>60</v>
      </c>
      <c r="AB273" s="9" t="s">
        <v>611</v>
      </c>
      <c r="AD273" s="9">
        <v>10.0</v>
      </c>
      <c r="AE273" s="9">
        <v>3.0</v>
      </c>
      <c r="AF273" s="9">
        <v>3.0</v>
      </c>
      <c r="AG273" s="12">
        <v>2800.0</v>
      </c>
      <c r="AH273" s="13"/>
    </row>
    <row r="274">
      <c r="A274" s="7">
        <v>44409.93309475694</v>
      </c>
      <c r="B274" s="8">
        <f t="shared" si="1"/>
        <v>2021</v>
      </c>
      <c r="C274" s="9" t="s">
        <v>73</v>
      </c>
      <c r="D274" s="9">
        <v>29.0</v>
      </c>
      <c r="E274" s="9" t="s">
        <v>35</v>
      </c>
      <c r="F274" s="9" t="s">
        <v>36</v>
      </c>
      <c r="G274" s="8" t="s">
        <v>124</v>
      </c>
      <c r="H274" s="9" t="s">
        <v>606</v>
      </c>
      <c r="I274" s="9" t="s">
        <v>38</v>
      </c>
      <c r="J274" s="9" t="s">
        <v>742</v>
      </c>
      <c r="L274" s="9" t="s">
        <v>40</v>
      </c>
      <c r="M274" s="9" t="s">
        <v>40</v>
      </c>
      <c r="N274" s="9" t="s">
        <v>40</v>
      </c>
      <c r="Q274" s="9" t="s">
        <v>746</v>
      </c>
      <c r="R274" s="9" t="s">
        <v>42</v>
      </c>
      <c r="S274" s="10">
        <v>10000.0</v>
      </c>
      <c r="T274" s="11" t="s">
        <v>37</v>
      </c>
      <c r="U274" s="9" t="s">
        <v>1130</v>
      </c>
      <c r="V274" s="9">
        <v>20.0</v>
      </c>
      <c r="W274" s="9" t="s">
        <v>1131</v>
      </c>
      <c r="X274" s="9" t="s">
        <v>1132</v>
      </c>
      <c r="Y274" s="9" t="s">
        <v>349</v>
      </c>
      <c r="Z274" s="9" t="s">
        <v>59</v>
      </c>
      <c r="AA274" s="9" t="s">
        <v>60</v>
      </c>
      <c r="AB274" s="9" t="s">
        <v>133</v>
      </c>
      <c r="AD274" s="9">
        <v>6.0</v>
      </c>
      <c r="AE274" s="9">
        <v>4.0</v>
      </c>
      <c r="AF274" s="9">
        <v>5.0</v>
      </c>
      <c r="AG274" s="12">
        <v>2800.0</v>
      </c>
      <c r="AH274" s="13"/>
    </row>
    <row r="275">
      <c r="A275" s="7">
        <v>44491.927589328705</v>
      </c>
      <c r="B275" s="8">
        <f t="shared" si="1"/>
        <v>2021</v>
      </c>
      <c r="C275" s="9" t="s">
        <v>49</v>
      </c>
      <c r="D275" s="9">
        <v>26.0</v>
      </c>
      <c r="E275" s="9" t="s">
        <v>35</v>
      </c>
      <c r="F275" s="9" t="s">
        <v>36</v>
      </c>
      <c r="G275" s="8" t="s">
        <v>50</v>
      </c>
      <c r="H275" s="9" t="s">
        <v>156</v>
      </c>
      <c r="I275" s="9" t="s">
        <v>38</v>
      </c>
      <c r="J275" s="9" t="s">
        <v>75</v>
      </c>
      <c r="K275" s="8" t="s">
        <v>476</v>
      </c>
      <c r="L275" s="9" t="s">
        <v>39</v>
      </c>
      <c r="M275" s="9" t="s">
        <v>40</v>
      </c>
      <c r="N275" s="9" t="s">
        <v>40</v>
      </c>
      <c r="Q275" s="9" t="s">
        <v>281</v>
      </c>
      <c r="R275" s="9" t="s">
        <v>42</v>
      </c>
      <c r="S275" s="10">
        <v>5250.0</v>
      </c>
      <c r="T275" s="11">
        <v>25000.0</v>
      </c>
      <c r="V275" s="9">
        <v>24.0</v>
      </c>
      <c r="W275" s="9" t="s">
        <v>1133</v>
      </c>
      <c r="X275" s="9" t="s">
        <v>1134</v>
      </c>
      <c r="Y275" s="9" t="s">
        <v>58</v>
      </c>
      <c r="Z275" s="9" t="s">
        <v>59</v>
      </c>
      <c r="AA275" s="9" t="s">
        <v>90</v>
      </c>
      <c r="AB275" s="9" t="s">
        <v>91</v>
      </c>
      <c r="AD275" s="9">
        <v>9.0</v>
      </c>
      <c r="AE275" s="9">
        <v>3.0</v>
      </c>
      <c r="AF275" s="9">
        <v>3.0</v>
      </c>
      <c r="AG275" s="12">
        <v>2800.0</v>
      </c>
      <c r="AH275" s="13"/>
    </row>
    <row r="276">
      <c r="A276" s="7">
        <v>44408.75890247685</v>
      </c>
      <c r="B276" s="8">
        <f t="shared" si="1"/>
        <v>2021</v>
      </c>
      <c r="C276" s="9" t="s">
        <v>49</v>
      </c>
      <c r="D276" s="9">
        <v>23.0</v>
      </c>
      <c r="E276" s="9" t="s">
        <v>35</v>
      </c>
      <c r="F276" s="9" t="s">
        <v>36</v>
      </c>
      <c r="G276" s="9" t="s">
        <v>124</v>
      </c>
      <c r="H276" s="9" t="s">
        <v>601</v>
      </c>
      <c r="I276" s="9" t="s">
        <v>38</v>
      </c>
      <c r="J276" s="9" t="s">
        <v>160</v>
      </c>
      <c r="K276" s="9" t="s">
        <v>161</v>
      </c>
      <c r="L276" s="9" t="s">
        <v>39</v>
      </c>
      <c r="M276" s="9" t="s">
        <v>40</v>
      </c>
      <c r="N276" s="9" t="s">
        <v>40</v>
      </c>
      <c r="Q276" s="9" t="s">
        <v>128</v>
      </c>
      <c r="R276" s="9" t="s">
        <v>42</v>
      </c>
      <c r="S276" s="10">
        <v>2800.0</v>
      </c>
      <c r="T276" s="11">
        <v>0.0</v>
      </c>
      <c r="U276" s="9">
        <v>0.0</v>
      </c>
      <c r="V276" s="9">
        <v>0.0</v>
      </c>
      <c r="W276" s="9" t="s">
        <v>1135</v>
      </c>
      <c r="X276" s="9" t="s">
        <v>1136</v>
      </c>
      <c r="Y276" s="9" t="s">
        <v>1137</v>
      </c>
      <c r="Z276" s="9" t="s">
        <v>59</v>
      </c>
      <c r="AA276" s="9" t="s">
        <v>81</v>
      </c>
      <c r="AB276" s="9" t="s">
        <v>61</v>
      </c>
      <c r="AD276" s="9">
        <v>9.0</v>
      </c>
      <c r="AE276" s="9">
        <v>0.0</v>
      </c>
      <c r="AF276" s="9">
        <v>2.0</v>
      </c>
      <c r="AG276" s="12">
        <v>2800.0</v>
      </c>
      <c r="AH276" s="13"/>
    </row>
    <row r="277">
      <c r="A277" s="14">
        <v>44403.88831927083</v>
      </c>
      <c r="B277" s="8">
        <f t="shared" si="1"/>
        <v>2021</v>
      </c>
      <c r="C277" s="8" t="s">
        <v>49</v>
      </c>
      <c r="D277" s="8">
        <v>26.0</v>
      </c>
      <c r="E277" s="8" t="s">
        <v>35</v>
      </c>
      <c r="F277" s="8" t="s">
        <v>36</v>
      </c>
      <c r="G277" s="8" t="s">
        <v>50</v>
      </c>
      <c r="H277" s="8" t="s">
        <v>51</v>
      </c>
      <c r="I277" s="8" t="s">
        <v>38</v>
      </c>
      <c r="J277" s="9" t="s">
        <v>160</v>
      </c>
      <c r="K277" s="8" t="s">
        <v>1138</v>
      </c>
      <c r="L277" s="8" t="s">
        <v>39</v>
      </c>
      <c r="M277" s="8" t="s">
        <v>40</v>
      </c>
      <c r="N277" s="8" t="s">
        <v>40</v>
      </c>
      <c r="O277" s="15"/>
      <c r="P277" s="15"/>
      <c r="Q277" s="8" t="s">
        <v>128</v>
      </c>
      <c r="R277" s="9" t="s">
        <v>42</v>
      </c>
      <c r="S277" s="16">
        <v>4500.0</v>
      </c>
      <c r="T277" s="17">
        <v>0.0</v>
      </c>
      <c r="U277" s="8">
        <v>0.0</v>
      </c>
      <c r="V277" s="8">
        <v>12.0</v>
      </c>
      <c r="W277" s="8" t="s">
        <v>157</v>
      </c>
      <c r="X277" s="8" t="s">
        <v>1139</v>
      </c>
      <c r="Y277" s="8" t="s">
        <v>886</v>
      </c>
      <c r="Z277" s="8" t="s">
        <v>80</v>
      </c>
      <c r="AA277" s="8" t="s">
        <v>47</v>
      </c>
      <c r="AB277" s="8" t="s">
        <v>61</v>
      </c>
      <c r="AC277" s="15"/>
      <c r="AD277" s="8">
        <v>6.0</v>
      </c>
      <c r="AE277" s="8">
        <v>2.0</v>
      </c>
      <c r="AF277" s="8">
        <v>0.0</v>
      </c>
      <c r="AG277" s="18">
        <v>2800.0</v>
      </c>
      <c r="AH277" s="13"/>
      <c r="AI277" s="15"/>
      <c r="AJ277" s="15"/>
      <c r="AK277" s="15"/>
      <c r="AL277" s="15"/>
      <c r="AM277" s="15"/>
      <c r="AN277" s="15"/>
    </row>
    <row r="278">
      <c r="A278" s="7">
        <v>44404.71036643519</v>
      </c>
      <c r="B278" s="8">
        <f t="shared" si="1"/>
        <v>2021</v>
      </c>
      <c r="C278" s="9" t="s">
        <v>73</v>
      </c>
      <c r="D278" s="9">
        <v>23.0</v>
      </c>
      <c r="E278" s="9" t="s">
        <v>35</v>
      </c>
      <c r="F278" s="9" t="s">
        <v>36</v>
      </c>
      <c r="G278" s="8" t="s">
        <v>50</v>
      </c>
      <c r="H278" s="9" t="s">
        <v>106</v>
      </c>
      <c r="I278" s="9" t="s">
        <v>93</v>
      </c>
      <c r="J278" s="9" t="s">
        <v>160</v>
      </c>
      <c r="K278" s="9" t="s">
        <v>1099</v>
      </c>
      <c r="L278" s="9" t="s">
        <v>39</v>
      </c>
      <c r="M278" s="9" t="s">
        <v>40</v>
      </c>
      <c r="N278" s="9" t="s">
        <v>39</v>
      </c>
      <c r="P278" s="9" t="s">
        <v>1140</v>
      </c>
      <c r="Q278" s="9" t="s">
        <v>54</v>
      </c>
      <c r="R278" s="9" t="s">
        <v>42</v>
      </c>
      <c r="S278" s="10">
        <v>3100.0</v>
      </c>
      <c r="T278" s="11">
        <v>0.0</v>
      </c>
      <c r="U278" s="9">
        <v>0.0</v>
      </c>
      <c r="V278" s="9">
        <v>14.0</v>
      </c>
      <c r="W278" s="9" t="s">
        <v>1141</v>
      </c>
      <c r="X278" s="9" t="s">
        <v>1142</v>
      </c>
      <c r="Y278" s="9" t="s">
        <v>300</v>
      </c>
      <c r="Z278" s="9" t="s">
        <v>868</v>
      </c>
      <c r="AA278" s="9" t="s">
        <v>60</v>
      </c>
      <c r="AB278" s="9" t="s">
        <v>61</v>
      </c>
      <c r="AD278" s="9">
        <v>6.0</v>
      </c>
      <c r="AE278" s="9">
        <v>2.0</v>
      </c>
      <c r="AF278" s="9">
        <v>1.0</v>
      </c>
      <c r="AG278" s="12">
        <v>2800.0</v>
      </c>
      <c r="AH278" s="13"/>
    </row>
    <row r="279">
      <c r="A279" s="14">
        <v>44403.84300337963</v>
      </c>
      <c r="B279" s="8">
        <f t="shared" si="1"/>
        <v>2021</v>
      </c>
      <c r="C279" s="8" t="s">
        <v>49</v>
      </c>
      <c r="D279" s="8">
        <v>24.0</v>
      </c>
      <c r="E279" s="8" t="s">
        <v>35</v>
      </c>
      <c r="F279" s="8" t="s">
        <v>36</v>
      </c>
      <c r="G279" s="8" t="s">
        <v>50</v>
      </c>
      <c r="H279" s="8" t="s">
        <v>51</v>
      </c>
      <c r="I279" s="8" t="s">
        <v>38</v>
      </c>
      <c r="J279" s="9" t="s">
        <v>670</v>
      </c>
      <c r="K279" s="9" t="s">
        <v>84</v>
      </c>
      <c r="L279" s="8" t="s">
        <v>39</v>
      </c>
      <c r="M279" s="8" t="s">
        <v>40</v>
      </c>
      <c r="N279" s="8" t="s">
        <v>39</v>
      </c>
      <c r="O279" s="15"/>
      <c r="P279" s="15"/>
      <c r="Q279" s="8" t="s">
        <v>1143</v>
      </c>
      <c r="R279" s="9" t="s">
        <v>42</v>
      </c>
      <c r="S279" s="16">
        <v>3200.0</v>
      </c>
      <c r="T279" s="17">
        <v>0.0</v>
      </c>
      <c r="U279" s="8">
        <v>0.0</v>
      </c>
      <c r="V279" s="8">
        <v>14.0</v>
      </c>
      <c r="W279" s="8" t="s">
        <v>1144</v>
      </c>
      <c r="X279" s="8" t="s">
        <v>1145</v>
      </c>
      <c r="Y279" s="8" t="s">
        <v>1146</v>
      </c>
      <c r="Z279" s="8" t="s">
        <v>70</v>
      </c>
      <c r="AA279" s="8" t="s">
        <v>71</v>
      </c>
      <c r="AB279" s="8" t="s">
        <v>61</v>
      </c>
      <c r="AC279" s="15"/>
      <c r="AD279" s="8">
        <v>6.0</v>
      </c>
      <c r="AE279" s="8">
        <v>1.0</v>
      </c>
      <c r="AF279" s="8">
        <v>1.0</v>
      </c>
      <c r="AG279" s="18">
        <v>2800.0</v>
      </c>
      <c r="AH279" s="13"/>
      <c r="AI279" s="15"/>
      <c r="AJ279" s="15"/>
      <c r="AK279" s="15"/>
      <c r="AL279" s="15"/>
      <c r="AM279" s="15"/>
      <c r="AN279" s="15"/>
    </row>
    <row r="280">
      <c r="A280" s="14">
        <v>44403.84053134259</v>
      </c>
      <c r="B280" s="8">
        <f t="shared" si="1"/>
        <v>2021</v>
      </c>
      <c r="C280" s="8" t="s">
        <v>73</v>
      </c>
      <c r="D280" s="8">
        <v>30.0</v>
      </c>
      <c r="E280" s="8" t="s">
        <v>35</v>
      </c>
      <c r="F280" s="8" t="s">
        <v>36</v>
      </c>
      <c r="G280" s="8" t="s">
        <v>50</v>
      </c>
      <c r="H280" s="8" t="s">
        <v>117</v>
      </c>
      <c r="I280" s="8" t="s">
        <v>38</v>
      </c>
      <c r="J280" s="9" t="s">
        <v>75</v>
      </c>
      <c r="K280" s="9" t="s">
        <v>161</v>
      </c>
      <c r="L280" s="8" t="s">
        <v>39</v>
      </c>
      <c r="M280" s="8" t="s">
        <v>40</v>
      </c>
      <c r="N280" s="8" t="s">
        <v>40</v>
      </c>
      <c r="O280" s="15"/>
      <c r="P280" s="15"/>
      <c r="Q280" s="8" t="s">
        <v>281</v>
      </c>
      <c r="R280" s="9" t="s">
        <v>42</v>
      </c>
      <c r="S280" s="16">
        <v>3900.0</v>
      </c>
      <c r="T280" s="17">
        <v>0.0</v>
      </c>
      <c r="U280" s="8">
        <v>0.0</v>
      </c>
      <c r="V280" s="8">
        <v>14.0</v>
      </c>
      <c r="W280" s="8" t="s">
        <v>320</v>
      </c>
      <c r="X280" s="8" t="s">
        <v>1147</v>
      </c>
      <c r="Y280" s="8" t="s">
        <v>122</v>
      </c>
      <c r="Z280" s="8" t="s">
        <v>70</v>
      </c>
      <c r="AA280" s="8" t="s">
        <v>71</v>
      </c>
      <c r="AB280" s="8" t="s">
        <v>61</v>
      </c>
      <c r="AC280" s="15"/>
      <c r="AD280" s="8">
        <v>5.0</v>
      </c>
      <c r="AE280" s="8">
        <v>5.0</v>
      </c>
      <c r="AF280" s="8">
        <v>1.0</v>
      </c>
      <c r="AG280" s="18">
        <v>2800.0</v>
      </c>
      <c r="AH280" s="13"/>
      <c r="AI280" s="15"/>
      <c r="AJ280" s="15"/>
      <c r="AK280" s="15"/>
      <c r="AL280" s="15"/>
      <c r="AM280" s="15"/>
      <c r="AN280" s="15"/>
    </row>
    <row r="281">
      <c r="A281" s="7">
        <v>44404.19057460648</v>
      </c>
      <c r="B281" s="8">
        <f t="shared" si="1"/>
        <v>2021</v>
      </c>
      <c r="C281" s="9" t="s">
        <v>49</v>
      </c>
      <c r="D281" s="9">
        <v>31.0</v>
      </c>
      <c r="E281" s="9" t="s">
        <v>35</v>
      </c>
      <c r="F281" s="9" t="s">
        <v>36</v>
      </c>
      <c r="G281" s="8" t="s">
        <v>124</v>
      </c>
      <c r="H281" s="9" t="s">
        <v>125</v>
      </c>
      <c r="I281" s="9" t="s">
        <v>38</v>
      </c>
      <c r="J281" s="9" t="s">
        <v>1148</v>
      </c>
      <c r="K281" s="9" t="s">
        <v>490</v>
      </c>
      <c r="L281" s="9" t="s">
        <v>40</v>
      </c>
      <c r="M281" s="9" t="s">
        <v>40</v>
      </c>
      <c r="N281" s="9" t="s">
        <v>40</v>
      </c>
      <c r="Q281" s="9" t="s">
        <v>308</v>
      </c>
      <c r="R281" s="9" t="s">
        <v>42</v>
      </c>
      <c r="S281" s="10">
        <v>7500.0</v>
      </c>
      <c r="T281" s="11">
        <v>0.0</v>
      </c>
      <c r="U281" s="9">
        <v>0.0</v>
      </c>
      <c r="V281" s="9">
        <v>14.0</v>
      </c>
      <c r="W281" s="9" t="s">
        <v>1149</v>
      </c>
      <c r="X281" s="9" t="s">
        <v>1150</v>
      </c>
      <c r="Y281" s="9" t="s">
        <v>58</v>
      </c>
      <c r="Z281" s="9" t="s">
        <v>70</v>
      </c>
      <c r="AA281" s="9" t="s">
        <v>71</v>
      </c>
      <c r="AB281" s="9" t="s">
        <v>61</v>
      </c>
      <c r="AD281" s="9">
        <v>7.0</v>
      </c>
      <c r="AE281" s="9">
        <v>6.0</v>
      </c>
      <c r="AF281" s="9">
        <v>4.0</v>
      </c>
      <c r="AG281" s="12">
        <v>2800.0</v>
      </c>
      <c r="AH281" s="13"/>
    </row>
    <row r="282">
      <c r="A282" s="14">
        <v>44403.83851295139</v>
      </c>
      <c r="B282" s="8">
        <f t="shared" si="1"/>
        <v>2021</v>
      </c>
      <c r="C282" s="8" t="s">
        <v>49</v>
      </c>
      <c r="D282" s="8">
        <v>31.0</v>
      </c>
      <c r="E282" s="8" t="s">
        <v>35</v>
      </c>
      <c r="F282" s="8" t="s">
        <v>36</v>
      </c>
      <c r="G282" s="8" t="s">
        <v>124</v>
      </c>
      <c r="H282" s="8" t="s">
        <v>206</v>
      </c>
      <c r="I282" s="8" t="s">
        <v>38</v>
      </c>
      <c r="J282" s="9" t="s">
        <v>75</v>
      </c>
      <c r="K282" s="9" t="s">
        <v>381</v>
      </c>
      <c r="L282" s="8" t="s">
        <v>39</v>
      </c>
      <c r="M282" s="8" t="s">
        <v>40</v>
      </c>
      <c r="N282" s="8" t="s">
        <v>40</v>
      </c>
      <c r="O282" s="15"/>
      <c r="P282" s="15"/>
      <c r="Q282" s="8" t="s">
        <v>589</v>
      </c>
      <c r="R282" s="9" t="s">
        <v>42</v>
      </c>
      <c r="S282" s="16">
        <v>9500.0</v>
      </c>
      <c r="T282" s="17">
        <v>9500.0</v>
      </c>
      <c r="U282" s="8">
        <v>0.0</v>
      </c>
      <c r="V282" s="8">
        <v>14.0</v>
      </c>
      <c r="W282" s="8" t="s">
        <v>1151</v>
      </c>
      <c r="X282" s="8" t="s">
        <v>1152</v>
      </c>
      <c r="Y282" s="8" t="s">
        <v>349</v>
      </c>
      <c r="Z282" s="8" t="s">
        <v>347</v>
      </c>
      <c r="AA282" s="8" t="s">
        <v>71</v>
      </c>
      <c r="AB282" s="8" t="s">
        <v>48</v>
      </c>
      <c r="AC282" s="15"/>
      <c r="AD282" s="8">
        <v>9.0</v>
      </c>
      <c r="AE282" s="8">
        <v>7.0</v>
      </c>
      <c r="AF282" s="8">
        <v>3.0</v>
      </c>
      <c r="AG282" s="18">
        <v>2800.0</v>
      </c>
      <c r="AH282" s="13"/>
      <c r="AI282" s="15"/>
      <c r="AJ282" s="15"/>
      <c r="AK282" s="15"/>
      <c r="AL282" s="15"/>
      <c r="AM282" s="15"/>
      <c r="AN282" s="15"/>
    </row>
    <row r="283">
      <c r="A283" s="7">
        <v>44404.483933599535</v>
      </c>
      <c r="B283" s="8">
        <f t="shared" si="1"/>
        <v>2021</v>
      </c>
      <c r="C283" s="9" t="s">
        <v>49</v>
      </c>
      <c r="D283" s="9">
        <v>25.0</v>
      </c>
      <c r="E283" s="9" t="s">
        <v>35</v>
      </c>
      <c r="F283" s="9" t="s">
        <v>36</v>
      </c>
      <c r="G283" s="8" t="s">
        <v>124</v>
      </c>
      <c r="H283" s="9" t="s">
        <v>156</v>
      </c>
      <c r="I283" s="9" t="s">
        <v>38</v>
      </c>
      <c r="J283" s="9" t="s">
        <v>160</v>
      </c>
      <c r="K283" s="9" t="s">
        <v>84</v>
      </c>
      <c r="L283" s="9" t="s">
        <v>39</v>
      </c>
      <c r="M283" s="9" t="s">
        <v>40</v>
      </c>
      <c r="N283" s="9" t="s">
        <v>40</v>
      </c>
      <c r="Q283" s="9" t="s">
        <v>272</v>
      </c>
      <c r="R283" s="9" t="s">
        <v>42</v>
      </c>
      <c r="S283" s="10">
        <v>3800.0</v>
      </c>
      <c r="T283" s="11">
        <v>500.0</v>
      </c>
      <c r="V283" s="9">
        <v>14.0</v>
      </c>
      <c r="W283" s="9" t="s">
        <v>1153</v>
      </c>
      <c r="X283" s="9" t="s">
        <v>1154</v>
      </c>
      <c r="Y283" s="9" t="s">
        <v>124</v>
      </c>
      <c r="Z283" s="9" t="s">
        <v>159</v>
      </c>
      <c r="AA283" s="9" t="s">
        <v>47</v>
      </c>
      <c r="AB283" s="9" t="s">
        <v>61</v>
      </c>
      <c r="AD283" s="9">
        <v>6.0</v>
      </c>
      <c r="AE283" s="9">
        <v>2.0</v>
      </c>
      <c r="AF283" s="9">
        <v>0.0</v>
      </c>
      <c r="AG283" s="12">
        <v>2800.0</v>
      </c>
      <c r="AH283" s="13"/>
    </row>
    <row r="284">
      <c r="A284" s="7">
        <v>44404.76034707176</v>
      </c>
      <c r="B284" s="8">
        <f t="shared" si="1"/>
        <v>2021</v>
      </c>
      <c r="C284" s="9" t="s">
        <v>49</v>
      </c>
      <c r="D284" s="9">
        <v>30.0</v>
      </c>
      <c r="E284" s="9" t="s">
        <v>35</v>
      </c>
      <c r="F284" s="9" t="s">
        <v>246</v>
      </c>
      <c r="G284" s="8" t="s">
        <v>246</v>
      </c>
      <c r="H284" s="9" t="s">
        <v>246</v>
      </c>
      <c r="I284" s="9" t="s">
        <v>38</v>
      </c>
      <c r="J284" s="9" t="s">
        <v>75</v>
      </c>
      <c r="K284" s="9" t="s">
        <v>84</v>
      </c>
      <c r="L284" s="9" t="s">
        <v>39</v>
      </c>
      <c r="M284" s="9" t="s">
        <v>40</v>
      </c>
      <c r="N284" s="9" t="s">
        <v>40</v>
      </c>
      <c r="Q284" s="9" t="s">
        <v>146</v>
      </c>
      <c r="R284" s="9" t="s">
        <v>250</v>
      </c>
      <c r="S284" s="10">
        <v>6600.0</v>
      </c>
      <c r="T284" s="11">
        <v>0.0</v>
      </c>
      <c r="U284" s="9">
        <v>0.0</v>
      </c>
      <c r="V284" s="9">
        <v>15.0</v>
      </c>
      <c r="W284" s="9" t="s">
        <v>1155</v>
      </c>
      <c r="X284" s="9" t="s">
        <v>321</v>
      </c>
      <c r="Y284" s="9" t="s">
        <v>246</v>
      </c>
      <c r="Z284" s="9" t="s">
        <v>89</v>
      </c>
      <c r="AA284" s="9" t="s">
        <v>90</v>
      </c>
      <c r="AB284" s="9" t="s">
        <v>61</v>
      </c>
      <c r="AD284" s="9">
        <v>5.0</v>
      </c>
      <c r="AE284" s="9">
        <v>7.0</v>
      </c>
      <c r="AF284" s="9">
        <v>3.0</v>
      </c>
      <c r="AG284" s="12">
        <v>2800.0</v>
      </c>
      <c r="AH284" s="13"/>
    </row>
    <row r="285">
      <c r="A285" s="14">
        <v>44403.84344736111</v>
      </c>
      <c r="B285" s="8">
        <f t="shared" si="1"/>
        <v>2021</v>
      </c>
      <c r="C285" s="8" t="s">
        <v>49</v>
      </c>
      <c r="D285" s="8">
        <v>26.0</v>
      </c>
      <c r="E285" s="8" t="s">
        <v>35</v>
      </c>
      <c r="F285" s="8" t="s">
        <v>36</v>
      </c>
      <c r="G285" s="8" t="s">
        <v>50</v>
      </c>
      <c r="H285" s="8" t="s">
        <v>51</v>
      </c>
      <c r="I285" s="8" t="s">
        <v>38</v>
      </c>
      <c r="J285" s="9" t="s">
        <v>75</v>
      </c>
      <c r="K285" s="9" t="s">
        <v>166</v>
      </c>
      <c r="L285" s="8" t="s">
        <v>39</v>
      </c>
      <c r="M285" s="8" t="s">
        <v>40</v>
      </c>
      <c r="N285" s="8" t="s">
        <v>40</v>
      </c>
      <c r="O285" s="15"/>
      <c r="P285" s="15"/>
      <c r="Q285" s="8" t="s">
        <v>128</v>
      </c>
      <c r="R285" s="9" t="s">
        <v>42</v>
      </c>
      <c r="S285" s="16">
        <v>6650.0</v>
      </c>
      <c r="T285" s="17">
        <v>11000.0</v>
      </c>
      <c r="U285" s="8">
        <v>0.0</v>
      </c>
      <c r="V285" s="8">
        <v>15.0</v>
      </c>
      <c r="W285" s="8" t="s">
        <v>1156</v>
      </c>
      <c r="X285" s="8" t="s">
        <v>1157</v>
      </c>
      <c r="Y285" s="8" t="s">
        <v>1158</v>
      </c>
      <c r="Z285" s="8" t="s">
        <v>297</v>
      </c>
      <c r="AA285" s="8" t="s">
        <v>81</v>
      </c>
      <c r="AB285" s="8" t="s">
        <v>133</v>
      </c>
      <c r="AC285" s="15"/>
      <c r="AD285" s="8">
        <v>8.0</v>
      </c>
      <c r="AE285" s="8" t="s">
        <v>564</v>
      </c>
      <c r="AF285" s="8">
        <v>2.0</v>
      </c>
      <c r="AG285" s="18">
        <v>2800.0</v>
      </c>
      <c r="AH285" s="13"/>
      <c r="AI285" s="15"/>
      <c r="AJ285" s="15"/>
      <c r="AK285" s="15"/>
      <c r="AL285" s="15"/>
      <c r="AM285" s="15"/>
      <c r="AN285" s="15"/>
    </row>
    <row r="286">
      <c r="A286" s="14">
        <v>44403.87610173611</v>
      </c>
      <c r="B286" s="8">
        <f t="shared" si="1"/>
        <v>2021</v>
      </c>
      <c r="C286" s="8" t="s">
        <v>49</v>
      </c>
      <c r="D286" s="8">
        <v>31.0</v>
      </c>
      <c r="E286" s="8" t="s">
        <v>35</v>
      </c>
      <c r="F286" s="8" t="s">
        <v>36</v>
      </c>
      <c r="G286" s="8" t="s">
        <v>124</v>
      </c>
      <c r="H286" s="8" t="s">
        <v>298</v>
      </c>
      <c r="I286" s="8" t="s">
        <v>247</v>
      </c>
      <c r="J286" s="8" t="s">
        <v>1159</v>
      </c>
      <c r="K286" s="8" t="s">
        <v>981</v>
      </c>
      <c r="L286" s="8" t="s">
        <v>39</v>
      </c>
      <c r="M286" s="8" t="s">
        <v>40</v>
      </c>
      <c r="N286" s="8" t="s">
        <v>40</v>
      </c>
      <c r="O286" s="15"/>
      <c r="P286" s="8" t="s">
        <v>1160</v>
      </c>
      <c r="Q286" s="8" t="s">
        <v>119</v>
      </c>
      <c r="R286" s="9" t="s">
        <v>42</v>
      </c>
      <c r="S286" s="16">
        <v>7051.0</v>
      </c>
      <c r="T286" s="17">
        <v>14102.0</v>
      </c>
      <c r="U286" s="8">
        <v>0.0</v>
      </c>
      <c r="V286" s="8">
        <v>15.0</v>
      </c>
      <c r="W286" s="8" t="s">
        <v>1161</v>
      </c>
      <c r="X286" s="8" t="s">
        <v>1162</v>
      </c>
      <c r="Y286" s="8" t="s">
        <v>58</v>
      </c>
      <c r="Z286" s="8" t="s">
        <v>80</v>
      </c>
      <c r="AA286" s="8" t="s">
        <v>132</v>
      </c>
      <c r="AB286" s="8" t="s">
        <v>133</v>
      </c>
      <c r="AC286" s="15"/>
      <c r="AD286" s="8">
        <v>6.0</v>
      </c>
      <c r="AE286" s="8">
        <v>6.5</v>
      </c>
      <c r="AF286" s="8">
        <v>3.0</v>
      </c>
      <c r="AG286" s="18">
        <v>2800.0</v>
      </c>
      <c r="AH286" s="13"/>
      <c r="AI286" s="15"/>
      <c r="AJ286" s="15"/>
      <c r="AK286" s="15"/>
      <c r="AL286" s="15"/>
      <c r="AM286" s="15"/>
      <c r="AN286" s="15"/>
    </row>
    <row r="287">
      <c r="A287" s="7">
        <v>44403.95628258101</v>
      </c>
      <c r="B287" s="8">
        <f t="shared" si="1"/>
        <v>2021</v>
      </c>
      <c r="C287" s="9" t="s">
        <v>49</v>
      </c>
      <c r="D287" s="9">
        <v>27.0</v>
      </c>
      <c r="E287" s="9" t="s">
        <v>35</v>
      </c>
      <c r="F287" s="9" t="s">
        <v>36</v>
      </c>
      <c r="G287" s="8" t="s">
        <v>124</v>
      </c>
      <c r="H287" s="9" t="s">
        <v>296</v>
      </c>
      <c r="I287" s="9" t="s">
        <v>38</v>
      </c>
      <c r="J287" s="9" t="s">
        <v>160</v>
      </c>
      <c r="K287" s="9" t="s">
        <v>134</v>
      </c>
      <c r="L287" s="9" t="s">
        <v>39</v>
      </c>
      <c r="M287" s="9" t="s">
        <v>40</v>
      </c>
      <c r="N287" s="9" t="s">
        <v>40</v>
      </c>
      <c r="Q287" s="9" t="s">
        <v>128</v>
      </c>
      <c r="R287" s="9" t="s">
        <v>42</v>
      </c>
      <c r="S287" s="10">
        <v>3500.0</v>
      </c>
      <c r="T287" s="11">
        <v>0.0</v>
      </c>
      <c r="U287" s="9">
        <v>0.0</v>
      </c>
      <c r="V287" s="9">
        <v>16.0</v>
      </c>
      <c r="W287" s="9" t="s">
        <v>1163</v>
      </c>
      <c r="X287" s="9" t="s">
        <v>1164</v>
      </c>
      <c r="Y287" s="9" t="s">
        <v>122</v>
      </c>
      <c r="Z287" s="9" t="s">
        <v>481</v>
      </c>
      <c r="AA287" s="9" t="s">
        <v>60</v>
      </c>
      <c r="AB287" s="9" t="s">
        <v>61</v>
      </c>
      <c r="AD287" s="9">
        <v>7.0</v>
      </c>
      <c r="AE287" s="9">
        <v>3.0</v>
      </c>
      <c r="AF287" s="9">
        <v>2.0</v>
      </c>
      <c r="AG287" s="12">
        <v>2800.0</v>
      </c>
      <c r="AH287" s="13"/>
    </row>
    <row r="288">
      <c r="A288" s="14">
        <v>44403.867844340275</v>
      </c>
      <c r="B288" s="8">
        <f t="shared" si="1"/>
        <v>2021</v>
      </c>
      <c r="C288" s="8" t="s">
        <v>49</v>
      </c>
      <c r="D288" s="8">
        <v>30.0</v>
      </c>
      <c r="E288" s="8" t="s">
        <v>35</v>
      </c>
      <c r="F288" s="8" t="s">
        <v>36</v>
      </c>
      <c r="G288" s="8" t="s">
        <v>50</v>
      </c>
      <c r="H288" s="8" t="s">
        <v>493</v>
      </c>
      <c r="I288" s="8" t="s">
        <v>38</v>
      </c>
      <c r="J288" s="9" t="s">
        <v>160</v>
      </c>
      <c r="K288" s="15"/>
      <c r="L288" s="8" t="s">
        <v>39</v>
      </c>
      <c r="M288" s="8" t="s">
        <v>40</v>
      </c>
      <c r="N288" s="8" t="s">
        <v>40</v>
      </c>
      <c r="O288" s="15"/>
      <c r="P288" s="15"/>
      <c r="Q288" s="8" t="s">
        <v>119</v>
      </c>
      <c r="R288" s="9" t="s">
        <v>42</v>
      </c>
      <c r="S288" s="16">
        <v>16000.0</v>
      </c>
      <c r="T288" s="17">
        <v>28800.0</v>
      </c>
      <c r="U288" s="15"/>
      <c r="V288" s="8">
        <v>16.0</v>
      </c>
      <c r="W288" s="8" t="s">
        <v>1165</v>
      </c>
      <c r="X288" s="8" t="s">
        <v>1166</v>
      </c>
      <c r="Y288" s="8" t="s">
        <v>122</v>
      </c>
      <c r="Z288" s="8" t="s">
        <v>185</v>
      </c>
      <c r="AA288" s="8" t="s">
        <v>60</v>
      </c>
      <c r="AB288" s="8" t="s">
        <v>91</v>
      </c>
      <c r="AC288" s="15"/>
      <c r="AD288" s="8">
        <v>8.0</v>
      </c>
      <c r="AE288" s="8">
        <v>7.0</v>
      </c>
      <c r="AF288" s="8">
        <v>5.0</v>
      </c>
      <c r="AG288" s="18">
        <v>2800.0</v>
      </c>
      <c r="AH288" s="13"/>
      <c r="AI288" s="15"/>
      <c r="AJ288" s="15"/>
      <c r="AK288" s="15"/>
      <c r="AL288" s="15"/>
      <c r="AM288" s="15"/>
      <c r="AN288" s="15"/>
    </row>
    <row r="289">
      <c r="A289" s="7">
        <v>44403.92227429398</v>
      </c>
      <c r="B289" s="8">
        <f t="shared" si="1"/>
        <v>2021</v>
      </c>
      <c r="C289" s="9" t="s">
        <v>49</v>
      </c>
      <c r="D289" s="9">
        <v>30.0</v>
      </c>
      <c r="E289" s="9" t="s">
        <v>35</v>
      </c>
      <c r="F289" s="9" t="s">
        <v>36</v>
      </c>
      <c r="G289" s="8" t="s">
        <v>124</v>
      </c>
      <c r="H289" s="9" t="s">
        <v>460</v>
      </c>
      <c r="I289" s="9" t="s">
        <v>118</v>
      </c>
      <c r="L289" s="9" t="s">
        <v>40</v>
      </c>
      <c r="M289" s="9" t="s">
        <v>39</v>
      </c>
      <c r="N289" s="9" t="s">
        <v>40</v>
      </c>
      <c r="Q289" s="9" t="s">
        <v>128</v>
      </c>
      <c r="R289" s="9" t="s">
        <v>42</v>
      </c>
      <c r="S289" s="10">
        <v>6000.0</v>
      </c>
      <c r="T289" s="11" t="s">
        <v>37</v>
      </c>
      <c r="V289" s="9">
        <v>16.0</v>
      </c>
      <c r="W289" s="9" t="s">
        <v>1167</v>
      </c>
      <c r="X289" s="9" t="s">
        <v>712</v>
      </c>
      <c r="Y289" s="9" t="s">
        <v>124</v>
      </c>
      <c r="Z289" s="9" t="s">
        <v>89</v>
      </c>
      <c r="AA289" s="9" t="s">
        <v>81</v>
      </c>
      <c r="AB289" s="9" t="s">
        <v>61</v>
      </c>
      <c r="AD289" s="9">
        <v>10.0</v>
      </c>
      <c r="AE289" s="9">
        <v>1.0</v>
      </c>
      <c r="AF289" s="9">
        <v>3.0</v>
      </c>
      <c r="AG289" s="12">
        <v>2800.0</v>
      </c>
      <c r="AH289" s="13"/>
    </row>
    <row r="290">
      <c r="A290" s="7">
        <v>44404.79339938657</v>
      </c>
      <c r="B290" s="8">
        <f t="shared" si="1"/>
        <v>2021</v>
      </c>
      <c r="C290" s="9" t="s">
        <v>49</v>
      </c>
      <c r="D290" s="9">
        <v>27.0</v>
      </c>
      <c r="E290" s="9" t="s">
        <v>35</v>
      </c>
      <c r="F290" s="9" t="s">
        <v>36</v>
      </c>
      <c r="G290" s="8" t="s">
        <v>124</v>
      </c>
      <c r="H290" s="9" t="s">
        <v>206</v>
      </c>
      <c r="I290" s="9" t="s">
        <v>38</v>
      </c>
      <c r="J290" s="9" t="s">
        <v>670</v>
      </c>
      <c r="K290" s="9" t="s">
        <v>84</v>
      </c>
      <c r="L290" s="9" t="s">
        <v>39</v>
      </c>
      <c r="M290" s="9" t="s">
        <v>40</v>
      </c>
      <c r="N290" s="9" t="s">
        <v>39</v>
      </c>
      <c r="P290" s="9" t="s">
        <v>1168</v>
      </c>
      <c r="Q290" s="9" t="s">
        <v>146</v>
      </c>
      <c r="R290" s="9" t="s">
        <v>42</v>
      </c>
      <c r="S290" s="10">
        <v>5500.0</v>
      </c>
      <c r="T290" s="11">
        <v>0.0</v>
      </c>
      <c r="U290" s="9">
        <v>0.0</v>
      </c>
      <c r="V290" s="9">
        <v>18.0</v>
      </c>
      <c r="W290" s="9" t="s">
        <v>1169</v>
      </c>
      <c r="X290" s="9" t="s">
        <v>1170</v>
      </c>
      <c r="Y290" s="9" t="s">
        <v>131</v>
      </c>
      <c r="Z290" s="9" t="s">
        <v>59</v>
      </c>
      <c r="AA290" s="9" t="s">
        <v>132</v>
      </c>
      <c r="AB290" s="9" t="s">
        <v>61</v>
      </c>
      <c r="AD290" s="9">
        <v>6.0</v>
      </c>
      <c r="AE290" s="9">
        <v>3.0</v>
      </c>
      <c r="AF290" s="9">
        <v>1.0</v>
      </c>
      <c r="AG290" s="12">
        <v>2800.0</v>
      </c>
      <c r="AH290" s="13"/>
    </row>
    <row r="291">
      <c r="A291" s="7">
        <v>44404.788877858795</v>
      </c>
      <c r="B291" s="8">
        <f t="shared" si="1"/>
        <v>2021</v>
      </c>
      <c r="C291" s="9" t="s">
        <v>49</v>
      </c>
      <c r="D291" s="9">
        <v>38.0</v>
      </c>
      <c r="E291" s="9" t="s">
        <v>35</v>
      </c>
      <c r="F291" s="9" t="s">
        <v>36</v>
      </c>
      <c r="G291" s="8" t="s">
        <v>124</v>
      </c>
      <c r="H291" s="9" t="s">
        <v>156</v>
      </c>
      <c r="I291" s="9" t="s">
        <v>38</v>
      </c>
      <c r="J291" s="9" t="s">
        <v>143</v>
      </c>
      <c r="K291" s="9" t="s">
        <v>502</v>
      </c>
      <c r="L291" s="9" t="s">
        <v>39</v>
      </c>
      <c r="M291" s="9" t="s">
        <v>40</v>
      </c>
      <c r="N291" s="9" t="s">
        <v>39</v>
      </c>
      <c r="P291" s="9" t="s">
        <v>1171</v>
      </c>
      <c r="Q291" s="9" t="s">
        <v>1172</v>
      </c>
      <c r="R291" s="9" t="s">
        <v>42</v>
      </c>
      <c r="S291" s="10">
        <v>16000.0</v>
      </c>
      <c r="T291" s="11">
        <v>0.0</v>
      </c>
      <c r="U291" s="9">
        <v>0.0</v>
      </c>
      <c r="V291" s="9">
        <v>18.0</v>
      </c>
      <c r="W291" s="9" t="s">
        <v>1173</v>
      </c>
      <c r="X291" s="9" t="s">
        <v>1174</v>
      </c>
      <c r="Y291" s="9" t="s">
        <v>58</v>
      </c>
      <c r="Z291" s="9" t="s">
        <v>116</v>
      </c>
      <c r="AA291" s="9" t="s">
        <v>60</v>
      </c>
      <c r="AB291" s="9" t="s">
        <v>61</v>
      </c>
      <c r="AD291" s="9">
        <v>7.0</v>
      </c>
      <c r="AE291" s="9">
        <v>14.0</v>
      </c>
      <c r="AF291" s="9">
        <v>7.0</v>
      </c>
      <c r="AG291" s="12">
        <v>2800.0</v>
      </c>
      <c r="AH291" s="13"/>
    </row>
    <row r="292">
      <c r="A292" s="7">
        <v>44404.81746908565</v>
      </c>
      <c r="B292" s="8">
        <f t="shared" si="1"/>
        <v>2021</v>
      </c>
      <c r="C292" s="9" t="s">
        <v>49</v>
      </c>
      <c r="D292" s="9">
        <v>29.0</v>
      </c>
      <c r="E292" s="9" t="s">
        <v>35</v>
      </c>
      <c r="F292" s="9" t="s">
        <v>36</v>
      </c>
      <c r="G292" s="8" t="s">
        <v>124</v>
      </c>
      <c r="H292" s="9" t="s">
        <v>156</v>
      </c>
      <c r="I292" s="9" t="s">
        <v>38</v>
      </c>
      <c r="J292" s="8" t="s">
        <v>75</v>
      </c>
      <c r="K292" s="9" t="s">
        <v>161</v>
      </c>
      <c r="L292" s="9" t="s">
        <v>39</v>
      </c>
      <c r="M292" s="9" t="s">
        <v>40</v>
      </c>
      <c r="N292" s="9" t="s">
        <v>40</v>
      </c>
      <c r="Q292" s="9" t="s">
        <v>308</v>
      </c>
      <c r="R292" s="9" t="s">
        <v>42</v>
      </c>
      <c r="S292" s="10">
        <v>10000.0</v>
      </c>
      <c r="T292" s="11">
        <v>10000.0</v>
      </c>
      <c r="U292" s="9">
        <v>0.0</v>
      </c>
      <c r="V292" s="9">
        <v>18.0</v>
      </c>
      <c r="W292" s="9" t="s">
        <v>1175</v>
      </c>
      <c r="X292" s="9" t="s">
        <v>1176</v>
      </c>
      <c r="Y292" s="9" t="s">
        <v>349</v>
      </c>
      <c r="Z292" s="9" t="s">
        <v>423</v>
      </c>
      <c r="AA292" s="9" t="s">
        <v>60</v>
      </c>
      <c r="AB292" s="9" t="s">
        <v>61</v>
      </c>
      <c r="AD292" s="9">
        <v>9.0</v>
      </c>
      <c r="AE292" s="9">
        <v>6.0</v>
      </c>
      <c r="AF292" s="9">
        <v>4.0</v>
      </c>
      <c r="AG292" s="12">
        <v>2800.0</v>
      </c>
      <c r="AH292" s="13"/>
    </row>
    <row r="293">
      <c r="A293" s="14">
        <v>44403.85927061342</v>
      </c>
      <c r="B293" s="8">
        <f t="shared" si="1"/>
        <v>2021</v>
      </c>
      <c r="C293" s="8" t="s">
        <v>49</v>
      </c>
      <c r="D293" s="8">
        <v>29.0</v>
      </c>
      <c r="E293" s="8" t="s">
        <v>35</v>
      </c>
      <c r="F293" s="8" t="s">
        <v>36</v>
      </c>
      <c r="G293" s="8" t="s">
        <v>124</v>
      </c>
      <c r="H293" s="8" t="s">
        <v>206</v>
      </c>
      <c r="I293" s="8" t="s">
        <v>38</v>
      </c>
      <c r="J293" s="8" t="s">
        <v>83</v>
      </c>
      <c r="K293" s="8" t="s">
        <v>327</v>
      </c>
      <c r="L293" s="8" t="s">
        <v>39</v>
      </c>
      <c r="M293" s="8" t="s">
        <v>39</v>
      </c>
      <c r="N293" s="8" t="s">
        <v>40</v>
      </c>
      <c r="O293" s="8" t="s">
        <v>1177</v>
      </c>
      <c r="P293" s="15"/>
      <c r="Q293" s="8" t="s">
        <v>1178</v>
      </c>
      <c r="R293" s="9" t="s">
        <v>42</v>
      </c>
      <c r="S293" s="16">
        <v>4000.0</v>
      </c>
      <c r="T293" s="17">
        <v>16000.0</v>
      </c>
      <c r="U293" s="8">
        <v>0.0</v>
      </c>
      <c r="V293" s="8">
        <v>18.0</v>
      </c>
      <c r="W293" s="8" t="s">
        <v>1179</v>
      </c>
      <c r="X293" s="8" t="s">
        <v>1180</v>
      </c>
      <c r="Y293" s="8" t="s">
        <v>82</v>
      </c>
      <c r="Z293" s="8" t="s">
        <v>80</v>
      </c>
      <c r="AA293" s="8" t="s">
        <v>81</v>
      </c>
      <c r="AB293" s="8" t="s">
        <v>61</v>
      </c>
      <c r="AC293" s="15"/>
      <c r="AD293" s="8">
        <v>7.0</v>
      </c>
      <c r="AE293" s="8">
        <v>5.0</v>
      </c>
      <c r="AF293" s="8" t="s">
        <v>72</v>
      </c>
      <c r="AG293" s="18">
        <v>2800.0</v>
      </c>
      <c r="AH293" s="13"/>
      <c r="AI293" s="15"/>
      <c r="AJ293" s="15"/>
      <c r="AK293" s="15"/>
      <c r="AL293" s="15"/>
      <c r="AM293" s="15"/>
      <c r="AN293" s="15"/>
    </row>
    <row r="294">
      <c r="A294" s="7">
        <v>44404.090124849536</v>
      </c>
      <c r="B294" s="8">
        <f t="shared" si="1"/>
        <v>2021</v>
      </c>
      <c r="C294" s="9" t="s">
        <v>49</v>
      </c>
      <c r="D294" s="9">
        <v>32.0</v>
      </c>
      <c r="E294" s="9" t="s">
        <v>35</v>
      </c>
      <c r="F294" s="9" t="s">
        <v>36</v>
      </c>
      <c r="G294" s="8" t="s">
        <v>50</v>
      </c>
      <c r="H294" s="9" t="s">
        <v>106</v>
      </c>
      <c r="I294" s="9" t="s">
        <v>302</v>
      </c>
      <c r="L294" s="9" t="s">
        <v>40</v>
      </c>
      <c r="M294" s="9" t="s">
        <v>39</v>
      </c>
      <c r="N294" s="9" t="s">
        <v>40</v>
      </c>
      <c r="O294" s="9" t="s">
        <v>1181</v>
      </c>
      <c r="Q294" s="9" t="s">
        <v>128</v>
      </c>
      <c r="R294" s="9" t="s">
        <v>42</v>
      </c>
      <c r="S294" s="10">
        <v>6500.0</v>
      </c>
      <c r="T294" s="11" t="s">
        <v>37</v>
      </c>
      <c r="U294" s="9">
        <v>8000.0</v>
      </c>
      <c r="V294" s="9">
        <v>18.0</v>
      </c>
      <c r="W294" s="9" t="s">
        <v>1182</v>
      </c>
      <c r="X294" s="9" t="s">
        <v>358</v>
      </c>
      <c r="Y294" s="9" t="s">
        <v>124</v>
      </c>
      <c r="Z294" s="9" t="s">
        <v>59</v>
      </c>
      <c r="AA294" s="9" t="s">
        <v>60</v>
      </c>
      <c r="AB294" s="9" t="s">
        <v>133</v>
      </c>
      <c r="AD294" s="9">
        <v>10.0</v>
      </c>
      <c r="AE294" s="9">
        <v>3.0</v>
      </c>
      <c r="AF294" s="9">
        <v>1.0</v>
      </c>
      <c r="AG294" s="12">
        <v>2800.0</v>
      </c>
      <c r="AH294" s="13"/>
    </row>
    <row r="295">
      <c r="A295" s="14">
        <v>44403.86380847222</v>
      </c>
      <c r="B295" s="8">
        <f t="shared" si="1"/>
        <v>2021</v>
      </c>
      <c r="C295" s="8" t="s">
        <v>73</v>
      </c>
      <c r="D295" s="8">
        <v>25.0</v>
      </c>
      <c r="E295" s="8" t="s">
        <v>35</v>
      </c>
      <c r="F295" s="8" t="s">
        <v>36</v>
      </c>
      <c r="G295" s="8" t="s">
        <v>50</v>
      </c>
      <c r="H295" s="8" t="s">
        <v>493</v>
      </c>
      <c r="I295" s="8" t="s">
        <v>38</v>
      </c>
      <c r="J295" s="8" t="s">
        <v>160</v>
      </c>
      <c r="K295" s="9" t="s">
        <v>414</v>
      </c>
      <c r="L295" s="8" t="s">
        <v>39</v>
      </c>
      <c r="M295" s="8" t="s">
        <v>40</v>
      </c>
      <c r="N295" s="8" t="s">
        <v>40</v>
      </c>
      <c r="O295" s="15"/>
      <c r="P295" s="15"/>
      <c r="Q295" s="8" t="s">
        <v>146</v>
      </c>
      <c r="R295" s="9" t="s">
        <v>42</v>
      </c>
      <c r="S295" s="16">
        <v>3000.0</v>
      </c>
      <c r="T295" s="17">
        <v>0.0</v>
      </c>
      <c r="U295" s="8">
        <v>0.0</v>
      </c>
      <c r="V295" s="8">
        <v>20.0</v>
      </c>
      <c r="W295" s="8" t="s">
        <v>1183</v>
      </c>
      <c r="X295" s="8" t="s">
        <v>1184</v>
      </c>
      <c r="Y295" s="8" t="s">
        <v>58</v>
      </c>
      <c r="Z295" s="8" t="s">
        <v>70</v>
      </c>
      <c r="AA295" s="8" t="s">
        <v>60</v>
      </c>
      <c r="AB295" s="8" t="s">
        <v>91</v>
      </c>
      <c r="AC295" s="15"/>
      <c r="AD295" s="8">
        <v>4.0</v>
      </c>
      <c r="AE295" s="8">
        <v>2.0</v>
      </c>
      <c r="AF295" s="8">
        <v>0.0</v>
      </c>
      <c r="AG295" s="18">
        <v>2800.0</v>
      </c>
      <c r="AH295" s="13"/>
      <c r="AI295" s="15"/>
      <c r="AJ295" s="15"/>
      <c r="AK295" s="15"/>
      <c r="AL295" s="15"/>
      <c r="AM295" s="15"/>
      <c r="AN295" s="15"/>
    </row>
    <row r="296">
      <c r="A296" s="7">
        <v>44403.99670517361</v>
      </c>
      <c r="B296" s="8">
        <f t="shared" si="1"/>
        <v>2021</v>
      </c>
      <c r="C296" s="9" t="s">
        <v>73</v>
      </c>
      <c r="D296" s="9">
        <v>28.0</v>
      </c>
      <c r="E296" s="9" t="s">
        <v>35</v>
      </c>
      <c r="F296" s="9" t="s">
        <v>36</v>
      </c>
      <c r="G296" s="8" t="s">
        <v>124</v>
      </c>
      <c r="H296" s="9" t="s">
        <v>156</v>
      </c>
      <c r="I296" s="9" t="s">
        <v>38</v>
      </c>
      <c r="J296" s="9" t="s">
        <v>1120</v>
      </c>
      <c r="K296" s="9" t="s">
        <v>166</v>
      </c>
      <c r="L296" s="9" t="s">
        <v>40</v>
      </c>
      <c r="M296" s="9" t="s">
        <v>39</v>
      </c>
      <c r="N296" s="9" t="s">
        <v>39</v>
      </c>
      <c r="O296" s="9" t="s">
        <v>717</v>
      </c>
      <c r="P296" s="9" t="s">
        <v>1185</v>
      </c>
      <c r="Q296" s="9" t="s">
        <v>796</v>
      </c>
      <c r="R296" s="9" t="s">
        <v>42</v>
      </c>
      <c r="S296" s="10">
        <v>6000.0</v>
      </c>
      <c r="T296" s="11">
        <v>0.0</v>
      </c>
      <c r="U296" s="9">
        <v>0.0</v>
      </c>
      <c r="V296" s="9">
        <v>20.0</v>
      </c>
      <c r="W296" s="9" t="s">
        <v>1186</v>
      </c>
      <c r="X296" s="9" t="s">
        <v>1187</v>
      </c>
      <c r="Y296" s="9" t="s">
        <v>1188</v>
      </c>
      <c r="Z296" s="9" t="s">
        <v>59</v>
      </c>
      <c r="AA296" s="9" t="s">
        <v>60</v>
      </c>
      <c r="AB296" s="9" t="s">
        <v>91</v>
      </c>
      <c r="AC296" s="9" t="s">
        <v>1189</v>
      </c>
      <c r="AD296" s="9">
        <v>9.0</v>
      </c>
      <c r="AE296" s="9">
        <v>4.0</v>
      </c>
      <c r="AF296" s="9">
        <v>3.0</v>
      </c>
      <c r="AG296" s="12">
        <v>2800.0</v>
      </c>
      <c r="AH296" s="13"/>
    </row>
    <row r="297">
      <c r="A297" s="14">
        <v>44403.86653616898</v>
      </c>
      <c r="B297" s="8">
        <f t="shared" si="1"/>
        <v>2021</v>
      </c>
      <c r="C297" s="8" t="s">
        <v>73</v>
      </c>
      <c r="D297" s="8">
        <v>31.0</v>
      </c>
      <c r="E297" s="8" t="s">
        <v>35</v>
      </c>
      <c r="F297" s="8" t="s">
        <v>36</v>
      </c>
      <c r="G297" s="8" t="s">
        <v>124</v>
      </c>
      <c r="H297" s="8" t="s">
        <v>601</v>
      </c>
      <c r="I297" s="8" t="s">
        <v>38</v>
      </c>
      <c r="J297" s="9" t="s">
        <v>75</v>
      </c>
      <c r="K297" s="9" t="s">
        <v>84</v>
      </c>
      <c r="L297" s="8" t="s">
        <v>39</v>
      </c>
      <c r="M297" s="8" t="s">
        <v>40</v>
      </c>
      <c r="N297" s="8" t="s">
        <v>40</v>
      </c>
      <c r="O297" s="15"/>
      <c r="P297" s="15"/>
      <c r="Q297" s="8" t="s">
        <v>308</v>
      </c>
      <c r="R297" s="9" t="s">
        <v>42</v>
      </c>
      <c r="S297" s="16">
        <v>7500.0</v>
      </c>
      <c r="T297" s="17">
        <v>3750.0</v>
      </c>
      <c r="U297" s="8">
        <v>0.0</v>
      </c>
      <c r="V297" s="8">
        <v>20.0</v>
      </c>
      <c r="W297" s="8" t="s">
        <v>1190</v>
      </c>
      <c r="X297" s="8" t="s">
        <v>1191</v>
      </c>
      <c r="Y297" s="8" t="s">
        <v>1192</v>
      </c>
      <c r="Z297" s="8" t="s">
        <v>1193</v>
      </c>
      <c r="AA297" s="8" t="s">
        <v>81</v>
      </c>
      <c r="AB297" s="8" t="s">
        <v>91</v>
      </c>
      <c r="AC297" s="15"/>
      <c r="AD297" s="8">
        <v>6.0</v>
      </c>
      <c r="AE297" s="8">
        <v>8.0</v>
      </c>
      <c r="AF297" s="8">
        <v>0.0</v>
      </c>
      <c r="AG297" s="18">
        <v>2800.0</v>
      </c>
      <c r="AH297" s="13"/>
      <c r="AI297" s="15"/>
      <c r="AJ297" s="15"/>
      <c r="AK297" s="15"/>
      <c r="AL297" s="15"/>
      <c r="AM297" s="15"/>
      <c r="AN297" s="15"/>
    </row>
    <row r="298">
      <c r="A298" s="7">
        <v>44403.90775576389</v>
      </c>
      <c r="B298" s="8">
        <f t="shared" si="1"/>
        <v>2021</v>
      </c>
      <c r="C298" s="9" t="s">
        <v>49</v>
      </c>
      <c r="D298" s="9">
        <v>31.0</v>
      </c>
      <c r="E298" s="9" t="s">
        <v>35</v>
      </c>
      <c r="F298" s="9" t="s">
        <v>36</v>
      </c>
      <c r="G298" s="8" t="s">
        <v>124</v>
      </c>
      <c r="H298" s="9" t="s">
        <v>156</v>
      </c>
      <c r="I298" s="9" t="s">
        <v>247</v>
      </c>
      <c r="J298" s="9" t="s">
        <v>342</v>
      </c>
      <c r="K298" s="9" t="s">
        <v>1194</v>
      </c>
      <c r="L298" s="9" t="s">
        <v>40</v>
      </c>
      <c r="M298" s="9" t="s">
        <v>40</v>
      </c>
      <c r="N298" s="9" t="s">
        <v>39</v>
      </c>
      <c r="P298" s="9" t="s">
        <v>1195</v>
      </c>
      <c r="Q298" s="9" t="s">
        <v>182</v>
      </c>
      <c r="R298" s="9" t="s">
        <v>42</v>
      </c>
      <c r="S298" s="10">
        <v>9500.0</v>
      </c>
      <c r="T298" s="11">
        <v>19000.0</v>
      </c>
      <c r="U298" s="9">
        <v>0.0</v>
      </c>
      <c r="V298" s="9">
        <v>20.0</v>
      </c>
      <c r="W298" s="9" t="s">
        <v>1196</v>
      </c>
      <c r="X298" s="9" t="s">
        <v>1197</v>
      </c>
      <c r="Y298" s="9" t="s">
        <v>122</v>
      </c>
      <c r="Z298" s="9" t="s">
        <v>89</v>
      </c>
      <c r="AA298" s="9" t="s">
        <v>90</v>
      </c>
      <c r="AB298" s="9" t="s">
        <v>61</v>
      </c>
      <c r="AD298" s="9">
        <v>3.0</v>
      </c>
      <c r="AE298" s="9">
        <v>6.0</v>
      </c>
      <c r="AF298" s="9">
        <v>3.0</v>
      </c>
      <c r="AG298" s="12">
        <v>2800.0</v>
      </c>
      <c r="AH298" s="13"/>
    </row>
    <row r="299">
      <c r="A299" s="14">
        <v>44403.86596564815</v>
      </c>
      <c r="B299" s="8">
        <f t="shared" si="1"/>
        <v>2021</v>
      </c>
      <c r="C299" s="8" t="s">
        <v>49</v>
      </c>
      <c r="D299" s="8">
        <v>22.0</v>
      </c>
      <c r="E299" s="8" t="s">
        <v>35</v>
      </c>
      <c r="F299" s="8" t="s">
        <v>36</v>
      </c>
      <c r="G299" s="8" t="s">
        <v>124</v>
      </c>
      <c r="H299" s="8" t="s">
        <v>606</v>
      </c>
      <c r="I299" s="8" t="s">
        <v>38</v>
      </c>
      <c r="J299" s="9" t="s">
        <v>75</v>
      </c>
      <c r="K299" s="8" t="s">
        <v>161</v>
      </c>
      <c r="L299" s="8" t="s">
        <v>39</v>
      </c>
      <c r="M299" s="8" t="s">
        <v>40</v>
      </c>
      <c r="N299" s="8" t="s">
        <v>40</v>
      </c>
      <c r="O299" s="15"/>
      <c r="P299" s="15"/>
      <c r="Q299" s="8" t="s">
        <v>1198</v>
      </c>
      <c r="R299" s="9" t="s">
        <v>42</v>
      </c>
      <c r="S299" s="16">
        <v>5400.0</v>
      </c>
      <c r="T299" s="17">
        <v>0.0</v>
      </c>
      <c r="U299" s="8">
        <v>0.0</v>
      </c>
      <c r="V299" s="8">
        <v>21.0</v>
      </c>
      <c r="W299" s="8" t="s">
        <v>1199</v>
      </c>
      <c r="X299" s="8" t="s">
        <v>1200</v>
      </c>
      <c r="Y299" s="8" t="s">
        <v>122</v>
      </c>
      <c r="Z299" s="8" t="s">
        <v>59</v>
      </c>
      <c r="AA299" s="8" t="s">
        <v>81</v>
      </c>
      <c r="AB299" s="8" t="s">
        <v>61</v>
      </c>
      <c r="AC299" s="8" t="s">
        <v>1201</v>
      </c>
      <c r="AD299" s="8">
        <v>9.0</v>
      </c>
      <c r="AE299" s="8">
        <v>0.0</v>
      </c>
      <c r="AF299" s="8">
        <v>1.0</v>
      </c>
      <c r="AG299" s="18">
        <v>2800.0</v>
      </c>
      <c r="AH299" s="13"/>
      <c r="AI299" s="15"/>
      <c r="AJ299" s="15"/>
      <c r="AK299" s="15"/>
      <c r="AL299" s="15"/>
      <c r="AM299" s="15"/>
      <c r="AN299" s="15"/>
    </row>
    <row r="300">
      <c r="A300" s="7">
        <v>44618.0299028125</v>
      </c>
      <c r="B300" s="8">
        <f t="shared" si="1"/>
        <v>2022</v>
      </c>
      <c r="C300" s="9" t="s">
        <v>49</v>
      </c>
      <c r="D300" s="9">
        <v>24.0</v>
      </c>
      <c r="E300" s="9" t="s">
        <v>35</v>
      </c>
      <c r="F300" s="9" t="s">
        <v>36</v>
      </c>
      <c r="G300" s="8" t="s">
        <v>124</v>
      </c>
      <c r="H300" s="9" t="s">
        <v>156</v>
      </c>
      <c r="I300" s="9" t="s">
        <v>38</v>
      </c>
      <c r="J300" s="9" t="s">
        <v>1202</v>
      </c>
      <c r="K300" s="9" t="s">
        <v>723</v>
      </c>
      <c r="L300" s="9" t="s">
        <v>40</v>
      </c>
      <c r="M300" s="9" t="s">
        <v>39</v>
      </c>
      <c r="N300" s="9" t="s">
        <v>40</v>
      </c>
      <c r="O300" s="9" t="s">
        <v>1203</v>
      </c>
      <c r="Q300" s="9" t="s">
        <v>128</v>
      </c>
      <c r="R300" s="9" t="s">
        <v>42</v>
      </c>
      <c r="S300" s="10">
        <v>3200.0</v>
      </c>
      <c r="T300" s="11">
        <v>0.0</v>
      </c>
      <c r="U300" s="9">
        <v>0.0</v>
      </c>
      <c r="V300" s="9">
        <v>14.0</v>
      </c>
      <c r="W300" s="9" t="s">
        <v>1204</v>
      </c>
      <c r="X300" s="9" t="s">
        <v>72</v>
      </c>
      <c r="Y300" s="9" t="s">
        <v>340</v>
      </c>
      <c r="Z300" s="9" t="s">
        <v>59</v>
      </c>
      <c r="AA300" s="9" t="s">
        <v>60</v>
      </c>
      <c r="AB300" s="9" t="s">
        <v>61</v>
      </c>
      <c r="AD300" s="9">
        <v>9.0</v>
      </c>
      <c r="AE300" s="9">
        <v>0.0</v>
      </c>
      <c r="AF300" s="9">
        <v>0.0</v>
      </c>
      <c r="AG300" s="12">
        <v>2900.0</v>
      </c>
      <c r="AH300" s="13"/>
    </row>
    <row r="301">
      <c r="A301" s="7">
        <v>44459.51914107639</v>
      </c>
      <c r="B301" s="8">
        <f t="shared" si="1"/>
        <v>2021</v>
      </c>
      <c r="C301" s="9" t="s">
        <v>49</v>
      </c>
      <c r="D301" s="9">
        <v>35.0</v>
      </c>
      <c r="E301" s="9" t="s">
        <v>35</v>
      </c>
      <c r="F301" s="9" t="s">
        <v>36</v>
      </c>
      <c r="G301" s="8" t="s">
        <v>50</v>
      </c>
      <c r="H301" s="9" t="s">
        <v>206</v>
      </c>
      <c r="I301" s="9" t="s">
        <v>38</v>
      </c>
      <c r="J301" s="9" t="s">
        <v>83</v>
      </c>
      <c r="K301" s="9" t="s">
        <v>166</v>
      </c>
      <c r="L301" s="9" t="s">
        <v>39</v>
      </c>
      <c r="M301" s="9" t="s">
        <v>39</v>
      </c>
      <c r="N301" s="9" t="s">
        <v>39</v>
      </c>
      <c r="O301" s="9" t="s">
        <v>1205</v>
      </c>
      <c r="P301" s="9" t="s">
        <v>1206</v>
      </c>
      <c r="Q301" s="9" t="s">
        <v>1207</v>
      </c>
      <c r="R301" s="9" t="s">
        <v>42</v>
      </c>
      <c r="S301" s="10">
        <v>10000.0</v>
      </c>
      <c r="T301" s="11">
        <v>0.0</v>
      </c>
      <c r="U301" s="9">
        <v>0.0</v>
      </c>
      <c r="V301" s="9">
        <v>14.0</v>
      </c>
      <c r="W301" s="9" t="s">
        <v>1208</v>
      </c>
      <c r="X301" s="9" t="s">
        <v>1209</v>
      </c>
      <c r="Y301" s="9" t="s">
        <v>131</v>
      </c>
      <c r="Z301" s="9" t="s">
        <v>350</v>
      </c>
      <c r="AA301" s="9" t="s">
        <v>132</v>
      </c>
      <c r="AB301" s="9" t="s">
        <v>61</v>
      </c>
      <c r="AC301" s="9" t="s">
        <v>113</v>
      </c>
      <c r="AD301" s="9">
        <v>6.0</v>
      </c>
      <c r="AE301" s="9">
        <v>10.0</v>
      </c>
      <c r="AF301" s="9">
        <v>4.0</v>
      </c>
      <c r="AG301" s="12">
        <v>2900.0</v>
      </c>
      <c r="AH301" s="13"/>
    </row>
    <row r="302">
      <c r="A302" s="14">
        <v>44403.84093961805</v>
      </c>
      <c r="B302" s="8">
        <f t="shared" si="1"/>
        <v>2021</v>
      </c>
      <c r="C302" s="8" t="s">
        <v>49</v>
      </c>
      <c r="D302" s="8">
        <v>29.0</v>
      </c>
      <c r="E302" s="8" t="s">
        <v>35</v>
      </c>
      <c r="F302" s="8" t="s">
        <v>36</v>
      </c>
      <c r="G302" s="8" t="s">
        <v>617</v>
      </c>
      <c r="H302" s="8" t="s">
        <v>1210</v>
      </c>
      <c r="I302" s="8" t="s">
        <v>247</v>
      </c>
      <c r="J302" s="9" t="s">
        <v>75</v>
      </c>
      <c r="K302" s="8" t="s">
        <v>1211</v>
      </c>
      <c r="L302" s="8" t="s">
        <v>39</v>
      </c>
      <c r="M302" s="8" t="s">
        <v>40</v>
      </c>
      <c r="N302" s="8" t="s">
        <v>40</v>
      </c>
      <c r="O302" s="15"/>
      <c r="P302" s="15"/>
      <c r="Q302" s="8" t="s">
        <v>1212</v>
      </c>
      <c r="R302" s="9" t="s">
        <v>42</v>
      </c>
      <c r="S302" s="16">
        <v>8000.0</v>
      </c>
      <c r="T302" s="17">
        <v>0.0</v>
      </c>
      <c r="U302" s="8">
        <v>0.0</v>
      </c>
      <c r="V302" s="8">
        <v>14.0</v>
      </c>
      <c r="W302" s="8" t="s">
        <v>1213</v>
      </c>
      <c r="X302" s="8" t="s">
        <v>1214</v>
      </c>
      <c r="Y302" s="8" t="s">
        <v>79</v>
      </c>
      <c r="Z302" s="8" t="s">
        <v>80</v>
      </c>
      <c r="AA302" s="8" t="s">
        <v>132</v>
      </c>
      <c r="AB302" s="8" t="s">
        <v>61</v>
      </c>
      <c r="AC302" s="15"/>
      <c r="AD302" s="8">
        <v>8.0</v>
      </c>
      <c r="AE302" s="8">
        <v>5.0</v>
      </c>
      <c r="AF302" s="8">
        <v>2.0</v>
      </c>
      <c r="AG302" s="18">
        <v>2900.0</v>
      </c>
      <c r="AH302" s="13"/>
      <c r="AI302" s="15"/>
      <c r="AJ302" s="15"/>
      <c r="AK302" s="15"/>
      <c r="AL302" s="15"/>
      <c r="AM302" s="15"/>
      <c r="AN302" s="15"/>
    </row>
    <row r="303">
      <c r="A303" s="14">
        <v>44403.842228043985</v>
      </c>
      <c r="B303" s="8">
        <f t="shared" si="1"/>
        <v>2021</v>
      </c>
      <c r="C303" s="8" t="s">
        <v>49</v>
      </c>
      <c r="D303" s="8">
        <v>28.0</v>
      </c>
      <c r="E303" s="8" t="s">
        <v>35</v>
      </c>
      <c r="F303" s="8" t="s">
        <v>36</v>
      </c>
      <c r="G303" s="8" t="s">
        <v>124</v>
      </c>
      <c r="H303" s="8" t="s">
        <v>206</v>
      </c>
      <c r="I303" s="8" t="s">
        <v>38</v>
      </c>
      <c r="J303" s="9" t="s">
        <v>742</v>
      </c>
      <c r="K303" s="9" t="s">
        <v>944</v>
      </c>
      <c r="L303" s="8" t="s">
        <v>40</v>
      </c>
      <c r="M303" s="8" t="s">
        <v>40</v>
      </c>
      <c r="N303" s="8" t="s">
        <v>40</v>
      </c>
      <c r="O303" s="15"/>
      <c r="P303" s="15"/>
      <c r="Q303" s="8" t="s">
        <v>281</v>
      </c>
      <c r="R303" s="9" t="s">
        <v>42</v>
      </c>
      <c r="S303" s="16">
        <v>3100.0</v>
      </c>
      <c r="T303" s="17">
        <v>3100.0</v>
      </c>
      <c r="U303" s="8">
        <v>0.0</v>
      </c>
      <c r="V303" s="8">
        <v>14.0</v>
      </c>
      <c r="W303" s="8" t="s">
        <v>1215</v>
      </c>
      <c r="X303" s="8" t="s">
        <v>1216</v>
      </c>
      <c r="Y303" s="8" t="s">
        <v>340</v>
      </c>
      <c r="Z303" s="8" t="s">
        <v>89</v>
      </c>
      <c r="AA303" s="8" t="s">
        <v>47</v>
      </c>
      <c r="AB303" s="8" t="s">
        <v>61</v>
      </c>
      <c r="AC303" s="15"/>
      <c r="AD303" s="8">
        <v>6.0</v>
      </c>
      <c r="AE303" s="8">
        <v>0.0</v>
      </c>
      <c r="AF303" s="8">
        <v>2.5</v>
      </c>
      <c r="AG303" s="18">
        <v>2900.0</v>
      </c>
      <c r="AH303" s="13"/>
      <c r="AI303" s="15"/>
      <c r="AJ303" s="15"/>
      <c r="AK303" s="15"/>
      <c r="AL303" s="15"/>
      <c r="AM303" s="15"/>
      <c r="AN303" s="15"/>
    </row>
    <row r="304">
      <c r="A304" s="7">
        <v>44403.973790902775</v>
      </c>
      <c r="B304" s="8">
        <f t="shared" si="1"/>
        <v>2021</v>
      </c>
      <c r="C304" s="9" t="s">
        <v>49</v>
      </c>
      <c r="D304" s="9">
        <v>27.0</v>
      </c>
      <c r="E304" s="9" t="s">
        <v>35</v>
      </c>
      <c r="F304" s="9" t="s">
        <v>36</v>
      </c>
      <c r="G304" s="8" t="s">
        <v>50</v>
      </c>
      <c r="H304" s="9" t="s">
        <v>812</v>
      </c>
      <c r="I304" s="9" t="s">
        <v>38</v>
      </c>
      <c r="J304" s="9" t="s">
        <v>160</v>
      </c>
      <c r="K304" s="9" t="s">
        <v>1217</v>
      </c>
      <c r="L304" s="9" t="s">
        <v>39</v>
      </c>
      <c r="M304" s="9" t="s">
        <v>40</v>
      </c>
      <c r="N304" s="9" t="s">
        <v>40</v>
      </c>
      <c r="Q304" s="9" t="s">
        <v>128</v>
      </c>
      <c r="R304" s="9" t="s">
        <v>42</v>
      </c>
      <c r="S304" s="10">
        <v>2900.0</v>
      </c>
      <c r="T304" s="11">
        <v>0.0</v>
      </c>
      <c r="U304" s="9">
        <v>600.0</v>
      </c>
      <c r="V304" s="9">
        <v>14.0</v>
      </c>
      <c r="W304" s="9" t="s">
        <v>1218</v>
      </c>
      <c r="X304" s="9" t="s">
        <v>1219</v>
      </c>
      <c r="Y304" s="9" t="s">
        <v>131</v>
      </c>
      <c r="Z304" s="9" t="s">
        <v>159</v>
      </c>
      <c r="AA304" s="9" t="s">
        <v>71</v>
      </c>
      <c r="AB304" s="9" t="s">
        <v>61</v>
      </c>
      <c r="AD304" s="9">
        <v>7.0</v>
      </c>
      <c r="AE304" s="9">
        <v>1.0</v>
      </c>
      <c r="AF304" s="9">
        <v>2.0</v>
      </c>
      <c r="AG304" s="12">
        <v>2900.0</v>
      </c>
      <c r="AH304" s="13"/>
    </row>
    <row r="305">
      <c r="A305" s="14">
        <v>44403.85285974537</v>
      </c>
      <c r="B305" s="8">
        <f t="shared" si="1"/>
        <v>2021</v>
      </c>
      <c r="C305" s="8" t="s">
        <v>49</v>
      </c>
      <c r="D305" s="8">
        <v>28.0</v>
      </c>
      <c r="E305" s="8" t="s">
        <v>72</v>
      </c>
      <c r="F305" s="8" t="s">
        <v>36</v>
      </c>
      <c r="G305" s="8" t="s">
        <v>124</v>
      </c>
      <c r="H305" s="8" t="s">
        <v>298</v>
      </c>
      <c r="I305" s="8" t="s">
        <v>247</v>
      </c>
      <c r="J305" s="9" t="s">
        <v>160</v>
      </c>
      <c r="K305" s="8" t="s">
        <v>332</v>
      </c>
      <c r="L305" s="8" t="s">
        <v>39</v>
      </c>
      <c r="M305" s="8" t="s">
        <v>40</v>
      </c>
      <c r="N305" s="8" t="s">
        <v>40</v>
      </c>
      <c r="O305" s="15"/>
      <c r="P305" s="15"/>
      <c r="Q305" s="8" t="s">
        <v>119</v>
      </c>
      <c r="R305" s="9" t="s">
        <v>42</v>
      </c>
      <c r="S305" s="16">
        <v>8500.0</v>
      </c>
      <c r="T305" s="17">
        <v>0.0</v>
      </c>
      <c r="U305" s="8">
        <v>0.0</v>
      </c>
      <c r="V305" s="8">
        <v>15.0</v>
      </c>
      <c r="W305" s="8" t="s">
        <v>1220</v>
      </c>
      <c r="X305" s="8" t="s">
        <v>1221</v>
      </c>
      <c r="Y305" s="8" t="s">
        <v>1222</v>
      </c>
      <c r="Z305" s="8" t="s">
        <v>1223</v>
      </c>
      <c r="AA305" s="8" t="s">
        <v>71</v>
      </c>
      <c r="AB305" s="8" t="s">
        <v>61</v>
      </c>
      <c r="AC305" s="15"/>
      <c r="AD305" s="8">
        <v>7.0</v>
      </c>
      <c r="AE305" s="8">
        <v>6.0</v>
      </c>
      <c r="AF305" s="8">
        <v>2.0</v>
      </c>
      <c r="AG305" s="18">
        <v>2900.0</v>
      </c>
      <c r="AH305" s="13"/>
      <c r="AI305" s="15"/>
      <c r="AJ305" s="15"/>
      <c r="AK305" s="15"/>
      <c r="AL305" s="15"/>
      <c r="AM305" s="15"/>
      <c r="AN305" s="15"/>
    </row>
    <row r="306">
      <c r="A306" s="7">
        <v>44407.80629462963</v>
      </c>
      <c r="B306" s="8">
        <f t="shared" si="1"/>
        <v>2021</v>
      </c>
      <c r="C306" s="9" t="s">
        <v>49</v>
      </c>
      <c r="D306" s="9">
        <v>24.0</v>
      </c>
      <c r="E306" s="9" t="s">
        <v>35</v>
      </c>
      <c r="F306" s="9" t="s">
        <v>36</v>
      </c>
      <c r="G306" s="8" t="s">
        <v>124</v>
      </c>
      <c r="H306" s="9" t="s">
        <v>156</v>
      </c>
      <c r="I306" s="9" t="s">
        <v>38</v>
      </c>
      <c r="J306" s="9" t="s">
        <v>207</v>
      </c>
      <c r="K306" s="9" t="s">
        <v>1224</v>
      </c>
      <c r="L306" s="9" t="s">
        <v>39</v>
      </c>
      <c r="M306" s="9" t="s">
        <v>40</v>
      </c>
      <c r="N306" s="9" t="s">
        <v>40</v>
      </c>
      <c r="Q306" s="9" t="s">
        <v>146</v>
      </c>
      <c r="R306" s="9" t="s">
        <v>42</v>
      </c>
      <c r="S306" s="10">
        <v>3030.0</v>
      </c>
      <c r="T306" s="11">
        <v>0.0</v>
      </c>
      <c r="U306" s="9">
        <v>0.0</v>
      </c>
      <c r="V306" s="9">
        <v>16.0</v>
      </c>
      <c r="W306" s="9" t="s">
        <v>1225</v>
      </c>
      <c r="X306" s="9" t="s">
        <v>1226</v>
      </c>
      <c r="Y306" s="9" t="s">
        <v>58</v>
      </c>
      <c r="Z306" s="9" t="s">
        <v>185</v>
      </c>
      <c r="AA306" s="9" t="s">
        <v>132</v>
      </c>
      <c r="AB306" s="9" t="s">
        <v>61</v>
      </c>
      <c r="AC306" s="9" t="s">
        <v>1227</v>
      </c>
      <c r="AD306" s="9">
        <v>3.0</v>
      </c>
      <c r="AE306" s="9">
        <v>2.0</v>
      </c>
      <c r="AF306" s="9">
        <v>0.0</v>
      </c>
      <c r="AG306" s="12">
        <v>2920.0</v>
      </c>
      <c r="AH306" s="13"/>
    </row>
    <row r="307">
      <c r="A307" s="7">
        <v>44619.03859768518</v>
      </c>
      <c r="B307" s="8">
        <f t="shared" si="1"/>
        <v>2022</v>
      </c>
      <c r="C307" s="9" t="s">
        <v>49</v>
      </c>
      <c r="D307" s="9">
        <v>38.0</v>
      </c>
      <c r="E307" s="9" t="s">
        <v>35</v>
      </c>
      <c r="F307" s="9" t="s">
        <v>36</v>
      </c>
      <c r="G307" s="8" t="s">
        <v>124</v>
      </c>
      <c r="H307" s="9" t="s">
        <v>460</v>
      </c>
      <c r="I307" s="9" t="s">
        <v>93</v>
      </c>
      <c r="J307" s="9" t="s">
        <v>108</v>
      </c>
      <c r="K307" s="9" t="s">
        <v>84</v>
      </c>
      <c r="L307" s="9" t="s">
        <v>40</v>
      </c>
      <c r="M307" s="9" t="s">
        <v>40</v>
      </c>
      <c r="N307" s="9" t="s">
        <v>40</v>
      </c>
      <c r="Q307" s="8" t="s">
        <v>255</v>
      </c>
      <c r="R307" s="9" t="s">
        <v>42</v>
      </c>
      <c r="S307" s="10">
        <v>3000.0</v>
      </c>
      <c r="T307" s="11">
        <v>0.0</v>
      </c>
      <c r="U307" s="9">
        <v>0.0</v>
      </c>
      <c r="V307" s="9">
        <v>0.0</v>
      </c>
      <c r="W307" s="9" t="s">
        <v>1228</v>
      </c>
      <c r="X307" s="9" t="s">
        <v>1229</v>
      </c>
      <c r="Y307" s="9" t="s">
        <v>50</v>
      </c>
      <c r="Z307" s="9" t="s">
        <v>347</v>
      </c>
      <c r="AA307" s="9" t="s">
        <v>47</v>
      </c>
      <c r="AB307" s="9" t="s">
        <v>48</v>
      </c>
      <c r="AD307" s="9">
        <v>4.0</v>
      </c>
      <c r="AE307" s="9">
        <v>3.0</v>
      </c>
      <c r="AF307" s="9" t="s">
        <v>1230</v>
      </c>
      <c r="AG307" s="12">
        <v>3000.0</v>
      </c>
      <c r="AH307" s="9" t="s">
        <v>42</v>
      </c>
    </row>
    <row r="308">
      <c r="A308" s="7">
        <v>44421.90924084491</v>
      </c>
      <c r="B308" s="8">
        <f t="shared" si="1"/>
        <v>2021</v>
      </c>
      <c r="C308" s="9" t="s">
        <v>49</v>
      </c>
      <c r="D308" s="9">
        <v>24.0</v>
      </c>
      <c r="E308" s="9" t="s">
        <v>35</v>
      </c>
      <c r="F308" s="9" t="s">
        <v>36</v>
      </c>
      <c r="G308" s="9" t="s">
        <v>186</v>
      </c>
      <c r="H308" s="9" t="s">
        <v>187</v>
      </c>
      <c r="I308" s="9" t="s">
        <v>38</v>
      </c>
      <c r="J308" s="9" t="s">
        <v>75</v>
      </c>
      <c r="K308" s="9" t="s">
        <v>381</v>
      </c>
      <c r="L308" s="9" t="s">
        <v>39</v>
      </c>
      <c r="M308" s="9" t="s">
        <v>40</v>
      </c>
      <c r="N308" s="9" t="s">
        <v>39</v>
      </c>
      <c r="P308" s="9" t="s">
        <v>1231</v>
      </c>
      <c r="Q308" s="9" t="s">
        <v>746</v>
      </c>
      <c r="R308" s="9" t="s">
        <v>42</v>
      </c>
      <c r="S308" s="10">
        <v>3000.0</v>
      </c>
      <c r="T308" s="11">
        <v>0.0</v>
      </c>
      <c r="U308" s="9">
        <v>0.0</v>
      </c>
      <c r="V308" s="9">
        <v>0.0</v>
      </c>
      <c r="W308" s="9" t="s">
        <v>1232</v>
      </c>
      <c r="X308" s="9" t="s">
        <v>1233</v>
      </c>
      <c r="Y308" s="9" t="s">
        <v>58</v>
      </c>
      <c r="Z308" s="9" t="s">
        <v>140</v>
      </c>
      <c r="AA308" s="9" t="s">
        <v>71</v>
      </c>
      <c r="AB308" s="9" t="s">
        <v>48</v>
      </c>
      <c r="AD308" s="9">
        <v>4.0</v>
      </c>
      <c r="AE308" s="9">
        <v>1.0</v>
      </c>
      <c r="AF308" s="9">
        <v>3.0</v>
      </c>
      <c r="AG308" s="12">
        <v>3000.0</v>
      </c>
      <c r="AH308" s="9" t="s">
        <v>42</v>
      </c>
    </row>
    <row r="309">
      <c r="A309" s="7">
        <v>44424.48822917824</v>
      </c>
      <c r="B309" s="8">
        <f t="shared" si="1"/>
        <v>2021</v>
      </c>
      <c r="C309" s="9" t="s">
        <v>49</v>
      </c>
      <c r="D309" s="9">
        <v>22.0</v>
      </c>
      <c r="E309" s="9" t="s">
        <v>35</v>
      </c>
      <c r="F309" s="9" t="s">
        <v>36</v>
      </c>
      <c r="G309" s="8" t="s">
        <v>63</v>
      </c>
      <c r="H309" s="9" t="s">
        <v>301</v>
      </c>
      <c r="I309" s="9" t="s">
        <v>93</v>
      </c>
      <c r="J309" s="9" t="s">
        <v>160</v>
      </c>
      <c r="K309" s="9" t="s">
        <v>1234</v>
      </c>
      <c r="L309" s="9" t="s">
        <v>39</v>
      </c>
      <c r="M309" s="9" t="s">
        <v>40</v>
      </c>
      <c r="N309" s="9" t="s">
        <v>40</v>
      </c>
      <c r="Q309" s="9" t="s">
        <v>128</v>
      </c>
      <c r="R309" s="9" t="s">
        <v>42</v>
      </c>
      <c r="S309" s="10">
        <v>3000.0</v>
      </c>
      <c r="T309" s="11">
        <v>0.0</v>
      </c>
      <c r="V309" s="9">
        <v>1.0</v>
      </c>
      <c r="W309" s="9" t="s">
        <v>1235</v>
      </c>
      <c r="X309" s="9" t="s">
        <v>1236</v>
      </c>
      <c r="Y309" s="9" t="s">
        <v>1237</v>
      </c>
      <c r="Z309" s="9" t="s">
        <v>1238</v>
      </c>
      <c r="AA309" s="9" t="s">
        <v>71</v>
      </c>
      <c r="AB309" s="9" t="s">
        <v>61</v>
      </c>
      <c r="AD309" s="9">
        <v>10.0</v>
      </c>
      <c r="AE309" s="9">
        <v>1.0</v>
      </c>
      <c r="AF309" s="9">
        <v>1.0</v>
      </c>
      <c r="AG309" s="12">
        <v>3000.0</v>
      </c>
      <c r="AH309" s="9" t="s">
        <v>42</v>
      </c>
    </row>
    <row r="310">
      <c r="A310" s="7">
        <v>44618.98900100694</v>
      </c>
      <c r="B310" s="8">
        <f t="shared" si="1"/>
        <v>2022</v>
      </c>
      <c r="C310" s="9" t="s">
        <v>49</v>
      </c>
      <c r="D310" s="9">
        <v>24.0</v>
      </c>
      <c r="E310" s="9" t="s">
        <v>35</v>
      </c>
      <c r="F310" s="9" t="s">
        <v>36</v>
      </c>
      <c r="G310" s="8" t="s">
        <v>50</v>
      </c>
      <c r="H310" s="8" t="s">
        <v>180</v>
      </c>
      <c r="I310" s="9" t="s">
        <v>38</v>
      </c>
      <c r="J310" s="9" t="s">
        <v>1239</v>
      </c>
      <c r="K310" s="9" t="s">
        <v>84</v>
      </c>
      <c r="L310" s="9" t="s">
        <v>39</v>
      </c>
      <c r="M310" s="9" t="s">
        <v>40</v>
      </c>
      <c r="N310" s="9" t="s">
        <v>40</v>
      </c>
      <c r="Q310" s="9" t="s">
        <v>146</v>
      </c>
      <c r="R310" s="9" t="s">
        <v>42</v>
      </c>
      <c r="S310" s="10">
        <v>3300.0</v>
      </c>
      <c r="T310" s="11">
        <v>1000.0</v>
      </c>
      <c r="U310" s="9">
        <v>0.0</v>
      </c>
      <c r="V310" s="9">
        <v>7.0</v>
      </c>
      <c r="W310" s="9" t="s">
        <v>223</v>
      </c>
      <c r="X310" s="9" t="s">
        <v>1240</v>
      </c>
      <c r="Y310" s="9" t="s">
        <v>180</v>
      </c>
      <c r="Z310" s="9" t="s">
        <v>89</v>
      </c>
      <c r="AA310" s="9" t="s">
        <v>71</v>
      </c>
      <c r="AB310" s="9" t="s">
        <v>61</v>
      </c>
      <c r="AD310" s="9">
        <v>7.0</v>
      </c>
      <c r="AE310" s="9">
        <v>2.0</v>
      </c>
      <c r="AF310" s="9">
        <v>1.0</v>
      </c>
      <c r="AG310" s="12">
        <v>3000.0</v>
      </c>
      <c r="AH310" s="9" t="s">
        <v>42</v>
      </c>
    </row>
    <row r="311">
      <c r="A311" s="7">
        <v>44442.30739829861</v>
      </c>
      <c r="B311" s="8">
        <f t="shared" si="1"/>
        <v>2021</v>
      </c>
      <c r="C311" s="9" t="s">
        <v>49</v>
      </c>
      <c r="D311" s="9">
        <v>30.0</v>
      </c>
      <c r="E311" s="9" t="s">
        <v>35</v>
      </c>
      <c r="F311" s="9" t="s">
        <v>36</v>
      </c>
      <c r="G311" s="8" t="s">
        <v>63</v>
      </c>
      <c r="H311" s="9" t="s">
        <v>1241</v>
      </c>
      <c r="I311" s="9" t="s">
        <v>38</v>
      </c>
      <c r="L311" s="9" t="s">
        <v>40</v>
      </c>
      <c r="M311" s="9" t="s">
        <v>39</v>
      </c>
      <c r="N311" s="9" t="s">
        <v>39</v>
      </c>
      <c r="O311" s="9" t="s">
        <v>1242</v>
      </c>
      <c r="P311" s="9" t="s">
        <v>1243</v>
      </c>
      <c r="Q311" s="9" t="s">
        <v>128</v>
      </c>
      <c r="R311" s="9" t="s">
        <v>42</v>
      </c>
      <c r="S311" s="10">
        <v>3000.0</v>
      </c>
      <c r="T311" s="11" t="s">
        <v>37</v>
      </c>
      <c r="V311" s="9">
        <v>8.0</v>
      </c>
      <c r="W311" s="9" t="s">
        <v>1244</v>
      </c>
      <c r="X311" s="9" t="s">
        <v>1245</v>
      </c>
      <c r="Y311" s="9" t="s">
        <v>88</v>
      </c>
      <c r="Z311" s="9" t="s">
        <v>70</v>
      </c>
      <c r="AA311" s="9" t="s">
        <v>71</v>
      </c>
      <c r="AB311" s="9" t="s">
        <v>91</v>
      </c>
      <c r="AD311" s="9">
        <v>6.0</v>
      </c>
      <c r="AE311" s="9">
        <v>1.0</v>
      </c>
      <c r="AF311" s="9">
        <v>2.0</v>
      </c>
      <c r="AG311" s="12">
        <v>3000.0</v>
      </c>
      <c r="AH311" s="9" t="s">
        <v>42</v>
      </c>
    </row>
    <row r="312">
      <c r="A312" s="7">
        <v>44549.78107232639</v>
      </c>
      <c r="B312" s="8">
        <f t="shared" si="1"/>
        <v>2021</v>
      </c>
      <c r="C312" s="9" t="s">
        <v>49</v>
      </c>
      <c r="D312" s="9">
        <v>27.0</v>
      </c>
      <c r="E312" s="9" t="s">
        <v>35</v>
      </c>
      <c r="F312" s="9" t="s">
        <v>36</v>
      </c>
      <c r="G312" s="8" t="s">
        <v>124</v>
      </c>
      <c r="H312" s="9" t="s">
        <v>296</v>
      </c>
      <c r="I312" s="9" t="s">
        <v>38</v>
      </c>
      <c r="J312" s="9" t="s">
        <v>65</v>
      </c>
      <c r="K312" s="9" t="s">
        <v>84</v>
      </c>
      <c r="L312" s="9" t="s">
        <v>39</v>
      </c>
      <c r="M312" s="9" t="s">
        <v>40</v>
      </c>
      <c r="N312" s="9" t="s">
        <v>40</v>
      </c>
      <c r="Q312" s="9" t="s">
        <v>146</v>
      </c>
      <c r="R312" s="9" t="s">
        <v>42</v>
      </c>
      <c r="S312" s="10">
        <v>5500.0</v>
      </c>
      <c r="T312" s="11" t="s">
        <v>37</v>
      </c>
      <c r="V312" s="9">
        <v>10.0</v>
      </c>
      <c r="W312" s="9" t="s">
        <v>463</v>
      </c>
      <c r="X312" s="9" t="s">
        <v>731</v>
      </c>
      <c r="Y312" s="9" t="s">
        <v>225</v>
      </c>
      <c r="Z312" s="9" t="s">
        <v>105</v>
      </c>
      <c r="AA312" s="9" t="s">
        <v>132</v>
      </c>
      <c r="AB312" s="9" t="s">
        <v>61</v>
      </c>
      <c r="AD312" s="9">
        <v>6.0</v>
      </c>
      <c r="AE312" s="9">
        <v>4.0</v>
      </c>
      <c r="AF312" s="9">
        <v>2.0</v>
      </c>
      <c r="AG312" s="12">
        <v>3000.0</v>
      </c>
      <c r="AH312" s="9" t="s">
        <v>42</v>
      </c>
    </row>
    <row r="313">
      <c r="A313" s="7">
        <v>44412.70004167824</v>
      </c>
      <c r="B313" s="8">
        <f t="shared" si="1"/>
        <v>2021</v>
      </c>
      <c r="C313" s="9" t="s">
        <v>73</v>
      </c>
      <c r="D313" s="9">
        <v>21.0</v>
      </c>
      <c r="E313" s="9" t="s">
        <v>35</v>
      </c>
      <c r="F313" s="9" t="s">
        <v>36</v>
      </c>
      <c r="G313" s="9" t="s">
        <v>124</v>
      </c>
      <c r="H313" s="9" t="s">
        <v>156</v>
      </c>
      <c r="I313" s="9" t="s">
        <v>93</v>
      </c>
      <c r="J313" s="9" t="s">
        <v>1246</v>
      </c>
      <c r="K313" s="9" t="s">
        <v>200</v>
      </c>
      <c r="L313" s="9" t="s">
        <v>40</v>
      </c>
      <c r="M313" s="9" t="s">
        <v>40</v>
      </c>
      <c r="N313" s="9" t="s">
        <v>40</v>
      </c>
      <c r="Q313" s="9" t="s">
        <v>548</v>
      </c>
      <c r="R313" s="9" t="s">
        <v>42</v>
      </c>
      <c r="S313" s="10">
        <v>3000.0</v>
      </c>
      <c r="T313" s="11" t="s">
        <v>37</v>
      </c>
      <c r="U313" s="9">
        <v>0.0</v>
      </c>
      <c r="V313" s="9">
        <v>11.0</v>
      </c>
      <c r="W313" s="9" t="s">
        <v>1247</v>
      </c>
      <c r="X313" s="9" t="s">
        <v>72</v>
      </c>
      <c r="Y313" s="9" t="s">
        <v>72</v>
      </c>
      <c r="Z313" s="9" t="s">
        <v>72</v>
      </c>
      <c r="AA313" s="9" t="s">
        <v>132</v>
      </c>
      <c r="AB313" s="9" t="s">
        <v>91</v>
      </c>
      <c r="AC313" s="9" t="s">
        <v>72</v>
      </c>
      <c r="AD313" s="9">
        <v>8.0</v>
      </c>
      <c r="AE313" s="9" t="s">
        <v>1248</v>
      </c>
      <c r="AF313" s="9">
        <v>0.0</v>
      </c>
      <c r="AG313" s="12">
        <v>3000.0</v>
      </c>
      <c r="AH313" s="9" t="s">
        <v>42</v>
      </c>
    </row>
    <row r="314">
      <c r="A314" s="7">
        <v>44502.829133113424</v>
      </c>
      <c r="B314" s="8">
        <f t="shared" si="1"/>
        <v>2021</v>
      </c>
      <c r="C314" s="9" t="s">
        <v>49</v>
      </c>
      <c r="D314" s="9">
        <v>23.0</v>
      </c>
      <c r="E314" s="9" t="s">
        <v>35</v>
      </c>
      <c r="F314" s="9" t="s">
        <v>36</v>
      </c>
      <c r="G314" s="8" t="s">
        <v>50</v>
      </c>
      <c r="H314" s="8" t="s">
        <v>180</v>
      </c>
      <c r="I314" s="9" t="s">
        <v>38</v>
      </c>
      <c r="J314" s="9" t="s">
        <v>160</v>
      </c>
      <c r="K314" s="9" t="s">
        <v>234</v>
      </c>
      <c r="L314" s="9" t="s">
        <v>39</v>
      </c>
      <c r="M314" s="9" t="s">
        <v>39</v>
      </c>
      <c r="N314" s="9" t="s">
        <v>40</v>
      </c>
      <c r="Q314" s="9" t="s">
        <v>548</v>
      </c>
      <c r="R314" s="9" t="s">
        <v>42</v>
      </c>
      <c r="S314" s="10">
        <v>3000.0</v>
      </c>
      <c r="T314" s="11">
        <v>0.0</v>
      </c>
      <c r="U314" s="9">
        <v>0.0</v>
      </c>
      <c r="V314" s="9">
        <v>12.0</v>
      </c>
      <c r="W314" s="9" t="s">
        <v>1249</v>
      </c>
      <c r="X314" s="9" t="s">
        <v>1250</v>
      </c>
      <c r="Y314" s="9" t="s">
        <v>122</v>
      </c>
      <c r="Z314" s="9" t="s">
        <v>185</v>
      </c>
      <c r="AA314" s="9" t="s">
        <v>132</v>
      </c>
      <c r="AB314" s="9" t="s">
        <v>91</v>
      </c>
      <c r="AD314" s="9">
        <v>7.0</v>
      </c>
      <c r="AE314" s="9">
        <v>0.0</v>
      </c>
      <c r="AF314" s="9">
        <v>0.0</v>
      </c>
      <c r="AG314" s="12">
        <v>3000.0</v>
      </c>
      <c r="AH314" s="9" t="s">
        <v>42</v>
      </c>
    </row>
    <row r="315">
      <c r="A315" s="7">
        <v>44409.783684062495</v>
      </c>
      <c r="B315" s="8">
        <f t="shared" si="1"/>
        <v>2021</v>
      </c>
      <c r="C315" s="9" t="s">
        <v>49</v>
      </c>
      <c r="D315" s="9">
        <v>26.0</v>
      </c>
      <c r="E315" s="9" t="s">
        <v>35</v>
      </c>
      <c r="F315" s="9" t="s">
        <v>36</v>
      </c>
      <c r="G315" s="8" t="s">
        <v>50</v>
      </c>
      <c r="H315" s="8" t="s">
        <v>493</v>
      </c>
      <c r="I315" s="9" t="s">
        <v>38</v>
      </c>
      <c r="J315" s="9" t="s">
        <v>75</v>
      </c>
      <c r="K315" s="9" t="s">
        <v>221</v>
      </c>
      <c r="L315" s="9" t="s">
        <v>39</v>
      </c>
      <c r="M315" s="9" t="s">
        <v>40</v>
      </c>
      <c r="N315" s="9" t="s">
        <v>39</v>
      </c>
      <c r="P315" s="9" t="s">
        <v>1251</v>
      </c>
      <c r="Q315" s="9" t="s">
        <v>1252</v>
      </c>
      <c r="R315" s="9" t="s">
        <v>42</v>
      </c>
      <c r="S315" s="10">
        <v>3000.0</v>
      </c>
      <c r="T315" s="11">
        <v>2900.0</v>
      </c>
      <c r="U315" s="9">
        <v>0.0</v>
      </c>
      <c r="V315" s="9">
        <v>12.0</v>
      </c>
      <c r="W315" s="9" t="s">
        <v>1253</v>
      </c>
      <c r="X315" s="9" t="s">
        <v>1254</v>
      </c>
      <c r="Y315" s="9" t="s">
        <v>492</v>
      </c>
      <c r="Z315" s="9" t="s">
        <v>155</v>
      </c>
      <c r="AA315" s="9" t="s">
        <v>60</v>
      </c>
      <c r="AB315" s="9" t="s">
        <v>61</v>
      </c>
      <c r="AD315" s="9">
        <v>6.0</v>
      </c>
      <c r="AE315" s="9" t="s">
        <v>1255</v>
      </c>
      <c r="AF315" s="9">
        <v>0.0</v>
      </c>
      <c r="AG315" s="12">
        <v>3000.0</v>
      </c>
      <c r="AH315" s="9" t="s">
        <v>42</v>
      </c>
    </row>
    <row r="316">
      <c r="A316" s="7">
        <v>44477.37675596065</v>
      </c>
      <c r="B316" s="8">
        <f t="shared" si="1"/>
        <v>2021</v>
      </c>
      <c r="C316" s="9" t="s">
        <v>49</v>
      </c>
      <c r="D316" s="9">
        <v>25.0</v>
      </c>
      <c r="E316" s="9" t="s">
        <v>35</v>
      </c>
      <c r="F316" s="9" t="s">
        <v>36</v>
      </c>
      <c r="G316" s="8" t="s">
        <v>74</v>
      </c>
      <c r="H316" s="9" t="s">
        <v>1256</v>
      </c>
      <c r="I316" s="9" t="s">
        <v>38</v>
      </c>
      <c r="J316" s="9" t="s">
        <v>160</v>
      </c>
      <c r="K316" s="9" t="s">
        <v>84</v>
      </c>
      <c r="L316" s="9" t="s">
        <v>39</v>
      </c>
      <c r="M316" s="9" t="s">
        <v>40</v>
      </c>
      <c r="N316" s="9" t="s">
        <v>40</v>
      </c>
      <c r="Q316" s="9" t="s">
        <v>128</v>
      </c>
      <c r="R316" s="9" t="s">
        <v>42</v>
      </c>
      <c r="S316" s="10">
        <v>4107.0</v>
      </c>
      <c r="T316" s="11">
        <v>4107.0</v>
      </c>
      <c r="U316" s="9">
        <v>0.0</v>
      </c>
      <c r="V316" s="9">
        <v>12.0</v>
      </c>
      <c r="W316" s="9" t="s">
        <v>1257</v>
      </c>
      <c r="X316" s="9" t="s">
        <v>1258</v>
      </c>
      <c r="Y316" s="9" t="s">
        <v>79</v>
      </c>
      <c r="Z316" s="9" t="s">
        <v>80</v>
      </c>
      <c r="AA316" s="9" t="s">
        <v>132</v>
      </c>
      <c r="AB316" s="9" t="s">
        <v>61</v>
      </c>
      <c r="AD316" s="9">
        <v>5.0</v>
      </c>
      <c r="AE316" s="9">
        <v>1.5</v>
      </c>
      <c r="AF316" s="9">
        <v>1.0</v>
      </c>
      <c r="AG316" s="12">
        <v>3000.0</v>
      </c>
      <c r="AH316" s="9" t="s">
        <v>42</v>
      </c>
    </row>
    <row r="317">
      <c r="A317" s="7">
        <v>44422.89612456018</v>
      </c>
      <c r="B317" s="8">
        <f t="shared" si="1"/>
        <v>2021</v>
      </c>
      <c r="C317" s="9" t="s">
        <v>49</v>
      </c>
      <c r="D317" s="9">
        <v>31.0</v>
      </c>
      <c r="E317" s="9" t="s">
        <v>35</v>
      </c>
      <c r="F317" s="9" t="s">
        <v>36</v>
      </c>
      <c r="G317" s="8" t="s">
        <v>50</v>
      </c>
      <c r="H317" s="9" t="s">
        <v>117</v>
      </c>
      <c r="I317" s="9" t="s">
        <v>38</v>
      </c>
      <c r="J317" s="9" t="s">
        <v>160</v>
      </c>
      <c r="K317" s="8" t="s">
        <v>332</v>
      </c>
      <c r="L317" s="9" t="s">
        <v>39</v>
      </c>
      <c r="M317" s="9" t="s">
        <v>40</v>
      </c>
      <c r="N317" s="9" t="s">
        <v>40</v>
      </c>
      <c r="Q317" s="9" t="s">
        <v>511</v>
      </c>
      <c r="R317" s="9" t="s">
        <v>42</v>
      </c>
      <c r="S317" s="10">
        <v>7400.0</v>
      </c>
      <c r="T317" s="11">
        <v>14800.0</v>
      </c>
      <c r="U317" s="9">
        <v>0.0</v>
      </c>
      <c r="V317" s="9">
        <v>12.0</v>
      </c>
      <c r="W317" s="9" t="s">
        <v>96</v>
      </c>
      <c r="X317" s="9" t="s">
        <v>1259</v>
      </c>
      <c r="Y317" s="9" t="s">
        <v>122</v>
      </c>
      <c r="Z317" s="9" t="s">
        <v>59</v>
      </c>
      <c r="AA317" s="9" t="s">
        <v>132</v>
      </c>
      <c r="AB317" s="9" t="s">
        <v>91</v>
      </c>
      <c r="AD317" s="9">
        <v>7.0</v>
      </c>
      <c r="AE317" s="9">
        <v>9.0</v>
      </c>
      <c r="AF317" s="9">
        <v>1.0</v>
      </c>
      <c r="AG317" s="12">
        <v>3000.0</v>
      </c>
      <c r="AH317" s="9" t="s">
        <v>42</v>
      </c>
    </row>
    <row r="318">
      <c r="A318" s="7">
        <v>44405.0657530787</v>
      </c>
      <c r="B318" s="8">
        <f t="shared" si="1"/>
        <v>2021</v>
      </c>
      <c r="C318" s="9" t="s">
        <v>73</v>
      </c>
      <c r="D318" s="9">
        <v>23.0</v>
      </c>
      <c r="E318" s="9" t="s">
        <v>35</v>
      </c>
      <c r="F318" s="9" t="s">
        <v>36</v>
      </c>
      <c r="G318" s="8" t="s">
        <v>50</v>
      </c>
      <c r="H318" s="9" t="s">
        <v>298</v>
      </c>
      <c r="I318" s="9" t="s">
        <v>38</v>
      </c>
      <c r="J318" s="9" t="s">
        <v>160</v>
      </c>
      <c r="K318" s="9" t="s">
        <v>84</v>
      </c>
      <c r="L318" s="9" t="s">
        <v>39</v>
      </c>
      <c r="M318" s="9" t="s">
        <v>40</v>
      </c>
      <c r="N318" s="9" t="s">
        <v>39</v>
      </c>
      <c r="P318" s="9" t="s">
        <v>398</v>
      </c>
      <c r="Q318" s="9" t="s">
        <v>128</v>
      </c>
      <c r="R318" s="9" t="s">
        <v>42</v>
      </c>
      <c r="S318" s="10">
        <v>3000.0</v>
      </c>
      <c r="T318" s="11">
        <v>0.0</v>
      </c>
      <c r="U318" s="9">
        <v>0.0</v>
      </c>
      <c r="V318" s="9">
        <v>14.0</v>
      </c>
      <c r="W318" s="9" t="s">
        <v>1044</v>
      </c>
      <c r="X318" s="9" t="s">
        <v>367</v>
      </c>
      <c r="Y318" s="9" t="s">
        <v>678</v>
      </c>
      <c r="Z318" s="9" t="s">
        <v>185</v>
      </c>
      <c r="AA318" s="9" t="s">
        <v>71</v>
      </c>
      <c r="AB318" s="9" t="s">
        <v>61</v>
      </c>
      <c r="AD318" s="9">
        <v>4.0</v>
      </c>
      <c r="AE318" s="9">
        <v>1.0</v>
      </c>
      <c r="AF318" s="9">
        <v>1.0</v>
      </c>
      <c r="AG318" s="12">
        <v>3000.0</v>
      </c>
      <c r="AH318" s="13"/>
    </row>
    <row r="319">
      <c r="A319" s="7">
        <v>44621.57188743056</v>
      </c>
      <c r="B319" s="8">
        <f t="shared" si="1"/>
        <v>2022</v>
      </c>
      <c r="C319" s="9" t="s">
        <v>49</v>
      </c>
      <c r="D319" s="9">
        <v>24.0</v>
      </c>
      <c r="E319" s="9" t="s">
        <v>35</v>
      </c>
      <c r="F319" s="9" t="s">
        <v>36</v>
      </c>
      <c r="G319" s="8" t="s">
        <v>124</v>
      </c>
      <c r="H319" s="9" t="s">
        <v>206</v>
      </c>
      <c r="I319" s="9" t="s">
        <v>247</v>
      </c>
      <c r="J319" s="9" t="s">
        <v>75</v>
      </c>
      <c r="K319" s="9" t="s">
        <v>53</v>
      </c>
      <c r="L319" s="9" t="s">
        <v>39</v>
      </c>
      <c r="M319" s="9" t="s">
        <v>40</v>
      </c>
      <c r="N319" s="9" t="s">
        <v>40</v>
      </c>
      <c r="Q319" s="9" t="s">
        <v>1260</v>
      </c>
      <c r="R319" s="9" t="s">
        <v>42</v>
      </c>
      <c r="S319" s="10">
        <v>3500.0</v>
      </c>
      <c r="T319" s="11">
        <v>0.0</v>
      </c>
      <c r="U319" s="9">
        <v>0.0</v>
      </c>
      <c r="V319" s="9">
        <v>14.0</v>
      </c>
      <c r="W319" s="9" t="s">
        <v>459</v>
      </c>
      <c r="X319" s="9" t="s">
        <v>1261</v>
      </c>
      <c r="Y319" s="9" t="s">
        <v>1262</v>
      </c>
      <c r="Z319" s="9" t="s">
        <v>185</v>
      </c>
      <c r="AA319" s="9" t="s">
        <v>47</v>
      </c>
      <c r="AB319" s="9" t="s">
        <v>61</v>
      </c>
      <c r="AD319" s="9">
        <v>8.0</v>
      </c>
      <c r="AE319" s="9">
        <v>1.0</v>
      </c>
      <c r="AF319" s="9">
        <v>1.0</v>
      </c>
      <c r="AG319" s="12">
        <v>3000.0</v>
      </c>
      <c r="AH319" s="13"/>
    </row>
    <row r="320">
      <c r="A320" s="7">
        <v>44534.1120047338</v>
      </c>
      <c r="B320" s="8">
        <f t="shared" si="1"/>
        <v>2021</v>
      </c>
      <c r="C320" s="9" t="s">
        <v>49</v>
      </c>
      <c r="D320" s="9">
        <v>24.0</v>
      </c>
      <c r="E320" s="9" t="s">
        <v>35</v>
      </c>
      <c r="F320" s="9" t="s">
        <v>36</v>
      </c>
      <c r="G320" s="8" t="s">
        <v>124</v>
      </c>
      <c r="H320" s="9" t="s">
        <v>460</v>
      </c>
      <c r="I320" s="9" t="s">
        <v>38</v>
      </c>
      <c r="J320" s="9" t="s">
        <v>670</v>
      </c>
      <c r="K320" s="9" t="s">
        <v>84</v>
      </c>
      <c r="L320" s="9" t="s">
        <v>39</v>
      </c>
      <c r="M320" s="9" t="s">
        <v>40</v>
      </c>
      <c r="N320" s="9" t="s">
        <v>39</v>
      </c>
      <c r="P320" s="9" t="s">
        <v>398</v>
      </c>
      <c r="Q320" s="9" t="s">
        <v>128</v>
      </c>
      <c r="R320" s="9" t="s">
        <v>42</v>
      </c>
      <c r="S320" s="10">
        <v>3600.0</v>
      </c>
      <c r="T320" s="11">
        <v>0.0</v>
      </c>
      <c r="U320" s="9">
        <v>0.0</v>
      </c>
      <c r="V320" s="9">
        <v>14.0</v>
      </c>
      <c r="W320" s="9" t="s">
        <v>1263</v>
      </c>
      <c r="X320" s="9" t="s">
        <v>1264</v>
      </c>
      <c r="Y320" s="9" t="s">
        <v>131</v>
      </c>
      <c r="Z320" s="9" t="s">
        <v>1265</v>
      </c>
      <c r="AA320" s="9" t="s">
        <v>132</v>
      </c>
      <c r="AB320" s="9" t="s">
        <v>61</v>
      </c>
      <c r="AC320" s="9" t="s">
        <v>1266</v>
      </c>
      <c r="AD320" s="9">
        <v>5.0</v>
      </c>
      <c r="AE320" s="9">
        <v>2.0</v>
      </c>
      <c r="AF320" s="9">
        <v>0.0</v>
      </c>
      <c r="AG320" s="12">
        <v>3000.0</v>
      </c>
      <c r="AH320" s="13"/>
    </row>
    <row r="321">
      <c r="A321" s="7">
        <v>44548.94672995371</v>
      </c>
      <c r="B321" s="8">
        <f t="shared" si="1"/>
        <v>2021</v>
      </c>
      <c r="C321" s="9" t="s">
        <v>73</v>
      </c>
      <c r="D321" s="9">
        <v>25.0</v>
      </c>
      <c r="E321" s="9" t="s">
        <v>35</v>
      </c>
      <c r="F321" s="9" t="s">
        <v>36</v>
      </c>
      <c r="G321" s="8" t="s">
        <v>124</v>
      </c>
      <c r="H321" s="9" t="s">
        <v>606</v>
      </c>
      <c r="I321" s="9" t="s">
        <v>38</v>
      </c>
      <c r="J321" s="9" t="s">
        <v>828</v>
      </c>
      <c r="K321" s="9" t="s">
        <v>84</v>
      </c>
      <c r="L321" s="9" t="s">
        <v>40</v>
      </c>
      <c r="M321" s="9" t="s">
        <v>40</v>
      </c>
      <c r="N321" s="9" t="s">
        <v>40</v>
      </c>
      <c r="Q321" s="9" t="s">
        <v>128</v>
      </c>
      <c r="R321" s="9" t="s">
        <v>42</v>
      </c>
      <c r="S321" s="10">
        <v>4200.0</v>
      </c>
      <c r="T321" s="11">
        <v>0.0</v>
      </c>
      <c r="U321" s="9">
        <v>0.0</v>
      </c>
      <c r="V321" s="9">
        <v>14.0</v>
      </c>
      <c r="W321" s="9" t="s">
        <v>463</v>
      </c>
      <c r="X321" s="9" t="s">
        <v>1267</v>
      </c>
      <c r="Y321" s="9" t="s">
        <v>349</v>
      </c>
      <c r="Z321" s="9" t="s">
        <v>1268</v>
      </c>
      <c r="AA321" s="9" t="s">
        <v>71</v>
      </c>
      <c r="AB321" s="9" t="s">
        <v>61</v>
      </c>
      <c r="AD321" s="9">
        <v>5.0</v>
      </c>
      <c r="AE321" s="9">
        <v>1.0</v>
      </c>
      <c r="AF321" s="9">
        <v>1.0</v>
      </c>
      <c r="AG321" s="12">
        <v>3000.0</v>
      </c>
      <c r="AH321" s="13"/>
    </row>
    <row r="322">
      <c r="A322" s="7">
        <v>44492.75589216435</v>
      </c>
      <c r="B322" s="8">
        <f t="shared" si="1"/>
        <v>2021</v>
      </c>
      <c r="C322" s="9" t="s">
        <v>49</v>
      </c>
      <c r="D322" s="9">
        <v>32.0</v>
      </c>
      <c r="E322" s="9" t="s">
        <v>35</v>
      </c>
      <c r="F322" s="9" t="s">
        <v>36</v>
      </c>
      <c r="G322" s="8" t="s">
        <v>124</v>
      </c>
      <c r="H322" s="9" t="s">
        <v>156</v>
      </c>
      <c r="I322" s="9" t="s">
        <v>302</v>
      </c>
      <c r="J322" s="9" t="s">
        <v>126</v>
      </c>
      <c r="K322" s="9" t="s">
        <v>1269</v>
      </c>
      <c r="L322" s="9" t="s">
        <v>40</v>
      </c>
      <c r="M322" s="9" t="s">
        <v>39</v>
      </c>
      <c r="N322" s="9" t="s">
        <v>40</v>
      </c>
      <c r="O322" s="9" t="s">
        <v>1270</v>
      </c>
      <c r="Q322" s="8" t="s">
        <v>255</v>
      </c>
      <c r="R322" s="9" t="s">
        <v>42</v>
      </c>
      <c r="S322" s="10">
        <v>4800.0</v>
      </c>
      <c r="T322" s="11">
        <v>0.0</v>
      </c>
      <c r="U322" s="9">
        <v>0.0</v>
      </c>
      <c r="V322" s="9">
        <v>14.0</v>
      </c>
      <c r="W322" s="9" t="s">
        <v>1271</v>
      </c>
      <c r="X322" s="9" t="s">
        <v>1272</v>
      </c>
      <c r="Y322" s="9" t="s">
        <v>122</v>
      </c>
      <c r="Z322" s="9" t="s">
        <v>97</v>
      </c>
      <c r="AA322" s="9" t="s">
        <v>71</v>
      </c>
      <c r="AB322" s="9" t="s">
        <v>48</v>
      </c>
      <c r="AC322" s="9" t="s">
        <v>1273</v>
      </c>
      <c r="AD322" s="9">
        <v>7.0</v>
      </c>
      <c r="AE322" s="9">
        <v>2.0</v>
      </c>
      <c r="AF322" s="9">
        <v>3.0</v>
      </c>
      <c r="AG322" s="12">
        <v>3000.0</v>
      </c>
      <c r="AH322" s="13"/>
    </row>
    <row r="323">
      <c r="A323" s="7">
        <v>44408.765240162036</v>
      </c>
      <c r="B323" s="8">
        <f t="shared" si="1"/>
        <v>2021</v>
      </c>
      <c r="C323" s="9" t="s">
        <v>49</v>
      </c>
      <c r="D323" s="9">
        <v>23.0</v>
      </c>
      <c r="E323" s="9" t="s">
        <v>35</v>
      </c>
      <c r="F323" s="9" t="s">
        <v>36</v>
      </c>
      <c r="G323" s="8" t="s">
        <v>124</v>
      </c>
      <c r="H323" s="9" t="s">
        <v>606</v>
      </c>
      <c r="I323" s="9" t="s">
        <v>38</v>
      </c>
      <c r="J323" s="9" t="s">
        <v>160</v>
      </c>
      <c r="K323" s="9" t="s">
        <v>100</v>
      </c>
      <c r="L323" s="9" t="s">
        <v>39</v>
      </c>
      <c r="M323" s="9" t="s">
        <v>40</v>
      </c>
      <c r="N323" s="9" t="s">
        <v>40</v>
      </c>
      <c r="Q323" s="9" t="s">
        <v>146</v>
      </c>
      <c r="R323" s="9" t="s">
        <v>42</v>
      </c>
      <c r="S323" s="10">
        <v>5100.0</v>
      </c>
      <c r="T323" s="11">
        <v>0.0</v>
      </c>
      <c r="U323" s="9">
        <v>0.0</v>
      </c>
      <c r="V323" s="9">
        <v>14.0</v>
      </c>
      <c r="W323" s="9" t="s">
        <v>1274</v>
      </c>
      <c r="X323" s="9" t="s">
        <v>1275</v>
      </c>
      <c r="Y323" s="9" t="s">
        <v>678</v>
      </c>
      <c r="Z323" s="9" t="s">
        <v>89</v>
      </c>
      <c r="AA323" s="9" t="s">
        <v>81</v>
      </c>
      <c r="AB323" s="9" t="s">
        <v>61</v>
      </c>
      <c r="AD323" s="9">
        <v>8.0</v>
      </c>
      <c r="AE323" s="9">
        <v>2.0</v>
      </c>
      <c r="AF323" s="9">
        <v>0.0</v>
      </c>
      <c r="AG323" s="12">
        <v>3000.0</v>
      </c>
      <c r="AH323" s="13"/>
    </row>
    <row r="324">
      <c r="A324" s="7">
        <v>44408.49155659722</v>
      </c>
      <c r="B324" s="8">
        <f t="shared" si="1"/>
        <v>2021</v>
      </c>
      <c r="C324" s="9" t="s">
        <v>49</v>
      </c>
      <c r="D324" s="9">
        <v>30.0</v>
      </c>
      <c r="E324" s="9" t="s">
        <v>35</v>
      </c>
      <c r="F324" s="9" t="s">
        <v>36</v>
      </c>
      <c r="G324" s="8" t="s">
        <v>124</v>
      </c>
      <c r="H324" s="9" t="s">
        <v>156</v>
      </c>
      <c r="I324" s="9" t="s">
        <v>38</v>
      </c>
      <c r="J324" s="9" t="s">
        <v>1276</v>
      </c>
      <c r="K324" s="9" t="s">
        <v>134</v>
      </c>
      <c r="L324" s="9" t="s">
        <v>40</v>
      </c>
      <c r="M324" s="9" t="s">
        <v>40</v>
      </c>
      <c r="N324" s="9" t="s">
        <v>39</v>
      </c>
      <c r="P324" s="9" t="s">
        <v>1277</v>
      </c>
      <c r="Q324" s="9" t="s">
        <v>1278</v>
      </c>
      <c r="R324" s="9" t="s">
        <v>42</v>
      </c>
      <c r="S324" s="10">
        <v>5200.0</v>
      </c>
      <c r="T324" s="11">
        <v>0.0</v>
      </c>
      <c r="U324" s="9">
        <v>0.0</v>
      </c>
      <c r="V324" s="9">
        <v>14.0</v>
      </c>
      <c r="W324" s="9" t="s">
        <v>1279</v>
      </c>
      <c r="X324" s="9" t="s">
        <v>1280</v>
      </c>
      <c r="Y324" s="9" t="s">
        <v>122</v>
      </c>
      <c r="Z324" s="9" t="s">
        <v>116</v>
      </c>
      <c r="AA324" s="9" t="s">
        <v>132</v>
      </c>
      <c r="AB324" s="9" t="s">
        <v>61</v>
      </c>
      <c r="AD324" s="9">
        <v>7.0</v>
      </c>
      <c r="AE324" s="9">
        <v>2.0</v>
      </c>
      <c r="AF324" s="9">
        <v>5.0</v>
      </c>
      <c r="AG324" s="12">
        <v>3000.0</v>
      </c>
      <c r="AH324" s="13"/>
    </row>
    <row r="325">
      <c r="A325" s="7">
        <v>44422.982154537036</v>
      </c>
      <c r="B325" s="8">
        <f t="shared" si="1"/>
        <v>2021</v>
      </c>
      <c r="C325" s="9" t="s">
        <v>49</v>
      </c>
      <c r="D325" s="9">
        <v>24.0</v>
      </c>
      <c r="E325" s="9" t="s">
        <v>35</v>
      </c>
      <c r="F325" s="9" t="s">
        <v>36</v>
      </c>
      <c r="G325" s="8" t="s">
        <v>50</v>
      </c>
      <c r="H325" s="9" t="s">
        <v>106</v>
      </c>
      <c r="I325" s="9" t="s">
        <v>93</v>
      </c>
      <c r="K325" s="9" t="s">
        <v>1217</v>
      </c>
      <c r="L325" s="9" t="s">
        <v>40</v>
      </c>
      <c r="M325" s="9" t="s">
        <v>40</v>
      </c>
      <c r="N325" s="9" t="s">
        <v>40</v>
      </c>
      <c r="Q325" s="9" t="s">
        <v>146</v>
      </c>
      <c r="R325" s="9" t="s">
        <v>42</v>
      </c>
      <c r="S325" s="10">
        <v>5600.0</v>
      </c>
      <c r="T325" s="11">
        <v>0.0</v>
      </c>
      <c r="U325" s="9">
        <v>0.0</v>
      </c>
      <c r="V325" s="9">
        <v>14.0</v>
      </c>
      <c r="W325" s="9" t="s">
        <v>1281</v>
      </c>
      <c r="X325" s="9" t="s">
        <v>1066</v>
      </c>
      <c r="Y325" s="9" t="s">
        <v>1282</v>
      </c>
      <c r="Z325" s="9" t="s">
        <v>1283</v>
      </c>
      <c r="AA325" s="9" t="s">
        <v>47</v>
      </c>
      <c r="AB325" s="9" t="s">
        <v>61</v>
      </c>
      <c r="AD325" s="9">
        <v>7.0</v>
      </c>
      <c r="AE325" s="9">
        <v>3.0</v>
      </c>
      <c r="AF325" s="9">
        <v>1.0</v>
      </c>
      <c r="AG325" s="12">
        <v>3000.0</v>
      </c>
      <c r="AH325" s="13"/>
    </row>
    <row r="326">
      <c r="A326" s="7">
        <v>44405.759781875</v>
      </c>
      <c r="B326" s="8">
        <f t="shared" si="1"/>
        <v>2021</v>
      </c>
      <c r="C326" s="9" t="s">
        <v>49</v>
      </c>
      <c r="D326" s="9">
        <v>27.0</v>
      </c>
      <c r="E326" s="9" t="s">
        <v>35</v>
      </c>
      <c r="F326" s="9" t="s">
        <v>36</v>
      </c>
      <c r="G326" s="8" t="s">
        <v>124</v>
      </c>
      <c r="H326" s="9" t="s">
        <v>296</v>
      </c>
      <c r="I326" s="9" t="s">
        <v>38</v>
      </c>
      <c r="J326" s="9" t="s">
        <v>174</v>
      </c>
      <c r="K326" s="9" t="s">
        <v>1284</v>
      </c>
      <c r="L326" s="9" t="s">
        <v>40</v>
      </c>
      <c r="M326" s="9" t="s">
        <v>39</v>
      </c>
      <c r="N326" s="9" t="s">
        <v>40</v>
      </c>
      <c r="O326" s="9" t="s">
        <v>1285</v>
      </c>
      <c r="Q326" s="9" t="s">
        <v>308</v>
      </c>
      <c r="R326" s="9" t="s">
        <v>42</v>
      </c>
      <c r="S326" s="10">
        <v>10000.0</v>
      </c>
      <c r="T326" s="11">
        <v>0.0</v>
      </c>
      <c r="U326" s="9">
        <v>0.0</v>
      </c>
      <c r="V326" s="9">
        <v>14.0</v>
      </c>
      <c r="W326" s="9" t="s">
        <v>67</v>
      </c>
      <c r="X326" s="9" t="s">
        <v>196</v>
      </c>
      <c r="Y326" s="9" t="s">
        <v>1286</v>
      </c>
      <c r="Z326" s="9" t="s">
        <v>297</v>
      </c>
      <c r="AA326" s="9" t="s">
        <v>47</v>
      </c>
      <c r="AB326" s="9" t="s">
        <v>61</v>
      </c>
      <c r="AD326" s="9">
        <v>4.0</v>
      </c>
      <c r="AE326" s="9">
        <v>3.0</v>
      </c>
      <c r="AF326" s="9">
        <v>5.0</v>
      </c>
      <c r="AG326" s="12">
        <v>3000.0</v>
      </c>
      <c r="AH326" s="13"/>
    </row>
    <row r="327">
      <c r="A327" s="7">
        <v>44451.86322569444</v>
      </c>
      <c r="B327" s="8">
        <f t="shared" si="1"/>
        <v>2021</v>
      </c>
      <c r="C327" s="9" t="s">
        <v>73</v>
      </c>
      <c r="D327" s="9">
        <v>26.0</v>
      </c>
      <c r="E327" s="9" t="s">
        <v>35</v>
      </c>
      <c r="F327" s="9" t="s">
        <v>36</v>
      </c>
      <c r="G327" s="8" t="s">
        <v>124</v>
      </c>
      <c r="H327" s="9" t="s">
        <v>156</v>
      </c>
      <c r="I327" s="9" t="s">
        <v>38</v>
      </c>
      <c r="J327" s="9" t="s">
        <v>160</v>
      </c>
      <c r="K327" s="9" t="s">
        <v>84</v>
      </c>
      <c r="L327" s="9" t="s">
        <v>39</v>
      </c>
      <c r="M327" s="9" t="s">
        <v>40</v>
      </c>
      <c r="N327" s="9" t="s">
        <v>40</v>
      </c>
      <c r="Q327" s="9" t="s">
        <v>128</v>
      </c>
      <c r="R327" s="9" t="s">
        <v>42</v>
      </c>
      <c r="S327" s="10">
        <v>3900.0</v>
      </c>
      <c r="T327" s="11">
        <v>1500.0</v>
      </c>
      <c r="U327" s="9">
        <v>0.0</v>
      </c>
      <c r="V327" s="9">
        <v>14.0</v>
      </c>
      <c r="W327" s="9" t="s">
        <v>1287</v>
      </c>
      <c r="X327" s="9" t="s">
        <v>1288</v>
      </c>
      <c r="Y327" s="9" t="s">
        <v>122</v>
      </c>
      <c r="Z327" s="9" t="s">
        <v>59</v>
      </c>
      <c r="AA327" s="9" t="s">
        <v>132</v>
      </c>
      <c r="AB327" s="9" t="s">
        <v>91</v>
      </c>
      <c r="AD327" s="9">
        <v>1.0</v>
      </c>
      <c r="AE327" s="9">
        <v>4.0</v>
      </c>
      <c r="AF327" s="9">
        <v>0.0</v>
      </c>
      <c r="AG327" s="12">
        <v>3000.0</v>
      </c>
      <c r="AH327" s="13"/>
    </row>
    <row r="328">
      <c r="A328" s="7">
        <v>44421.57771056713</v>
      </c>
      <c r="B328" s="8">
        <f t="shared" si="1"/>
        <v>2021</v>
      </c>
      <c r="C328" s="9" t="s">
        <v>49</v>
      </c>
      <c r="D328" s="9">
        <v>25.0</v>
      </c>
      <c r="E328" s="9" t="s">
        <v>35</v>
      </c>
      <c r="F328" s="9" t="s">
        <v>36</v>
      </c>
      <c r="G328" s="8" t="s">
        <v>124</v>
      </c>
      <c r="H328" s="9" t="s">
        <v>296</v>
      </c>
      <c r="I328" s="9" t="s">
        <v>38</v>
      </c>
      <c r="J328" s="9" t="s">
        <v>75</v>
      </c>
      <c r="K328" s="8" t="s">
        <v>332</v>
      </c>
      <c r="L328" s="9" t="s">
        <v>39</v>
      </c>
      <c r="M328" s="9" t="s">
        <v>40</v>
      </c>
      <c r="N328" s="9" t="s">
        <v>40</v>
      </c>
      <c r="Q328" s="9" t="s">
        <v>272</v>
      </c>
      <c r="R328" s="9" t="s">
        <v>42</v>
      </c>
      <c r="S328" s="10">
        <v>3500.0</v>
      </c>
      <c r="T328" s="11">
        <v>6000.0</v>
      </c>
      <c r="U328" s="9">
        <v>0.0</v>
      </c>
      <c r="V328" s="9">
        <v>14.0</v>
      </c>
      <c r="W328" s="9" t="s">
        <v>1289</v>
      </c>
      <c r="X328" s="9" t="s">
        <v>1290</v>
      </c>
      <c r="Y328" s="9" t="s">
        <v>122</v>
      </c>
      <c r="Z328" s="9" t="s">
        <v>155</v>
      </c>
      <c r="AA328" s="9" t="s">
        <v>132</v>
      </c>
      <c r="AB328" s="9" t="s">
        <v>61</v>
      </c>
      <c r="AC328" s="9" t="s">
        <v>1291</v>
      </c>
      <c r="AD328" s="9">
        <v>6.0</v>
      </c>
      <c r="AE328" s="9">
        <v>2.0</v>
      </c>
      <c r="AF328" s="9">
        <v>0.0</v>
      </c>
      <c r="AG328" s="12">
        <v>3000.0</v>
      </c>
      <c r="AH328" s="13"/>
    </row>
    <row r="329">
      <c r="A329" s="7">
        <v>44495.97799745371</v>
      </c>
      <c r="B329" s="8">
        <f t="shared" si="1"/>
        <v>2021</v>
      </c>
      <c r="C329" s="9" t="s">
        <v>49</v>
      </c>
      <c r="D329" s="9">
        <v>25.0</v>
      </c>
      <c r="E329" s="9" t="s">
        <v>35</v>
      </c>
      <c r="F329" s="9" t="s">
        <v>36</v>
      </c>
      <c r="G329" s="8" t="s">
        <v>50</v>
      </c>
      <c r="H329" s="9" t="s">
        <v>106</v>
      </c>
      <c r="I329" s="9" t="s">
        <v>38</v>
      </c>
      <c r="J329" s="9" t="s">
        <v>160</v>
      </c>
      <c r="K329" s="9" t="s">
        <v>161</v>
      </c>
      <c r="L329" s="9" t="s">
        <v>39</v>
      </c>
      <c r="M329" s="9" t="s">
        <v>40</v>
      </c>
      <c r="N329" s="9" t="s">
        <v>40</v>
      </c>
      <c r="Q329" s="9" t="s">
        <v>146</v>
      </c>
      <c r="R329" s="9" t="s">
        <v>42</v>
      </c>
      <c r="S329" s="10">
        <v>4200.0</v>
      </c>
      <c r="T329" s="11">
        <v>6000.0</v>
      </c>
      <c r="U329" s="9">
        <v>0.0</v>
      </c>
      <c r="V329" s="9">
        <v>14.0</v>
      </c>
      <c r="W329" s="9" t="s">
        <v>226</v>
      </c>
      <c r="X329" s="9" t="s">
        <v>1292</v>
      </c>
      <c r="Y329" s="9" t="s">
        <v>58</v>
      </c>
      <c r="Z329" s="9" t="s">
        <v>59</v>
      </c>
      <c r="AA329" s="9" t="s">
        <v>132</v>
      </c>
      <c r="AB329" s="9" t="s">
        <v>91</v>
      </c>
      <c r="AD329" s="9">
        <v>9.0</v>
      </c>
      <c r="AE329" s="9">
        <v>3.0</v>
      </c>
      <c r="AF329" s="9">
        <v>0.0</v>
      </c>
      <c r="AG329" s="12">
        <v>3000.0</v>
      </c>
      <c r="AH329" s="13"/>
    </row>
    <row r="330">
      <c r="A330" s="7">
        <v>44415.41995831019</v>
      </c>
      <c r="B330" s="8">
        <f t="shared" si="1"/>
        <v>2021</v>
      </c>
      <c r="C330" s="9" t="s">
        <v>49</v>
      </c>
      <c r="D330" s="9">
        <v>29.0</v>
      </c>
      <c r="E330" s="9" t="s">
        <v>35</v>
      </c>
      <c r="F330" s="9" t="s">
        <v>36</v>
      </c>
      <c r="G330" s="8" t="s">
        <v>74</v>
      </c>
      <c r="H330" s="9" t="s">
        <v>1293</v>
      </c>
      <c r="I330" s="9" t="s">
        <v>38</v>
      </c>
      <c r="J330" s="9" t="s">
        <v>75</v>
      </c>
      <c r="K330" s="8" t="s">
        <v>188</v>
      </c>
      <c r="L330" s="9" t="s">
        <v>39</v>
      </c>
      <c r="M330" s="9" t="s">
        <v>40</v>
      </c>
      <c r="N330" s="9" t="s">
        <v>40</v>
      </c>
      <c r="Q330" s="9" t="s">
        <v>308</v>
      </c>
      <c r="R330" s="9" t="s">
        <v>42</v>
      </c>
      <c r="S330" s="10">
        <v>4970.0</v>
      </c>
      <c r="T330" s="11">
        <v>4970.0</v>
      </c>
      <c r="U330" s="9">
        <v>4791.0</v>
      </c>
      <c r="V330" s="9">
        <v>14.0</v>
      </c>
      <c r="W330" s="9" t="s">
        <v>1294</v>
      </c>
      <c r="X330" s="9" t="s">
        <v>1295</v>
      </c>
      <c r="Y330" s="9" t="s">
        <v>238</v>
      </c>
      <c r="Z330" s="9" t="s">
        <v>80</v>
      </c>
      <c r="AA330" s="9" t="s">
        <v>132</v>
      </c>
      <c r="AB330" s="9" t="s">
        <v>91</v>
      </c>
      <c r="AC330" s="9" t="s">
        <v>1296</v>
      </c>
      <c r="AD330" s="9">
        <v>8.0</v>
      </c>
      <c r="AE330" s="9">
        <v>6.0</v>
      </c>
      <c r="AF330" s="9">
        <v>0.0</v>
      </c>
      <c r="AG330" s="12">
        <v>3000.0</v>
      </c>
      <c r="AH330" s="13"/>
    </row>
    <row r="331">
      <c r="A331" s="7">
        <v>44413.8801962963</v>
      </c>
      <c r="B331" s="8">
        <f t="shared" si="1"/>
        <v>2021</v>
      </c>
      <c r="C331" s="9" t="s">
        <v>49</v>
      </c>
      <c r="D331" s="9">
        <v>30.0</v>
      </c>
      <c r="E331" s="9" t="s">
        <v>35</v>
      </c>
      <c r="F331" s="9" t="s">
        <v>36</v>
      </c>
      <c r="G331" s="8" t="s">
        <v>124</v>
      </c>
      <c r="H331" s="9" t="s">
        <v>156</v>
      </c>
      <c r="I331" s="9" t="s">
        <v>38</v>
      </c>
      <c r="L331" s="9" t="s">
        <v>39</v>
      </c>
      <c r="M331" s="9" t="s">
        <v>40</v>
      </c>
      <c r="N331" s="9" t="s">
        <v>40</v>
      </c>
      <c r="Q331" s="9" t="s">
        <v>128</v>
      </c>
      <c r="R331" s="9" t="s">
        <v>42</v>
      </c>
      <c r="S331" s="10">
        <v>8500.0</v>
      </c>
      <c r="T331" s="11">
        <v>0.0</v>
      </c>
      <c r="V331" s="9">
        <v>14.0</v>
      </c>
      <c r="W331" s="9" t="s">
        <v>1297</v>
      </c>
      <c r="X331" s="9" t="s">
        <v>1298</v>
      </c>
      <c r="Y331" s="9" t="s">
        <v>124</v>
      </c>
      <c r="Z331" s="9" t="s">
        <v>89</v>
      </c>
      <c r="AA331" s="9" t="s">
        <v>132</v>
      </c>
      <c r="AB331" s="9" t="s">
        <v>61</v>
      </c>
      <c r="AD331" s="9">
        <v>7.0</v>
      </c>
      <c r="AE331" s="9">
        <v>7.0</v>
      </c>
      <c r="AF331" s="9">
        <v>4.0</v>
      </c>
      <c r="AG331" s="12">
        <v>3000.0</v>
      </c>
      <c r="AH331" s="13"/>
    </row>
    <row r="332">
      <c r="A332" s="7">
        <v>44615.040543807874</v>
      </c>
      <c r="B332" s="8">
        <f t="shared" si="1"/>
        <v>2022</v>
      </c>
      <c r="C332" s="9" t="s">
        <v>73</v>
      </c>
      <c r="D332" s="9">
        <v>31.0</v>
      </c>
      <c r="E332" s="9" t="s">
        <v>35</v>
      </c>
      <c r="F332" s="9" t="s">
        <v>36</v>
      </c>
      <c r="G332" s="8" t="s">
        <v>124</v>
      </c>
      <c r="H332" s="9" t="s">
        <v>156</v>
      </c>
      <c r="I332" s="9" t="s">
        <v>38</v>
      </c>
      <c r="J332" s="9" t="s">
        <v>742</v>
      </c>
      <c r="K332" s="9" t="s">
        <v>1299</v>
      </c>
      <c r="L332" s="9" t="s">
        <v>40</v>
      </c>
      <c r="M332" s="9" t="s">
        <v>39</v>
      </c>
      <c r="N332" s="9" t="s">
        <v>40</v>
      </c>
      <c r="O332" s="9" t="s">
        <v>1300</v>
      </c>
      <c r="Q332" s="8" t="s">
        <v>293</v>
      </c>
      <c r="R332" s="9" t="s">
        <v>42</v>
      </c>
      <c r="S332" s="10">
        <v>13000.0</v>
      </c>
      <c r="T332" s="11">
        <v>39000.0</v>
      </c>
      <c r="V332" s="9">
        <v>14.0</v>
      </c>
      <c r="W332" s="9" t="s">
        <v>1301</v>
      </c>
      <c r="X332" s="9" t="s">
        <v>78</v>
      </c>
      <c r="Y332" s="9" t="s">
        <v>36</v>
      </c>
      <c r="Z332" s="9" t="s">
        <v>155</v>
      </c>
      <c r="AA332" s="9" t="s">
        <v>81</v>
      </c>
      <c r="AB332" s="9" t="s">
        <v>91</v>
      </c>
      <c r="AD332" s="9">
        <v>10.0</v>
      </c>
      <c r="AE332" s="9">
        <v>4.0</v>
      </c>
      <c r="AF332" s="9">
        <v>3.0</v>
      </c>
      <c r="AG332" s="12">
        <v>3000.0</v>
      </c>
      <c r="AH332" s="13"/>
    </row>
    <row r="333">
      <c r="A333" s="7">
        <v>44517.63214541667</v>
      </c>
      <c r="B333" s="8">
        <f t="shared" si="1"/>
        <v>2021</v>
      </c>
      <c r="C333" s="9" t="s">
        <v>49</v>
      </c>
      <c r="D333" s="9">
        <v>27.0</v>
      </c>
      <c r="E333" s="9" t="s">
        <v>35</v>
      </c>
      <c r="F333" s="9" t="s">
        <v>36</v>
      </c>
      <c r="G333" s="8" t="s">
        <v>50</v>
      </c>
      <c r="H333" s="9" t="s">
        <v>1302</v>
      </c>
      <c r="I333" s="9" t="s">
        <v>38</v>
      </c>
      <c r="J333" s="9" t="s">
        <v>160</v>
      </c>
      <c r="K333" s="9" t="s">
        <v>66</v>
      </c>
      <c r="L333" s="9" t="s">
        <v>39</v>
      </c>
      <c r="M333" s="9" t="s">
        <v>40</v>
      </c>
      <c r="N333" s="9" t="s">
        <v>40</v>
      </c>
      <c r="Q333" s="8" t="s">
        <v>255</v>
      </c>
      <c r="R333" s="9" t="s">
        <v>42</v>
      </c>
      <c r="S333" s="10">
        <v>6300.0</v>
      </c>
      <c r="T333" s="11" t="s">
        <v>37</v>
      </c>
      <c r="V333" s="9">
        <v>14.0</v>
      </c>
      <c r="W333" s="9" t="s">
        <v>67</v>
      </c>
      <c r="X333" s="9" t="s">
        <v>1303</v>
      </c>
      <c r="Y333" s="9" t="s">
        <v>58</v>
      </c>
      <c r="Z333" s="9" t="s">
        <v>547</v>
      </c>
      <c r="AA333" s="9" t="s">
        <v>132</v>
      </c>
      <c r="AB333" s="9" t="s">
        <v>91</v>
      </c>
      <c r="AD333" s="9">
        <v>8.0</v>
      </c>
      <c r="AE333" s="9">
        <v>4.0</v>
      </c>
      <c r="AF333" s="9">
        <v>3.0</v>
      </c>
      <c r="AG333" s="12">
        <v>3000.0</v>
      </c>
      <c r="AH333" s="13"/>
    </row>
    <row r="334">
      <c r="A334" s="7">
        <v>44423.714819988425</v>
      </c>
      <c r="B334" s="8">
        <f t="shared" si="1"/>
        <v>2021</v>
      </c>
      <c r="C334" s="9" t="s">
        <v>49</v>
      </c>
      <c r="D334" s="9">
        <v>23.0</v>
      </c>
      <c r="E334" s="9" t="s">
        <v>35</v>
      </c>
      <c r="F334" s="9" t="s">
        <v>36</v>
      </c>
      <c r="G334" s="8" t="s">
        <v>124</v>
      </c>
      <c r="H334" s="9" t="s">
        <v>156</v>
      </c>
      <c r="I334" s="9" t="s">
        <v>38</v>
      </c>
      <c r="J334" s="9" t="s">
        <v>75</v>
      </c>
      <c r="K334" s="9" t="s">
        <v>959</v>
      </c>
      <c r="L334" s="9" t="s">
        <v>39</v>
      </c>
      <c r="M334" s="9" t="s">
        <v>40</v>
      </c>
      <c r="N334" s="9" t="s">
        <v>40</v>
      </c>
      <c r="Q334" s="8" t="s">
        <v>255</v>
      </c>
      <c r="R334" s="9" t="s">
        <v>42</v>
      </c>
      <c r="S334" s="10">
        <v>3000.0</v>
      </c>
      <c r="T334" s="11">
        <v>0.0</v>
      </c>
      <c r="U334" s="9">
        <v>0.0</v>
      </c>
      <c r="V334" s="9">
        <v>15.0</v>
      </c>
      <c r="W334" s="9" t="s">
        <v>1304</v>
      </c>
      <c r="X334" s="9" t="s">
        <v>1305</v>
      </c>
      <c r="Y334" s="9" t="s">
        <v>122</v>
      </c>
      <c r="Z334" s="9" t="s">
        <v>155</v>
      </c>
      <c r="AA334" s="9" t="s">
        <v>47</v>
      </c>
      <c r="AB334" s="9" t="s">
        <v>61</v>
      </c>
      <c r="AC334" s="9" t="s">
        <v>1306</v>
      </c>
      <c r="AD334" s="9">
        <v>7.0</v>
      </c>
      <c r="AE334" s="9">
        <v>0.0</v>
      </c>
      <c r="AF334" s="9">
        <v>0.0</v>
      </c>
      <c r="AG334" s="12">
        <v>3000.0</v>
      </c>
      <c r="AH334" s="13"/>
    </row>
    <row r="335">
      <c r="A335" s="7">
        <v>44405.07893754629</v>
      </c>
      <c r="B335" s="8">
        <f t="shared" si="1"/>
        <v>2021</v>
      </c>
      <c r="C335" s="9" t="s">
        <v>73</v>
      </c>
      <c r="D335" s="9">
        <v>25.0</v>
      </c>
      <c r="E335" s="9" t="s">
        <v>35</v>
      </c>
      <c r="F335" s="9" t="s">
        <v>36</v>
      </c>
      <c r="G335" s="8" t="s">
        <v>50</v>
      </c>
      <c r="H335" s="9" t="s">
        <v>570</v>
      </c>
      <c r="I335" s="9" t="s">
        <v>38</v>
      </c>
      <c r="J335" s="9" t="s">
        <v>75</v>
      </c>
      <c r="K335" s="9" t="s">
        <v>161</v>
      </c>
      <c r="L335" s="9" t="s">
        <v>39</v>
      </c>
      <c r="M335" s="9" t="s">
        <v>40</v>
      </c>
      <c r="N335" s="9" t="s">
        <v>40</v>
      </c>
      <c r="Q335" s="9" t="s">
        <v>548</v>
      </c>
      <c r="R335" s="9" t="s">
        <v>42</v>
      </c>
      <c r="S335" s="10">
        <v>3800.0</v>
      </c>
      <c r="T335" s="11">
        <v>0.0</v>
      </c>
      <c r="U335" s="9">
        <v>0.0</v>
      </c>
      <c r="V335" s="9">
        <v>15.0</v>
      </c>
      <c r="W335" s="9" t="s">
        <v>1307</v>
      </c>
      <c r="X335" s="9" t="s">
        <v>1308</v>
      </c>
      <c r="Y335" s="9" t="s">
        <v>58</v>
      </c>
      <c r="Z335" s="9" t="s">
        <v>185</v>
      </c>
      <c r="AA335" s="9" t="s">
        <v>60</v>
      </c>
      <c r="AB335" s="9" t="s">
        <v>91</v>
      </c>
      <c r="AD335" s="9">
        <v>7.0</v>
      </c>
      <c r="AE335" s="9">
        <v>1.0</v>
      </c>
      <c r="AF335" s="9">
        <v>3.0</v>
      </c>
      <c r="AG335" s="12">
        <v>3000.0</v>
      </c>
      <c r="AH335" s="13"/>
    </row>
    <row r="336">
      <c r="A336" s="7">
        <v>44615.67867890046</v>
      </c>
      <c r="B336" s="8">
        <f t="shared" si="1"/>
        <v>2022</v>
      </c>
      <c r="C336" s="9" t="s">
        <v>73</v>
      </c>
      <c r="D336" s="9">
        <v>27.0</v>
      </c>
      <c r="E336" s="9" t="s">
        <v>35</v>
      </c>
      <c r="F336" s="9" t="s">
        <v>36</v>
      </c>
      <c r="G336" s="8" t="s">
        <v>124</v>
      </c>
      <c r="H336" s="9" t="s">
        <v>156</v>
      </c>
      <c r="I336" s="9" t="s">
        <v>38</v>
      </c>
      <c r="J336" s="9" t="s">
        <v>160</v>
      </c>
      <c r="K336" s="9" t="s">
        <v>84</v>
      </c>
      <c r="L336" s="9" t="s">
        <v>39</v>
      </c>
      <c r="M336" s="9" t="s">
        <v>40</v>
      </c>
      <c r="N336" s="9" t="s">
        <v>40</v>
      </c>
      <c r="Q336" s="9" t="s">
        <v>312</v>
      </c>
      <c r="R336" s="9" t="s">
        <v>42</v>
      </c>
      <c r="S336" s="10">
        <v>4600.0</v>
      </c>
      <c r="T336" s="11">
        <v>0.0</v>
      </c>
      <c r="U336" s="9">
        <v>0.0</v>
      </c>
      <c r="V336" s="9">
        <v>15.0</v>
      </c>
      <c r="W336" s="9" t="s">
        <v>1309</v>
      </c>
      <c r="X336" s="9" t="s">
        <v>1310</v>
      </c>
      <c r="Y336" s="9" t="s">
        <v>122</v>
      </c>
      <c r="Z336" s="9" t="s">
        <v>350</v>
      </c>
      <c r="AA336" s="9" t="s">
        <v>132</v>
      </c>
      <c r="AB336" s="9" t="s">
        <v>91</v>
      </c>
      <c r="AD336" s="9">
        <v>7.0</v>
      </c>
      <c r="AE336" s="9">
        <v>2.5</v>
      </c>
      <c r="AF336" s="9">
        <v>0.0</v>
      </c>
      <c r="AG336" s="12">
        <v>3000.0</v>
      </c>
      <c r="AH336" s="13"/>
    </row>
    <row r="337">
      <c r="A337" s="7">
        <v>44473.81582122685</v>
      </c>
      <c r="B337" s="8">
        <f t="shared" si="1"/>
        <v>2021</v>
      </c>
      <c r="C337" s="9" t="s">
        <v>49</v>
      </c>
      <c r="D337" s="9">
        <v>23.0</v>
      </c>
      <c r="E337" s="9" t="s">
        <v>35</v>
      </c>
      <c r="F337" s="9" t="s">
        <v>36</v>
      </c>
      <c r="G337" s="9" t="s">
        <v>1311</v>
      </c>
      <c r="H337" s="9" t="s">
        <v>1312</v>
      </c>
      <c r="I337" s="9" t="s">
        <v>38</v>
      </c>
      <c r="J337" s="9" t="s">
        <v>263</v>
      </c>
      <c r="K337" s="9" t="s">
        <v>200</v>
      </c>
      <c r="L337" s="9" t="s">
        <v>39</v>
      </c>
      <c r="M337" s="9" t="s">
        <v>40</v>
      </c>
      <c r="N337" s="9" t="s">
        <v>39</v>
      </c>
      <c r="P337" s="9" t="s">
        <v>1313</v>
      </c>
      <c r="Q337" s="9" t="s">
        <v>128</v>
      </c>
      <c r="R337" s="9" t="s">
        <v>42</v>
      </c>
      <c r="S337" s="10">
        <v>5000.0</v>
      </c>
      <c r="T337" s="11">
        <v>0.0</v>
      </c>
      <c r="U337" s="9">
        <v>0.0</v>
      </c>
      <c r="V337" s="9">
        <v>15.0</v>
      </c>
      <c r="W337" s="9" t="s">
        <v>1314</v>
      </c>
      <c r="X337" s="9" t="s">
        <v>1315</v>
      </c>
      <c r="Y337" s="9" t="s">
        <v>58</v>
      </c>
      <c r="Z337" s="9" t="s">
        <v>70</v>
      </c>
      <c r="AA337" s="9" t="s">
        <v>71</v>
      </c>
      <c r="AB337" s="9" t="s">
        <v>61</v>
      </c>
      <c r="AD337" s="9">
        <v>6.0</v>
      </c>
      <c r="AE337" s="9">
        <v>1.0</v>
      </c>
      <c r="AF337" s="9">
        <v>1.0</v>
      </c>
      <c r="AG337" s="12">
        <v>3000.0</v>
      </c>
      <c r="AH337" s="13"/>
    </row>
    <row r="338">
      <c r="A338" s="7">
        <v>44405.06117378472</v>
      </c>
      <c r="B338" s="8">
        <f t="shared" si="1"/>
        <v>2021</v>
      </c>
      <c r="C338" s="9" t="s">
        <v>49</v>
      </c>
      <c r="D338" s="9">
        <v>29.0</v>
      </c>
      <c r="E338" s="9" t="s">
        <v>35</v>
      </c>
      <c r="F338" s="9" t="s">
        <v>36</v>
      </c>
      <c r="G338" s="8" t="s">
        <v>50</v>
      </c>
      <c r="H338" s="9" t="s">
        <v>206</v>
      </c>
      <c r="I338" s="9" t="s">
        <v>38</v>
      </c>
      <c r="J338" s="9" t="s">
        <v>160</v>
      </c>
      <c r="K338" s="9" t="s">
        <v>134</v>
      </c>
      <c r="L338" s="9" t="s">
        <v>39</v>
      </c>
      <c r="M338" s="9" t="s">
        <v>40</v>
      </c>
      <c r="N338" s="9" t="s">
        <v>40</v>
      </c>
      <c r="Q338" s="9" t="s">
        <v>146</v>
      </c>
      <c r="R338" s="9" t="s">
        <v>42</v>
      </c>
      <c r="S338" s="10">
        <v>5500.0</v>
      </c>
      <c r="T338" s="11">
        <v>0.0</v>
      </c>
      <c r="U338" s="9">
        <v>0.0</v>
      </c>
      <c r="V338" s="9">
        <v>15.0</v>
      </c>
      <c r="W338" s="9" t="s">
        <v>957</v>
      </c>
      <c r="X338" s="9" t="s">
        <v>1316</v>
      </c>
      <c r="Y338" s="9" t="s">
        <v>1317</v>
      </c>
      <c r="Z338" s="9" t="s">
        <v>59</v>
      </c>
      <c r="AA338" s="9" t="s">
        <v>132</v>
      </c>
      <c r="AB338" s="9" t="s">
        <v>61</v>
      </c>
      <c r="AD338" s="9">
        <v>6.0</v>
      </c>
      <c r="AE338" s="9">
        <v>5.0</v>
      </c>
      <c r="AF338" s="9">
        <v>3.0</v>
      </c>
      <c r="AG338" s="12">
        <v>3000.0</v>
      </c>
      <c r="AH338" s="13"/>
    </row>
    <row r="339">
      <c r="A339" s="7">
        <v>44538.15534787037</v>
      </c>
      <c r="B339" s="8">
        <f t="shared" si="1"/>
        <v>2021</v>
      </c>
      <c r="C339" s="9" t="s">
        <v>49</v>
      </c>
      <c r="D339" s="9">
        <v>23.0</v>
      </c>
      <c r="E339" s="9" t="s">
        <v>35</v>
      </c>
      <c r="F339" s="9" t="s">
        <v>36</v>
      </c>
      <c r="G339" s="8" t="s">
        <v>124</v>
      </c>
      <c r="H339" s="9" t="s">
        <v>296</v>
      </c>
      <c r="I339" s="9" t="s">
        <v>38</v>
      </c>
      <c r="J339" s="9" t="s">
        <v>75</v>
      </c>
      <c r="K339" s="9" t="s">
        <v>944</v>
      </c>
      <c r="L339" s="9" t="s">
        <v>39</v>
      </c>
      <c r="M339" s="9" t="s">
        <v>40</v>
      </c>
      <c r="N339" s="9" t="s">
        <v>40</v>
      </c>
      <c r="Q339" s="9" t="s">
        <v>146</v>
      </c>
      <c r="R339" s="9" t="s">
        <v>42</v>
      </c>
      <c r="S339" s="10">
        <v>3300.0</v>
      </c>
      <c r="T339" s="11">
        <v>6600.0</v>
      </c>
      <c r="U339" s="9">
        <v>0.0</v>
      </c>
      <c r="V339" s="9">
        <v>15.0</v>
      </c>
      <c r="W339" s="9" t="s">
        <v>1318</v>
      </c>
      <c r="X339" s="9" t="s">
        <v>1319</v>
      </c>
      <c r="Y339" s="9" t="s">
        <v>122</v>
      </c>
      <c r="Z339" s="9" t="s">
        <v>155</v>
      </c>
      <c r="AA339" s="9" t="s">
        <v>71</v>
      </c>
      <c r="AB339" s="9" t="s">
        <v>61</v>
      </c>
      <c r="AD339" s="9">
        <v>5.0</v>
      </c>
      <c r="AE339" s="9">
        <v>1.0</v>
      </c>
      <c r="AF339" s="9">
        <v>0.0</v>
      </c>
      <c r="AG339" s="12">
        <v>3000.0</v>
      </c>
      <c r="AH339" s="13"/>
    </row>
    <row r="340">
      <c r="A340" s="7">
        <v>44433.64859174768</v>
      </c>
      <c r="B340" s="8">
        <f t="shared" si="1"/>
        <v>2021</v>
      </c>
      <c r="C340" s="9" t="s">
        <v>49</v>
      </c>
      <c r="D340" s="9">
        <v>24.0</v>
      </c>
      <c r="E340" s="9" t="s">
        <v>35</v>
      </c>
      <c r="F340" s="9" t="s">
        <v>36</v>
      </c>
      <c r="G340" s="8" t="s">
        <v>50</v>
      </c>
      <c r="H340" s="9" t="s">
        <v>106</v>
      </c>
      <c r="I340" s="9" t="s">
        <v>247</v>
      </c>
      <c r="L340" s="9" t="s">
        <v>39</v>
      </c>
      <c r="M340" s="9" t="s">
        <v>40</v>
      </c>
      <c r="N340" s="9" t="s">
        <v>40</v>
      </c>
      <c r="Q340" s="9" t="s">
        <v>128</v>
      </c>
      <c r="R340" s="9" t="s">
        <v>42</v>
      </c>
      <c r="S340" s="10">
        <v>4000.0</v>
      </c>
      <c r="T340" s="11">
        <v>4000.0</v>
      </c>
      <c r="V340" s="9">
        <v>15.0</v>
      </c>
      <c r="W340" s="9" t="s">
        <v>1320</v>
      </c>
      <c r="X340" s="9" t="s">
        <v>1321</v>
      </c>
      <c r="Y340" s="9" t="s">
        <v>58</v>
      </c>
      <c r="Z340" s="9" t="s">
        <v>159</v>
      </c>
      <c r="AA340" s="9" t="s">
        <v>71</v>
      </c>
      <c r="AB340" s="9" t="s">
        <v>91</v>
      </c>
      <c r="AD340" s="9">
        <v>6.0</v>
      </c>
      <c r="AE340" s="9">
        <v>2.0</v>
      </c>
      <c r="AF340" s="9">
        <v>1.0</v>
      </c>
      <c r="AG340" s="12">
        <v>3000.0</v>
      </c>
      <c r="AH340" s="13"/>
    </row>
    <row r="341">
      <c r="A341" s="7">
        <v>44523.57481295139</v>
      </c>
      <c r="B341" s="8">
        <f t="shared" si="1"/>
        <v>2021</v>
      </c>
      <c r="C341" s="9" t="s">
        <v>49</v>
      </c>
      <c r="D341" s="9">
        <v>25.0</v>
      </c>
      <c r="E341" s="9" t="s">
        <v>35</v>
      </c>
      <c r="F341" s="9" t="s">
        <v>36</v>
      </c>
      <c r="G341" s="8" t="s">
        <v>50</v>
      </c>
      <c r="H341" s="9" t="s">
        <v>117</v>
      </c>
      <c r="I341" s="9" t="s">
        <v>38</v>
      </c>
      <c r="J341" s="9" t="s">
        <v>75</v>
      </c>
      <c r="K341" s="8" t="s">
        <v>476</v>
      </c>
      <c r="L341" s="9" t="s">
        <v>39</v>
      </c>
      <c r="M341" s="9" t="s">
        <v>40</v>
      </c>
      <c r="N341" s="9" t="s">
        <v>40</v>
      </c>
      <c r="Q341" s="9" t="s">
        <v>128</v>
      </c>
      <c r="R341" s="9" t="s">
        <v>42</v>
      </c>
      <c r="S341" s="10">
        <v>3000.0</v>
      </c>
      <c r="T341" s="11">
        <v>0.0</v>
      </c>
      <c r="U341" s="9">
        <v>0.0</v>
      </c>
      <c r="V341" s="9">
        <v>16.0</v>
      </c>
      <c r="W341" s="9" t="s">
        <v>1322</v>
      </c>
      <c r="X341" s="9" t="s">
        <v>1323</v>
      </c>
      <c r="Y341" s="9" t="s">
        <v>122</v>
      </c>
      <c r="Z341" s="9" t="s">
        <v>481</v>
      </c>
      <c r="AA341" s="9" t="s">
        <v>60</v>
      </c>
      <c r="AB341" s="9" t="s">
        <v>61</v>
      </c>
      <c r="AC341" s="9" t="s">
        <v>1324</v>
      </c>
      <c r="AD341" s="9">
        <v>8.0</v>
      </c>
      <c r="AE341" s="9">
        <v>2.0</v>
      </c>
      <c r="AF341" s="9">
        <v>0.0</v>
      </c>
      <c r="AG341" s="12">
        <v>3000.0</v>
      </c>
      <c r="AH341" s="13"/>
    </row>
    <row r="342">
      <c r="A342" s="7">
        <v>44582.803703240745</v>
      </c>
      <c r="B342" s="8">
        <f t="shared" si="1"/>
        <v>2022</v>
      </c>
      <c r="C342" s="9" t="s">
        <v>49</v>
      </c>
      <c r="D342" s="9">
        <v>31.0</v>
      </c>
      <c r="E342" s="9" t="s">
        <v>35</v>
      </c>
      <c r="F342" s="9" t="s">
        <v>36</v>
      </c>
      <c r="G342" s="8" t="s">
        <v>50</v>
      </c>
      <c r="H342" s="8" t="s">
        <v>493</v>
      </c>
      <c r="I342" s="9" t="s">
        <v>38</v>
      </c>
      <c r="J342" s="9" t="s">
        <v>1325</v>
      </c>
      <c r="K342" s="9" t="s">
        <v>944</v>
      </c>
      <c r="L342" s="9" t="s">
        <v>40</v>
      </c>
      <c r="M342" s="9" t="s">
        <v>39</v>
      </c>
      <c r="N342" s="9" t="s">
        <v>40</v>
      </c>
      <c r="O342" s="9" t="s">
        <v>1326</v>
      </c>
      <c r="Q342" s="9" t="s">
        <v>128</v>
      </c>
      <c r="R342" s="9" t="s">
        <v>42</v>
      </c>
      <c r="S342" s="10">
        <v>6500.0</v>
      </c>
      <c r="T342" s="11">
        <v>0.0</v>
      </c>
      <c r="U342" s="9">
        <v>0.0</v>
      </c>
      <c r="V342" s="9">
        <v>16.0</v>
      </c>
      <c r="W342" s="9" t="s">
        <v>1327</v>
      </c>
      <c r="X342" s="9" t="s">
        <v>1328</v>
      </c>
      <c r="Y342" s="9" t="s">
        <v>36</v>
      </c>
      <c r="Z342" s="9" t="s">
        <v>159</v>
      </c>
      <c r="AA342" s="9" t="s">
        <v>81</v>
      </c>
      <c r="AB342" s="9" t="s">
        <v>133</v>
      </c>
      <c r="AD342" s="9">
        <v>9.0</v>
      </c>
      <c r="AE342" s="9">
        <v>6.0</v>
      </c>
      <c r="AF342" s="9">
        <v>4.0</v>
      </c>
      <c r="AG342" s="12">
        <v>3000.0</v>
      </c>
      <c r="AH342" s="13"/>
    </row>
    <row r="343">
      <c r="A343" s="7">
        <v>44422.76725358797</v>
      </c>
      <c r="B343" s="8">
        <f t="shared" si="1"/>
        <v>2021</v>
      </c>
      <c r="C343" s="9" t="s">
        <v>49</v>
      </c>
      <c r="D343" s="9">
        <v>27.0</v>
      </c>
      <c r="E343" s="9" t="s">
        <v>35</v>
      </c>
      <c r="F343" s="9" t="s">
        <v>36</v>
      </c>
      <c r="G343" s="8" t="s">
        <v>124</v>
      </c>
      <c r="H343" s="9" t="s">
        <v>606</v>
      </c>
      <c r="I343" s="9" t="s">
        <v>38</v>
      </c>
      <c r="J343" s="9" t="s">
        <v>75</v>
      </c>
      <c r="K343" s="9" t="s">
        <v>1329</v>
      </c>
      <c r="L343" s="9" t="s">
        <v>39</v>
      </c>
      <c r="M343" s="9" t="s">
        <v>40</v>
      </c>
      <c r="N343" s="9" t="s">
        <v>40</v>
      </c>
      <c r="Q343" s="9" t="s">
        <v>146</v>
      </c>
      <c r="R343" s="9" t="s">
        <v>42</v>
      </c>
      <c r="S343" s="10">
        <v>4700.0</v>
      </c>
      <c r="T343" s="11">
        <v>8800.0</v>
      </c>
      <c r="U343" s="9">
        <v>0.0</v>
      </c>
      <c r="V343" s="9">
        <v>16.0</v>
      </c>
      <c r="W343" s="9" t="s">
        <v>1330</v>
      </c>
      <c r="X343" s="9" t="s">
        <v>87</v>
      </c>
      <c r="Y343" s="9" t="s">
        <v>131</v>
      </c>
      <c r="Z343" s="9" t="s">
        <v>105</v>
      </c>
      <c r="AA343" s="9" t="s">
        <v>132</v>
      </c>
      <c r="AB343" s="9" t="s">
        <v>61</v>
      </c>
      <c r="AD343" s="9">
        <v>9.0</v>
      </c>
      <c r="AE343" s="9">
        <v>3.0</v>
      </c>
      <c r="AF343" s="9">
        <v>2.0</v>
      </c>
      <c r="AG343" s="12">
        <v>3000.0</v>
      </c>
      <c r="AH343" s="13"/>
    </row>
    <row r="344">
      <c r="A344" s="7">
        <v>44421.548946469906</v>
      </c>
      <c r="B344" s="8">
        <f t="shared" si="1"/>
        <v>2021</v>
      </c>
      <c r="C344" s="9" t="s">
        <v>49</v>
      </c>
      <c r="D344" s="9">
        <v>29.0</v>
      </c>
      <c r="E344" s="9" t="s">
        <v>35</v>
      </c>
      <c r="F344" s="9" t="s">
        <v>246</v>
      </c>
      <c r="G344" s="8" t="s">
        <v>246</v>
      </c>
      <c r="H344" s="9" t="s">
        <v>246</v>
      </c>
      <c r="I344" s="9" t="s">
        <v>38</v>
      </c>
      <c r="L344" s="9" t="s">
        <v>39</v>
      </c>
      <c r="M344" s="9" t="s">
        <v>40</v>
      </c>
      <c r="N344" s="9" t="s">
        <v>40</v>
      </c>
      <c r="Q344" s="9" t="s">
        <v>128</v>
      </c>
      <c r="R344" s="9" t="s">
        <v>250</v>
      </c>
      <c r="S344" s="10">
        <v>6800.0</v>
      </c>
      <c r="T344" s="11">
        <v>0.0</v>
      </c>
      <c r="V344" s="9">
        <v>16.0</v>
      </c>
      <c r="W344" s="9" t="s">
        <v>393</v>
      </c>
      <c r="X344" s="9" t="s">
        <v>1331</v>
      </c>
      <c r="Y344" s="9" t="s">
        <v>246</v>
      </c>
      <c r="Z344" s="9" t="s">
        <v>59</v>
      </c>
      <c r="AA344" s="9" t="s">
        <v>71</v>
      </c>
      <c r="AB344" s="9" t="s">
        <v>61</v>
      </c>
      <c r="AD344" s="9">
        <v>8.0</v>
      </c>
      <c r="AE344" s="9">
        <v>7.0</v>
      </c>
      <c r="AF344" s="9">
        <v>2.0</v>
      </c>
      <c r="AG344" s="12">
        <v>3000.0</v>
      </c>
      <c r="AH344" s="13"/>
    </row>
    <row r="345">
      <c r="A345" s="7">
        <v>44580.89462688657</v>
      </c>
      <c r="B345" s="8">
        <f t="shared" si="1"/>
        <v>2022</v>
      </c>
      <c r="C345" s="9" t="s">
        <v>73</v>
      </c>
      <c r="D345" s="9">
        <v>26.0</v>
      </c>
      <c r="E345" s="9" t="s">
        <v>35</v>
      </c>
      <c r="F345" s="9" t="s">
        <v>36</v>
      </c>
      <c r="G345" s="8" t="s">
        <v>50</v>
      </c>
      <c r="H345" s="9" t="s">
        <v>106</v>
      </c>
      <c r="I345" s="9" t="s">
        <v>38</v>
      </c>
      <c r="J345" s="9" t="s">
        <v>1332</v>
      </c>
      <c r="K345" s="9" t="s">
        <v>134</v>
      </c>
      <c r="L345" s="9" t="s">
        <v>39</v>
      </c>
      <c r="M345" s="9" t="s">
        <v>40</v>
      </c>
      <c r="N345" s="9" t="s">
        <v>40</v>
      </c>
      <c r="Q345" s="9" t="s">
        <v>1333</v>
      </c>
      <c r="R345" s="9" t="s">
        <v>42</v>
      </c>
      <c r="S345" s="10">
        <v>3590.0</v>
      </c>
      <c r="T345" s="11">
        <v>6590.0</v>
      </c>
      <c r="V345" s="9">
        <v>16.0</v>
      </c>
      <c r="W345" s="9" t="s">
        <v>1334</v>
      </c>
      <c r="X345" s="9" t="s">
        <v>1335</v>
      </c>
      <c r="Y345" s="9" t="s">
        <v>106</v>
      </c>
      <c r="Z345" s="9" t="s">
        <v>59</v>
      </c>
      <c r="AA345" s="9" t="s">
        <v>60</v>
      </c>
      <c r="AB345" s="9" t="s">
        <v>61</v>
      </c>
      <c r="AD345" s="9">
        <v>6.0</v>
      </c>
      <c r="AE345" s="9">
        <v>2.0</v>
      </c>
      <c r="AF345" s="9">
        <v>0.0</v>
      </c>
      <c r="AG345" s="12">
        <v>3000.0</v>
      </c>
      <c r="AH345" s="13"/>
    </row>
    <row r="346">
      <c r="A346" s="7">
        <v>44415.89479446759</v>
      </c>
      <c r="B346" s="8">
        <f t="shared" si="1"/>
        <v>2021</v>
      </c>
      <c r="C346" s="9" t="s">
        <v>49</v>
      </c>
      <c r="D346" s="9">
        <v>30.0</v>
      </c>
      <c r="E346" s="9" t="s">
        <v>35</v>
      </c>
      <c r="F346" s="9" t="s">
        <v>36</v>
      </c>
      <c r="G346" s="8" t="s">
        <v>50</v>
      </c>
      <c r="H346" s="8" t="s">
        <v>99</v>
      </c>
      <c r="I346" s="9" t="s">
        <v>38</v>
      </c>
      <c r="J346" s="9" t="s">
        <v>160</v>
      </c>
      <c r="K346" s="9" t="s">
        <v>166</v>
      </c>
      <c r="L346" s="9" t="s">
        <v>39</v>
      </c>
      <c r="M346" s="9" t="s">
        <v>40</v>
      </c>
      <c r="N346" s="9" t="s">
        <v>40</v>
      </c>
      <c r="Q346" s="9" t="s">
        <v>119</v>
      </c>
      <c r="R346" s="9" t="s">
        <v>42</v>
      </c>
      <c r="S346" s="10">
        <v>9350.0</v>
      </c>
      <c r="T346" s="11">
        <v>18000.0</v>
      </c>
      <c r="V346" s="9">
        <v>16.0</v>
      </c>
      <c r="W346" s="9" t="s">
        <v>1336</v>
      </c>
      <c r="X346" s="9" t="s">
        <v>1337</v>
      </c>
      <c r="Y346" s="9" t="s">
        <v>1338</v>
      </c>
      <c r="Z346" s="9" t="s">
        <v>70</v>
      </c>
      <c r="AA346" s="9" t="s">
        <v>132</v>
      </c>
      <c r="AB346" s="9" t="s">
        <v>91</v>
      </c>
      <c r="AC346" s="9" t="s">
        <v>1339</v>
      </c>
      <c r="AD346" s="9">
        <v>7.0</v>
      </c>
      <c r="AE346" s="9">
        <v>8.0</v>
      </c>
      <c r="AF346" s="9">
        <v>3.0</v>
      </c>
      <c r="AG346" s="12">
        <v>3000.0</v>
      </c>
      <c r="AH346" s="13"/>
    </row>
    <row r="347">
      <c r="A347" s="7">
        <v>44408.75613238426</v>
      </c>
      <c r="B347" s="8">
        <f t="shared" si="1"/>
        <v>2021</v>
      </c>
      <c r="C347" s="9" t="s">
        <v>49</v>
      </c>
      <c r="D347" s="9">
        <v>27.0</v>
      </c>
      <c r="E347" s="9" t="s">
        <v>35</v>
      </c>
      <c r="F347" s="9" t="s">
        <v>36</v>
      </c>
      <c r="G347" s="8" t="s">
        <v>124</v>
      </c>
      <c r="H347" s="9" t="s">
        <v>1340</v>
      </c>
      <c r="I347" s="9" t="s">
        <v>38</v>
      </c>
      <c r="J347" s="9" t="s">
        <v>75</v>
      </c>
      <c r="K347" s="9" t="s">
        <v>84</v>
      </c>
      <c r="L347" s="9" t="s">
        <v>39</v>
      </c>
      <c r="M347" s="9" t="s">
        <v>40</v>
      </c>
      <c r="N347" s="9" t="s">
        <v>40</v>
      </c>
      <c r="Q347" s="9" t="s">
        <v>119</v>
      </c>
      <c r="R347" s="9" t="s">
        <v>42</v>
      </c>
      <c r="S347" s="10">
        <v>600.0</v>
      </c>
      <c r="T347" s="11">
        <v>600.0</v>
      </c>
      <c r="U347" s="9">
        <v>0.0</v>
      </c>
      <c r="V347" s="9">
        <v>17.0</v>
      </c>
      <c r="W347" s="9" t="s">
        <v>1341</v>
      </c>
      <c r="X347" s="9" t="s">
        <v>1342</v>
      </c>
      <c r="Y347" s="9" t="s">
        <v>131</v>
      </c>
      <c r="Z347" s="9" t="s">
        <v>1343</v>
      </c>
      <c r="AA347" s="9" t="s">
        <v>132</v>
      </c>
      <c r="AB347" s="9" t="s">
        <v>61</v>
      </c>
      <c r="AD347" s="9">
        <v>6.0</v>
      </c>
      <c r="AE347" s="9">
        <v>5.0</v>
      </c>
      <c r="AF347" s="9">
        <v>1.0</v>
      </c>
      <c r="AG347" s="12">
        <v>3000.0</v>
      </c>
      <c r="AH347" s="13"/>
    </row>
    <row r="348">
      <c r="A348" s="7">
        <v>44495.08046652778</v>
      </c>
      <c r="B348" s="8">
        <f t="shared" si="1"/>
        <v>2021</v>
      </c>
      <c r="C348" s="9" t="s">
        <v>49</v>
      </c>
      <c r="D348" s="9">
        <v>26.0</v>
      </c>
      <c r="E348" s="9" t="s">
        <v>35</v>
      </c>
      <c r="F348" s="9" t="s">
        <v>36</v>
      </c>
      <c r="G348" s="8" t="s">
        <v>124</v>
      </c>
      <c r="H348" s="9" t="s">
        <v>460</v>
      </c>
      <c r="I348" s="9" t="s">
        <v>38</v>
      </c>
      <c r="J348" s="9" t="s">
        <v>1344</v>
      </c>
      <c r="K348" s="9" t="s">
        <v>66</v>
      </c>
      <c r="L348" s="9" t="s">
        <v>39</v>
      </c>
      <c r="M348" s="9" t="s">
        <v>40</v>
      </c>
      <c r="N348" s="9" t="s">
        <v>40</v>
      </c>
      <c r="Q348" s="9" t="s">
        <v>146</v>
      </c>
      <c r="R348" s="9" t="s">
        <v>42</v>
      </c>
      <c r="S348" s="10">
        <v>4000.0</v>
      </c>
      <c r="T348" s="11">
        <v>0.0</v>
      </c>
      <c r="U348" s="9">
        <v>0.0</v>
      </c>
      <c r="V348" s="9">
        <v>18.0</v>
      </c>
      <c r="W348" s="9" t="s">
        <v>1345</v>
      </c>
      <c r="X348" s="9" t="s">
        <v>1346</v>
      </c>
      <c r="Y348" s="9" t="s">
        <v>122</v>
      </c>
      <c r="Z348" s="9" t="s">
        <v>1347</v>
      </c>
      <c r="AA348" s="9" t="s">
        <v>81</v>
      </c>
      <c r="AB348" s="9" t="s">
        <v>61</v>
      </c>
      <c r="AD348" s="9">
        <v>6.0</v>
      </c>
      <c r="AE348" s="9">
        <v>2.0</v>
      </c>
      <c r="AF348" s="9">
        <v>1.0</v>
      </c>
      <c r="AG348" s="12">
        <v>3000.0</v>
      </c>
      <c r="AH348" s="13"/>
    </row>
    <row r="349">
      <c r="A349" s="7">
        <v>44415.926080370366</v>
      </c>
      <c r="B349" s="8">
        <f t="shared" si="1"/>
        <v>2021</v>
      </c>
      <c r="C349" s="9" t="s">
        <v>49</v>
      </c>
      <c r="D349" s="9">
        <v>27.0</v>
      </c>
      <c r="E349" s="9" t="s">
        <v>142</v>
      </c>
      <c r="F349" s="9" t="s">
        <v>36</v>
      </c>
      <c r="G349" s="9" t="s">
        <v>124</v>
      </c>
      <c r="H349" s="9" t="s">
        <v>460</v>
      </c>
      <c r="I349" s="9" t="s">
        <v>38</v>
      </c>
      <c r="J349" s="9" t="s">
        <v>75</v>
      </c>
      <c r="K349" s="9" t="s">
        <v>161</v>
      </c>
      <c r="L349" s="9" t="s">
        <v>39</v>
      </c>
      <c r="M349" s="9" t="s">
        <v>40</v>
      </c>
      <c r="N349" s="9" t="s">
        <v>39</v>
      </c>
      <c r="P349" s="9" t="s">
        <v>1348</v>
      </c>
      <c r="Q349" s="9" t="s">
        <v>128</v>
      </c>
      <c r="R349" s="9" t="s">
        <v>42</v>
      </c>
      <c r="S349" s="10">
        <v>5830.0</v>
      </c>
      <c r="T349" s="11">
        <v>2520.0</v>
      </c>
      <c r="U349" s="9">
        <v>0.0</v>
      </c>
      <c r="V349" s="9">
        <v>18.0</v>
      </c>
      <c r="W349" s="9" t="s">
        <v>1349</v>
      </c>
      <c r="X349" s="23" t="s">
        <v>1350</v>
      </c>
      <c r="Y349" s="9" t="s">
        <v>122</v>
      </c>
      <c r="Z349" s="9" t="s">
        <v>59</v>
      </c>
      <c r="AA349" s="9" t="s">
        <v>81</v>
      </c>
      <c r="AB349" s="9" t="s">
        <v>61</v>
      </c>
      <c r="AC349" s="9" t="s">
        <v>1351</v>
      </c>
      <c r="AD349" s="9">
        <v>7.0</v>
      </c>
      <c r="AE349" s="9">
        <v>6.0</v>
      </c>
      <c r="AF349" s="9">
        <v>1.0</v>
      </c>
      <c r="AG349" s="12">
        <v>3000.0</v>
      </c>
      <c r="AH349" s="13"/>
    </row>
    <row r="350">
      <c r="A350" s="7">
        <v>44423.402150787035</v>
      </c>
      <c r="B350" s="8">
        <f t="shared" si="1"/>
        <v>2021</v>
      </c>
      <c r="C350" s="9" t="s">
        <v>73</v>
      </c>
      <c r="D350" s="9">
        <v>33.0</v>
      </c>
      <c r="E350" s="9" t="s">
        <v>35</v>
      </c>
      <c r="F350" s="9" t="s">
        <v>36</v>
      </c>
      <c r="G350" s="8" t="s">
        <v>124</v>
      </c>
      <c r="H350" s="9" t="s">
        <v>606</v>
      </c>
      <c r="I350" s="9" t="s">
        <v>38</v>
      </c>
      <c r="J350" s="9" t="s">
        <v>75</v>
      </c>
      <c r="K350" s="9" t="s">
        <v>988</v>
      </c>
      <c r="L350" s="9" t="s">
        <v>39</v>
      </c>
      <c r="M350" s="9" t="s">
        <v>40</v>
      </c>
      <c r="N350" s="9" t="s">
        <v>39</v>
      </c>
      <c r="P350" s="9" t="s">
        <v>1352</v>
      </c>
      <c r="Q350" s="8" t="s">
        <v>602</v>
      </c>
      <c r="R350" s="9" t="s">
        <v>42</v>
      </c>
      <c r="S350" s="10">
        <v>9000.0</v>
      </c>
      <c r="T350" s="11">
        <v>9000.0</v>
      </c>
      <c r="U350" s="9">
        <v>0.0</v>
      </c>
      <c r="V350" s="9">
        <v>18.0</v>
      </c>
      <c r="W350" s="9" t="s">
        <v>1353</v>
      </c>
      <c r="X350" s="9" t="s">
        <v>384</v>
      </c>
      <c r="Y350" s="9" t="s">
        <v>1354</v>
      </c>
      <c r="Z350" s="9" t="s">
        <v>59</v>
      </c>
      <c r="AA350" s="9" t="s">
        <v>60</v>
      </c>
      <c r="AB350" s="9" t="s">
        <v>91</v>
      </c>
      <c r="AD350" s="9">
        <v>6.0</v>
      </c>
      <c r="AE350" s="9">
        <v>8.0</v>
      </c>
      <c r="AF350" s="9">
        <v>2.0</v>
      </c>
      <c r="AG350" s="12">
        <v>3000.0</v>
      </c>
      <c r="AH350" s="13"/>
    </row>
    <row r="351">
      <c r="A351" s="7">
        <v>44421.82445560185</v>
      </c>
      <c r="B351" s="8">
        <f t="shared" si="1"/>
        <v>2021</v>
      </c>
      <c r="C351" s="9" t="s">
        <v>49</v>
      </c>
      <c r="D351" s="9">
        <v>28.0</v>
      </c>
      <c r="E351" s="9" t="s">
        <v>35</v>
      </c>
      <c r="F351" s="9" t="s">
        <v>36</v>
      </c>
      <c r="G351" s="8" t="s">
        <v>50</v>
      </c>
      <c r="H351" s="9" t="s">
        <v>106</v>
      </c>
      <c r="I351" s="9" t="s">
        <v>38</v>
      </c>
      <c r="J351" s="9" t="s">
        <v>160</v>
      </c>
      <c r="K351" s="9" t="s">
        <v>84</v>
      </c>
      <c r="L351" s="9" t="s">
        <v>39</v>
      </c>
      <c r="M351" s="9" t="s">
        <v>40</v>
      </c>
      <c r="N351" s="9" t="s">
        <v>40</v>
      </c>
      <c r="Q351" s="9" t="s">
        <v>119</v>
      </c>
      <c r="R351" s="9" t="s">
        <v>42</v>
      </c>
      <c r="S351" s="10">
        <v>7500.0</v>
      </c>
      <c r="T351" s="11">
        <v>22500.0</v>
      </c>
      <c r="U351" s="9">
        <v>0.0</v>
      </c>
      <c r="V351" s="9">
        <v>18.0</v>
      </c>
      <c r="W351" s="9" t="s">
        <v>1355</v>
      </c>
      <c r="X351" s="9" t="s">
        <v>1356</v>
      </c>
      <c r="Y351" s="9" t="s">
        <v>122</v>
      </c>
      <c r="Z351" s="9" t="s">
        <v>297</v>
      </c>
      <c r="AA351" s="9" t="s">
        <v>71</v>
      </c>
      <c r="AB351" s="9" t="s">
        <v>61</v>
      </c>
      <c r="AD351" s="9">
        <v>7.0</v>
      </c>
      <c r="AE351" s="9">
        <v>6.0</v>
      </c>
      <c r="AF351" s="9">
        <v>0.0</v>
      </c>
      <c r="AG351" s="12">
        <v>3000.0</v>
      </c>
      <c r="AH351" s="13"/>
    </row>
    <row r="352">
      <c r="A352" s="7">
        <v>44438.95748709491</v>
      </c>
      <c r="B352" s="8">
        <f t="shared" si="1"/>
        <v>2021</v>
      </c>
      <c r="C352" s="9" t="s">
        <v>49</v>
      </c>
      <c r="D352" s="9">
        <v>30.0</v>
      </c>
      <c r="E352" s="9" t="s">
        <v>35</v>
      </c>
      <c r="F352" s="9" t="s">
        <v>36</v>
      </c>
      <c r="G352" s="9" t="s">
        <v>37</v>
      </c>
      <c r="H352" s="8" t="s">
        <v>37</v>
      </c>
      <c r="I352" s="9" t="s">
        <v>38</v>
      </c>
      <c r="J352" s="9" t="s">
        <v>126</v>
      </c>
      <c r="K352" s="9" t="s">
        <v>53</v>
      </c>
      <c r="L352" s="9" t="s">
        <v>39</v>
      </c>
      <c r="M352" s="9" t="s">
        <v>40</v>
      </c>
      <c r="N352" s="9" t="s">
        <v>40</v>
      </c>
      <c r="Q352" s="9" t="s">
        <v>119</v>
      </c>
      <c r="R352" s="9" t="s">
        <v>42</v>
      </c>
      <c r="S352" s="10">
        <v>15000.0</v>
      </c>
      <c r="T352" s="11">
        <v>30000.0</v>
      </c>
      <c r="U352" s="9">
        <v>0.0</v>
      </c>
      <c r="V352" s="9">
        <v>18.0</v>
      </c>
      <c r="W352" s="9" t="s">
        <v>1357</v>
      </c>
      <c r="X352" s="9" t="s">
        <v>1358</v>
      </c>
      <c r="Y352" s="9" t="s">
        <v>36</v>
      </c>
      <c r="Z352" s="9" t="s">
        <v>297</v>
      </c>
      <c r="AA352" s="9" t="s">
        <v>132</v>
      </c>
      <c r="AB352" s="9" t="s">
        <v>91</v>
      </c>
      <c r="AD352" s="9">
        <v>9.0</v>
      </c>
      <c r="AE352" s="9">
        <v>8.0</v>
      </c>
      <c r="AF352" s="9">
        <v>3.0</v>
      </c>
      <c r="AG352" s="12">
        <v>3000.0</v>
      </c>
      <c r="AH352" s="13"/>
    </row>
    <row r="353">
      <c r="A353" s="7">
        <v>44411.376242962964</v>
      </c>
      <c r="B353" s="8">
        <f t="shared" si="1"/>
        <v>2021</v>
      </c>
      <c r="C353" s="9" t="s">
        <v>49</v>
      </c>
      <c r="D353" s="9">
        <v>29.0</v>
      </c>
      <c r="E353" s="9" t="s">
        <v>35</v>
      </c>
      <c r="F353" s="9" t="s">
        <v>36</v>
      </c>
      <c r="G353" s="8" t="s">
        <v>50</v>
      </c>
      <c r="H353" s="8" t="s">
        <v>180</v>
      </c>
      <c r="I353" s="9" t="s">
        <v>38</v>
      </c>
      <c r="J353" s="9" t="s">
        <v>1359</v>
      </c>
      <c r="K353" s="9" t="s">
        <v>84</v>
      </c>
      <c r="L353" s="9" t="s">
        <v>39</v>
      </c>
      <c r="M353" s="9" t="s">
        <v>40</v>
      </c>
      <c r="N353" s="9" t="s">
        <v>40</v>
      </c>
      <c r="P353" s="9" t="s">
        <v>1360</v>
      </c>
      <c r="Q353" s="9" t="s">
        <v>1361</v>
      </c>
      <c r="R353" s="9" t="s">
        <v>42</v>
      </c>
      <c r="S353" s="10">
        <v>8000.0</v>
      </c>
      <c r="T353" s="11">
        <v>50000.0</v>
      </c>
      <c r="U353" s="9">
        <v>0.0</v>
      </c>
      <c r="V353" s="9">
        <v>18.0</v>
      </c>
      <c r="W353" s="9" t="s">
        <v>1362</v>
      </c>
      <c r="X353" s="9" t="s">
        <v>1363</v>
      </c>
      <c r="Y353" s="9" t="s">
        <v>122</v>
      </c>
      <c r="Z353" s="9" t="s">
        <v>59</v>
      </c>
      <c r="AA353" s="9" t="s">
        <v>81</v>
      </c>
      <c r="AB353" s="9" t="s">
        <v>91</v>
      </c>
      <c r="AD353" s="9">
        <v>10.0</v>
      </c>
      <c r="AE353" s="9">
        <v>6.0</v>
      </c>
      <c r="AF353" s="9">
        <v>4.0</v>
      </c>
      <c r="AG353" s="12">
        <v>3000.0</v>
      </c>
      <c r="AH353" s="13"/>
    </row>
    <row r="354">
      <c r="A354" s="7">
        <v>44406.890182800926</v>
      </c>
      <c r="B354" s="8">
        <f t="shared" si="1"/>
        <v>2021</v>
      </c>
      <c r="C354" s="9" t="s">
        <v>49</v>
      </c>
      <c r="D354" s="9">
        <v>30.0</v>
      </c>
      <c r="E354" s="9" t="s">
        <v>35</v>
      </c>
      <c r="F354" s="9" t="s">
        <v>36</v>
      </c>
      <c r="G354" s="8" t="s">
        <v>50</v>
      </c>
      <c r="H354" s="9" t="s">
        <v>106</v>
      </c>
      <c r="I354" s="9" t="s">
        <v>38</v>
      </c>
      <c r="J354" s="9" t="s">
        <v>143</v>
      </c>
      <c r="K354" s="9" t="s">
        <v>414</v>
      </c>
      <c r="L354" s="9" t="s">
        <v>40</v>
      </c>
      <c r="M354" s="9" t="s">
        <v>39</v>
      </c>
      <c r="N354" s="9" t="s">
        <v>40</v>
      </c>
      <c r="O354" s="9" t="s">
        <v>1364</v>
      </c>
      <c r="Q354" s="9" t="s">
        <v>128</v>
      </c>
      <c r="R354" s="9" t="s">
        <v>42</v>
      </c>
      <c r="S354" s="10">
        <v>6500.0</v>
      </c>
      <c r="T354" s="11">
        <v>0.0</v>
      </c>
      <c r="U354" s="9">
        <v>0.0</v>
      </c>
      <c r="V354" s="9">
        <v>20.0</v>
      </c>
      <c r="W354" s="9" t="s">
        <v>1365</v>
      </c>
      <c r="X354" s="9" t="s">
        <v>1366</v>
      </c>
      <c r="Y354" s="9" t="s">
        <v>58</v>
      </c>
      <c r="Z354" s="9" t="s">
        <v>268</v>
      </c>
      <c r="AA354" s="9" t="s">
        <v>81</v>
      </c>
      <c r="AB354" s="9" t="s">
        <v>61</v>
      </c>
      <c r="AC354" s="9" t="s">
        <v>1367</v>
      </c>
      <c r="AD354" s="9">
        <v>3.0</v>
      </c>
      <c r="AE354" s="9">
        <v>5.0</v>
      </c>
      <c r="AF354" s="9">
        <v>2.0</v>
      </c>
      <c r="AG354" s="12">
        <v>3000.0</v>
      </c>
      <c r="AH354" s="13"/>
    </row>
    <row r="355">
      <c r="A355" s="7">
        <v>44414.459133136574</v>
      </c>
      <c r="B355" s="8">
        <f t="shared" si="1"/>
        <v>2021</v>
      </c>
      <c r="C355" s="9" t="s">
        <v>73</v>
      </c>
      <c r="D355" s="9">
        <v>26.0</v>
      </c>
      <c r="E355" s="9" t="s">
        <v>35</v>
      </c>
      <c r="F355" s="9" t="s">
        <v>36</v>
      </c>
      <c r="G355" s="8" t="s">
        <v>74</v>
      </c>
      <c r="H355" s="8" t="s">
        <v>482</v>
      </c>
      <c r="I355" s="9" t="s">
        <v>247</v>
      </c>
      <c r="J355" s="9" t="s">
        <v>1368</v>
      </c>
      <c r="K355" s="9" t="s">
        <v>1369</v>
      </c>
      <c r="L355" s="9" t="s">
        <v>40</v>
      </c>
      <c r="M355" s="9" t="s">
        <v>39</v>
      </c>
      <c r="N355" s="9" t="s">
        <v>40</v>
      </c>
      <c r="O355" s="9" t="s">
        <v>1370</v>
      </c>
      <c r="Q355" s="9" t="s">
        <v>281</v>
      </c>
      <c r="R355" s="9" t="s">
        <v>42</v>
      </c>
      <c r="S355" s="10">
        <v>4400.0</v>
      </c>
      <c r="T355" s="11">
        <v>3000.0</v>
      </c>
      <c r="U355" s="9">
        <v>0.0</v>
      </c>
      <c r="V355" s="9">
        <v>20.0</v>
      </c>
      <c r="W355" s="9" t="s">
        <v>1371</v>
      </c>
      <c r="X355" s="9" t="s">
        <v>1372</v>
      </c>
      <c r="Y355" s="9" t="s">
        <v>79</v>
      </c>
      <c r="Z355" s="9" t="s">
        <v>481</v>
      </c>
      <c r="AA355" s="9" t="s">
        <v>71</v>
      </c>
      <c r="AB355" s="9" t="s">
        <v>61</v>
      </c>
      <c r="AD355" s="9">
        <v>8.0</v>
      </c>
      <c r="AE355" s="9">
        <v>3.0</v>
      </c>
      <c r="AF355" s="9">
        <v>3.0</v>
      </c>
      <c r="AG355" s="12">
        <v>3000.0</v>
      </c>
      <c r="AH355" s="13"/>
    </row>
    <row r="356">
      <c r="A356" s="7">
        <v>44408.626185625</v>
      </c>
      <c r="B356" s="8">
        <f t="shared" si="1"/>
        <v>2021</v>
      </c>
      <c r="C356" s="9" t="s">
        <v>49</v>
      </c>
      <c r="D356" s="9">
        <v>27.0</v>
      </c>
      <c r="E356" s="9" t="s">
        <v>35</v>
      </c>
      <c r="F356" s="9" t="s">
        <v>36</v>
      </c>
      <c r="G356" s="8" t="s">
        <v>124</v>
      </c>
      <c r="H356" s="9" t="s">
        <v>206</v>
      </c>
      <c r="I356" s="9" t="s">
        <v>38</v>
      </c>
      <c r="J356" s="9" t="s">
        <v>1373</v>
      </c>
      <c r="K356" s="9" t="s">
        <v>234</v>
      </c>
      <c r="L356" s="9" t="s">
        <v>40</v>
      </c>
      <c r="M356" s="9" t="s">
        <v>40</v>
      </c>
      <c r="N356" s="9" t="s">
        <v>40</v>
      </c>
      <c r="Q356" s="9" t="s">
        <v>128</v>
      </c>
      <c r="R356" s="9" t="s">
        <v>42</v>
      </c>
      <c r="S356" s="10">
        <v>5000.0</v>
      </c>
      <c r="T356" s="11">
        <v>3900.0</v>
      </c>
      <c r="U356" s="9">
        <v>0.0</v>
      </c>
      <c r="V356" s="9">
        <v>21.0</v>
      </c>
      <c r="W356" s="9" t="s">
        <v>1374</v>
      </c>
      <c r="X356" s="9" t="s">
        <v>224</v>
      </c>
      <c r="Y356" s="9" t="s">
        <v>296</v>
      </c>
      <c r="Z356" s="9" t="s">
        <v>59</v>
      </c>
      <c r="AA356" s="9" t="s">
        <v>132</v>
      </c>
      <c r="AB356" s="9" t="s">
        <v>61</v>
      </c>
      <c r="AD356" s="9">
        <v>7.0</v>
      </c>
      <c r="AE356" s="9">
        <v>3.0</v>
      </c>
      <c r="AF356" s="9">
        <v>0.0</v>
      </c>
      <c r="AG356" s="12">
        <v>3000.0</v>
      </c>
      <c r="AH356" s="13"/>
    </row>
    <row r="357">
      <c r="A357" s="7">
        <v>44416.911722986115</v>
      </c>
      <c r="B357" s="8">
        <f t="shared" si="1"/>
        <v>2021</v>
      </c>
      <c r="C357" s="9" t="s">
        <v>49</v>
      </c>
      <c r="D357" s="9">
        <v>26.0</v>
      </c>
      <c r="E357" s="9" t="s">
        <v>35</v>
      </c>
      <c r="F357" s="9" t="s">
        <v>36</v>
      </c>
      <c r="G357" s="8" t="s">
        <v>124</v>
      </c>
      <c r="H357" s="9" t="s">
        <v>296</v>
      </c>
      <c r="I357" s="9" t="s">
        <v>38</v>
      </c>
      <c r="J357" s="9" t="s">
        <v>75</v>
      </c>
      <c r="K357" s="9" t="s">
        <v>161</v>
      </c>
      <c r="L357" s="9" t="s">
        <v>39</v>
      </c>
      <c r="M357" s="9" t="s">
        <v>40</v>
      </c>
      <c r="N357" s="9" t="s">
        <v>40</v>
      </c>
      <c r="Q357" s="9" t="s">
        <v>146</v>
      </c>
      <c r="R357" s="9" t="s">
        <v>42</v>
      </c>
      <c r="S357" s="10">
        <v>4200.0</v>
      </c>
      <c r="T357" s="11">
        <v>2100.0</v>
      </c>
      <c r="U357" s="9">
        <v>0.0</v>
      </c>
      <c r="V357" s="9">
        <v>22.0</v>
      </c>
      <c r="W357" s="9" t="s">
        <v>1375</v>
      </c>
      <c r="X357" s="9" t="s">
        <v>1376</v>
      </c>
      <c r="Y357" s="9" t="s">
        <v>122</v>
      </c>
      <c r="Z357" s="9" t="s">
        <v>1343</v>
      </c>
      <c r="AA357" s="9" t="s">
        <v>132</v>
      </c>
      <c r="AB357" s="9" t="s">
        <v>61</v>
      </c>
      <c r="AD357" s="9">
        <v>6.0</v>
      </c>
      <c r="AE357" s="9">
        <v>3.0</v>
      </c>
      <c r="AF357" s="9">
        <v>1.0</v>
      </c>
      <c r="AG357" s="12">
        <v>3000.0</v>
      </c>
      <c r="AH357" s="13"/>
    </row>
    <row r="358">
      <c r="A358" s="7">
        <v>44405.49727569445</v>
      </c>
      <c r="B358" s="8">
        <f t="shared" si="1"/>
        <v>2021</v>
      </c>
      <c r="C358" s="9" t="s">
        <v>49</v>
      </c>
      <c r="D358" s="9">
        <v>27.0</v>
      </c>
      <c r="E358" s="9" t="s">
        <v>35</v>
      </c>
      <c r="F358" s="9" t="s">
        <v>36</v>
      </c>
      <c r="G358" s="8" t="s">
        <v>50</v>
      </c>
      <c r="H358" s="9" t="s">
        <v>298</v>
      </c>
      <c r="I358" s="9" t="s">
        <v>38</v>
      </c>
      <c r="J358" s="9" t="s">
        <v>75</v>
      </c>
      <c r="K358" s="9" t="s">
        <v>84</v>
      </c>
      <c r="L358" s="9" t="s">
        <v>39</v>
      </c>
      <c r="M358" s="9" t="s">
        <v>40</v>
      </c>
      <c r="N358" s="9" t="s">
        <v>40</v>
      </c>
      <c r="Q358" s="9" t="s">
        <v>119</v>
      </c>
      <c r="R358" s="9" t="s">
        <v>42</v>
      </c>
      <c r="S358" s="10">
        <v>11000.0</v>
      </c>
      <c r="T358" s="11">
        <v>25000.0</v>
      </c>
      <c r="U358" s="9">
        <v>0.0</v>
      </c>
      <c r="V358" s="9">
        <v>22.0</v>
      </c>
      <c r="W358" s="9" t="s">
        <v>1377</v>
      </c>
      <c r="X358" s="9" t="s">
        <v>1378</v>
      </c>
      <c r="Y358" s="9" t="s">
        <v>131</v>
      </c>
      <c r="Z358" s="9" t="s">
        <v>105</v>
      </c>
      <c r="AA358" s="9" t="s">
        <v>60</v>
      </c>
      <c r="AB358" s="9" t="s">
        <v>91</v>
      </c>
      <c r="AD358" s="9">
        <v>7.0</v>
      </c>
      <c r="AE358" s="9">
        <v>6.0</v>
      </c>
      <c r="AF358" s="9">
        <v>1.0</v>
      </c>
      <c r="AG358" s="12">
        <v>3000.0</v>
      </c>
      <c r="AH358" s="13"/>
    </row>
    <row r="359">
      <c r="A359" s="7">
        <v>44459.090468888884</v>
      </c>
      <c r="B359" s="8">
        <f t="shared" si="1"/>
        <v>2021</v>
      </c>
      <c r="C359" s="9" t="s">
        <v>49</v>
      </c>
      <c r="D359" s="9">
        <v>28.0</v>
      </c>
      <c r="E359" s="9" t="s">
        <v>35</v>
      </c>
      <c r="F359" s="9" t="s">
        <v>36</v>
      </c>
      <c r="G359" s="8" t="s">
        <v>124</v>
      </c>
      <c r="H359" s="9" t="s">
        <v>156</v>
      </c>
      <c r="I359" s="9" t="s">
        <v>38</v>
      </c>
      <c r="J359" s="9" t="s">
        <v>160</v>
      </c>
      <c r="K359" s="9" t="s">
        <v>490</v>
      </c>
      <c r="L359" s="9" t="s">
        <v>39</v>
      </c>
      <c r="M359" s="9" t="s">
        <v>39</v>
      </c>
      <c r="N359" s="9" t="s">
        <v>39</v>
      </c>
      <c r="O359" s="9" t="s">
        <v>1379</v>
      </c>
      <c r="P359" s="9" t="s">
        <v>1380</v>
      </c>
      <c r="Q359" s="9" t="s">
        <v>128</v>
      </c>
      <c r="R359" s="9" t="s">
        <v>42</v>
      </c>
      <c r="S359" s="10">
        <v>11500.0</v>
      </c>
      <c r="T359" s="11">
        <v>34500.0</v>
      </c>
      <c r="U359" s="9">
        <v>0.0</v>
      </c>
      <c r="V359" s="9">
        <v>22.0</v>
      </c>
      <c r="W359" s="9" t="s">
        <v>1381</v>
      </c>
      <c r="X359" s="9" t="s">
        <v>1382</v>
      </c>
      <c r="Y359" s="9" t="s">
        <v>122</v>
      </c>
      <c r="Z359" s="9" t="s">
        <v>481</v>
      </c>
      <c r="AA359" s="9" t="s">
        <v>81</v>
      </c>
      <c r="AB359" s="9" t="s">
        <v>91</v>
      </c>
      <c r="AD359" s="9">
        <v>8.0</v>
      </c>
      <c r="AE359" s="9">
        <v>6.0</v>
      </c>
      <c r="AF359" s="9">
        <v>3.0</v>
      </c>
      <c r="AG359" s="12">
        <v>3000.0</v>
      </c>
      <c r="AH359" s="13"/>
    </row>
    <row r="360">
      <c r="A360" s="7">
        <v>44430.762492939815</v>
      </c>
      <c r="B360" s="8">
        <f t="shared" si="1"/>
        <v>2021</v>
      </c>
      <c r="C360" s="9" t="s">
        <v>49</v>
      </c>
      <c r="D360" s="9">
        <v>24.0</v>
      </c>
      <c r="E360" s="9" t="s">
        <v>35</v>
      </c>
      <c r="F360" s="9" t="s">
        <v>36</v>
      </c>
      <c r="G360" s="8" t="s">
        <v>50</v>
      </c>
      <c r="H360" s="9" t="s">
        <v>206</v>
      </c>
      <c r="I360" s="9" t="s">
        <v>38</v>
      </c>
      <c r="J360" s="9" t="s">
        <v>75</v>
      </c>
      <c r="K360" s="8" t="s">
        <v>476</v>
      </c>
      <c r="L360" s="9" t="s">
        <v>39</v>
      </c>
      <c r="M360" s="9" t="s">
        <v>40</v>
      </c>
      <c r="N360" s="9" t="s">
        <v>40</v>
      </c>
      <c r="Q360" s="9" t="s">
        <v>128</v>
      </c>
      <c r="R360" s="9" t="s">
        <v>42</v>
      </c>
      <c r="S360" s="10">
        <v>3000.0</v>
      </c>
      <c r="T360" s="11">
        <v>0.0</v>
      </c>
      <c r="U360" s="9">
        <v>0.0</v>
      </c>
      <c r="V360" s="9">
        <v>24.0</v>
      </c>
      <c r="W360" s="9" t="s">
        <v>1383</v>
      </c>
      <c r="X360" s="9" t="s">
        <v>1384</v>
      </c>
      <c r="Y360" s="9" t="s">
        <v>1385</v>
      </c>
      <c r="Z360" s="9" t="s">
        <v>159</v>
      </c>
      <c r="AA360" s="9" t="s">
        <v>60</v>
      </c>
      <c r="AB360" s="9" t="s">
        <v>91</v>
      </c>
      <c r="AD360" s="9">
        <v>8.0</v>
      </c>
      <c r="AE360" s="9">
        <v>1.0</v>
      </c>
      <c r="AF360" s="9">
        <v>1.0</v>
      </c>
      <c r="AG360" s="12">
        <v>3000.0</v>
      </c>
      <c r="AH360" s="13"/>
    </row>
    <row r="361">
      <c r="A361" s="7">
        <v>44423.76894724537</v>
      </c>
      <c r="B361" s="8">
        <f t="shared" si="1"/>
        <v>2021</v>
      </c>
      <c r="C361" s="9" t="s">
        <v>73</v>
      </c>
      <c r="D361" s="9">
        <v>32.0</v>
      </c>
      <c r="E361" s="9" t="s">
        <v>35</v>
      </c>
      <c r="F361" s="9" t="s">
        <v>36</v>
      </c>
      <c r="G361" s="8" t="s">
        <v>74</v>
      </c>
      <c r="H361" s="8" t="s">
        <v>527</v>
      </c>
      <c r="I361" s="9" t="s">
        <v>38</v>
      </c>
      <c r="J361" s="9" t="s">
        <v>143</v>
      </c>
      <c r="K361" s="9" t="s">
        <v>134</v>
      </c>
      <c r="L361" s="9" t="s">
        <v>39</v>
      </c>
      <c r="M361" s="9" t="s">
        <v>40</v>
      </c>
      <c r="N361" s="9" t="s">
        <v>39</v>
      </c>
      <c r="P361" s="9" t="s">
        <v>1386</v>
      </c>
      <c r="Q361" s="9" t="s">
        <v>119</v>
      </c>
      <c r="R361" s="9" t="s">
        <v>42</v>
      </c>
      <c r="S361" s="10">
        <v>8400.0</v>
      </c>
      <c r="T361" s="11">
        <v>8400.0</v>
      </c>
      <c r="V361" s="9">
        <v>30.0</v>
      </c>
      <c r="W361" s="9" t="s">
        <v>1387</v>
      </c>
      <c r="X361" s="9" t="s">
        <v>1388</v>
      </c>
      <c r="Y361" s="9" t="s">
        <v>79</v>
      </c>
      <c r="Z361" s="9" t="s">
        <v>228</v>
      </c>
      <c r="AA361" s="9" t="s">
        <v>60</v>
      </c>
      <c r="AB361" s="9" t="s">
        <v>91</v>
      </c>
      <c r="AD361" s="9">
        <v>7.0</v>
      </c>
      <c r="AE361" s="9">
        <v>9.0</v>
      </c>
      <c r="AF361" s="9">
        <v>2.0</v>
      </c>
      <c r="AG361" s="12">
        <v>3000.0</v>
      </c>
      <c r="AH361" s="13"/>
    </row>
    <row r="362">
      <c r="A362" s="7">
        <v>44614.0014808912</v>
      </c>
      <c r="B362" s="8">
        <f t="shared" si="1"/>
        <v>2022</v>
      </c>
      <c r="C362" s="9" t="s">
        <v>73</v>
      </c>
      <c r="D362" s="9">
        <v>28.0</v>
      </c>
      <c r="E362" s="9" t="s">
        <v>35</v>
      </c>
      <c r="F362" s="9" t="s">
        <v>36</v>
      </c>
      <c r="G362" s="8" t="s">
        <v>124</v>
      </c>
      <c r="H362" s="9" t="s">
        <v>606</v>
      </c>
      <c r="I362" s="9" t="s">
        <v>38</v>
      </c>
      <c r="J362" s="9" t="s">
        <v>207</v>
      </c>
      <c r="K362" s="9" t="s">
        <v>234</v>
      </c>
      <c r="L362" s="9" t="s">
        <v>39</v>
      </c>
      <c r="M362" s="9" t="s">
        <v>40</v>
      </c>
      <c r="N362" s="9" t="s">
        <v>40</v>
      </c>
      <c r="Q362" s="9" t="s">
        <v>272</v>
      </c>
      <c r="R362" s="9" t="s">
        <v>42</v>
      </c>
      <c r="S362" s="10">
        <v>5000.0</v>
      </c>
      <c r="T362" s="11">
        <v>5000.0</v>
      </c>
      <c r="V362" s="9">
        <v>14.0</v>
      </c>
      <c r="W362" s="9" t="s">
        <v>1389</v>
      </c>
      <c r="X362" s="9" t="s">
        <v>1390</v>
      </c>
      <c r="Y362" s="9" t="s">
        <v>1391</v>
      </c>
      <c r="Z362" s="9" t="s">
        <v>1392</v>
      </c>
      <c r="AA362" s="9" t="s">
        <v>132</v>
      </c>
      <c r="AB362" s="9" t="s">
        <v>133</v>
      </c>
      <c r="AD362" s="9">
        <v>7.0</v>
      </c>
      <c r="AE362" s="9">
        <v>5.0</v>
      </c>
      <c r="AF362" s="9">
        <v>1.0</v>
      </c>
      <c r="AG362" s="12">
        <v>3000.0</v>
      </c>
      <c r="AH362" s="13"/>
    </row>
    <row r="363">
      <c r="A363" s="7">
        <v>44404.92638800926</v>
      </c>
      <c r="B363" s="8">
        <f t="shared" si="1"/>
        <v>2021</v>
      </c>
      <c r="C363" s="9" t="s">
        <v>49</v>
      </c>
      <c r="D363" s="9">
        <v>31.0</v>
      </c>
      <c r="E363" s="9" t="s">
        <v>35</v>
      </c>
      <c r="F363" s="9" t="s">
        <v>36</v>
      </c>
      <c r="G363" s="9" t="s">
        <v>63</v>
      </c>
      <c r="H363" s="8" t="s">
        <v>37</v>
      </c>
      <c r="I363" s="9" t="s">
        <v>38</v>
      </c>
      <c r="L363" s="9" t="s">
        <v>39</v>
      </c>
      <c r="M363" s="9" t="s">
        <v>40</v>
      </c>
      <c r="N363" s="9" t="s">
        <v>40</v>
      </c>
      <c r="Q363" s="9" t="s">
        <v>119</v>
      </c>
      <c r="R363" s="9" t="s">
        <v>250</v>
      </c>
      <c r="S363" s="10">
        <v>8000.0</v>
      </c>
      <c r="T363" s="11" t="s">
        <v>37</v>
      </c>
      <c r="V363" s="9">
        <v>21.0</v>
      </c>
      <c r="W363" s="9" t="s">
        <v>320</v>
      </c>
      <c r="X363" s="9" t="s">
        <v>1393</v>
      </c>
      <c r="Y363" s="9" t="s">
        <v>246</v>
      </c>
      <c r="Z363" s="9" t="s">
        <v>59</v>
      </c>
      <c r="AA363" s="9" t="s">
        <v>132</v>
      </c>
      <c r="AB363" s="9" t="s">
        <v>91</v>
      </c>
      <c r="AD363" s="9">
        <v>8.0</v>
      </c>
      <c r="AE363" s="9">
        <v>8.0</v>
      </c>
      <c r="AF363" s="9">
        <v>3.0</v>
      </c>
      <c r="AG363" s="12">
        <v>3000.0</v>
      </c>
      <c r="AH363" s="13"/>
    </row>
    <row r="364">
      <c r="A364" s="7">
        <v>44636.97314071759</v>
      </c>
      <c r="B364" s="8">
        <f t="shared" si="1"/>
        <v>2022</v>
      </c>
      <c r="C364" s="9" t="s">
        <v>49</v>
      </c>
      <c r="D364" s="9">
        <v>30.0</v>
      </c>
      <c r="E364" s="9" t="s">
        <v>35</v>
      </c>
      <c r="F364" s="9" t="s">
        <v>246</v>
      </c>
      <c r="G364" s="8" t="s">
        <v>246</v>
      </c>
      <c r="H364" s="9" t="s">
        <v>499</v>
      </c>
      <c r="I364" s="9" t="s">
        <v>38</v>
      </c>
      <c r="J364" s="9" t="s">
        <v>126</v>
      </c>
      <c r="L364" s="9" t="s">
        <v>39</v>
      </c>
      <c r="M364" s="9" t="s">
        <v>40</v>
      </c>
      <c r="N364" s="9" t="s">
        <v>39</v>
      </c>
      <c r="Q364" s="9" t="s">
        <v>503</v>
      </c>
      <c r="R364" s="9" t="s">
        <v>250</v>
      </c>
      <c r="S364" s="10">
        <v>6000.0</v>
      </c>
      <c r="T364" s="11">
        <v>12000.0</v>
      </c>
      <c r="V364" s="9">
        <v>22.0</v>
      </c>
      <c r="W364" s="9" t="s">
        <v>1394</v>
      </c>
      <c r="X364" s="9" t="s">
        <v>1395</v>
      </c>
      <c r="Y364" s="9" t="s">
        <v>246</v>
      </c>
      <c r="Z364" s="9" t="s">
        <v>89</v>
      </c>
      <c r="AA364" s="9" t="s">
        <v>60</v>
      </c>
      <c r="AB364" s="9" t="s">
        <v>61</v>
      </c>
      <c r="AD364" s="9">
        <v>8.0</v>
      </c>
      <c r="AE364" s="9">
        <v>8.0</v>
      </c>
      <c r="AF364" s="9">
        <v>2.0</v>
      </c>
      <c r="AG364" s="12">
        <v>3000.0</v>
      </c>
      <c r="AH364" s="13"/>
    </row>
    <row r="365">
      <c r="A365" s="14">
        <v>44403.85534127315</v>
      </c>
      <c r="B365" s="8">
        <f t="shared" si="1"/>
        <v>2021</v>
      </c>
      <c r="C365" s="8" t="s">
        <v>49</v>
      </c>
      <c r="D365" s="8">
        <v>26.0</v>
      </c>
      <c r="E365" s="8" t="s">
        <v>35</v>
      </c>
      <c r="F365" s="8" t="s">
        <v>36</v>
      </c>
      <c r="G365" s="8" t="s">
        <v>50</v>
      </c>
      <c r="H365" s="8" t="s">
        <v>206</v>
      </c>
      <c r="I365" s="8" t="s">
        <v>38</v>
      </c>
      <c r="J365" s="9" t="s">
        <v>75</v>
      </c>
      <c r="K365" s="9" t="s">
        <v>166</v>
      </c>
      <c r="L365" s="8" t="s">
        <v>39</v>
      </c>
      <c r="M365" s="8" t="s">
        <v>40</v>
      </c>
      <c r="N365" s="8" t="s">
        <v>40</v>
      </c>
      <c r="O365" s="15"/>
      <c r="P365" s="15"/>
      <c r="Q365" s="9" t="s">
        <v>272</v>
      </c>
      <c r="R365" s="9" t="s">
        <v>42</v>
      </c>
      <c r="S365" s="16">
        <v>5200.0</v>
      </c>
      <c r="T365" s="17">
        <v>0.0</v>
      </c>
      <c r="U365" s="8">
        <v>0.0</v>
      </c>
      <c r="V365" s="8">
        <v>0.0</v>
      </c>
      <c r="W365" s="8" t="s">
        <v>1396</v>
      </c>
      <c r="X365" s="8" t="s">
        <v>549</v>
      </c>
      <c r="Y365" s="8" t="s">
        <v>122</v>
      </c>
      <c r="Z365" s="8" t="s">
        <v>59</v>
      </c>
      <c r="AA365" s="8" t="s">
        <v>60</v>
      </c>
      <c r="AB365" s="8" t="s">
        <v>61</v>
      </c>
      <c r="AC365" s="8" t="s">
        <v>1397</v>
      </c>
      <c r="AD365" s="8">
        <v>9.0</v>
      </c>
      <c r="AE365" s="8">
        <v>2.0</v>
      </c>
      <c r="AF365" s="8">
        <v>2.0</v>
      </c>
      <c r="AG365" s="18">
        <v>3000.0</v>
      </c>
      <c r="AH365" s="13"/>
      <c r="AI365" s="15"/>
      <c r="AJ365" s="15"/>
      <c r="AK365" s="15"/>
      <c r="AL365" s="15"/>
      <c r="AM365" s="15"/>
      <c r="AN365" s="15"/>
    </row>
    <row r="366">
      <c r="A366" s="7">
        <v>44404.061555520835</v>
      </c>
      <c r="B366" s="8">
        <f t="shared" si="1"/>
        <v>2021</v>
      </c>
      <c r="C366" s="9" t="s">
        <v>49</v>
      </c>
      <c r="D366" s="9">
        <v>23.0</v>
      </c>
      <c r="E366" s="9" t="s">
        <v>35</v>
      </c>
      <c r="F366" s="9" t="s">
        <v>36</v>
      </c>
      <c r="G366" s="8" t="s">
        <v>124</v>
      </c>
      <c r="H366" s="9" t="s">
        <v>156</v>
      </c>
      <c r="I366" s="9" t="s">
        <v>38</v>
      </c>
      <c r="J366" s="9" t="s">
        <v>75</v>
      </c>
      <c r="K366" s="9" t="s">
        <v>234</v>
      </c>
      <c r="L366" s="9" t="s">
        <v>39</v>
      </c>
      <c r="M366" s="9" t="s">
        <v>40</v>
      </c>
      <c r="N366" s="9" t="s">
        <v>40</v>
      </c>
      <c r="Q366" s="9" t="s">
        <v>128</v>
      </c>
      <c r="R366" s="9" t="s">
        <v>42</v>
      </c>
      <c r="S366" s="10">
        <v>3000.0</v>
      </c>
      <c r="T366" s="11" t="s">
        <v>37</v>
      </c>
      <c r="V366" s="9">
        <v>2.0</v>
      </c>
      <c r="W366" s="9" t="s">
        <v>1398</v>
      </c>
      <c r="X366" s="9" t="s">
        <v>1399</v>
      </c>
      <c r="Y366" s="9" t="s">
        <v>1192</v>
      </c>
      <c r="Z366" s="9" t="s">
        <v>59</v>
      </c>
      <c r="AA366" s="9" t="s">
        <v>132</v>
      </c>
      <c r="AB366" s="9" t="s">
        <v>91</v>
      </c>
      <c r="AD366" s="9">
        <v>9.0</v>
      </c>
      <c r="AE366" s="9" t="s">
        <v>1400</v>
      </c>
      <c r="AF366" s="9" t="s">
        <v>367</v>
      </c>
      <c r="AG366" s="12">
        <v>3000.0</v>
      </c>
      <c r="AH366" s="13"/>
    </row>
    <row r="367">
      <c r="A367" s="7">
        <v>44404.06586083333</v>
      </c>
      <c r="B367" s="8">
        <f t="shared" si="1"/>
        <v>2021</v>
      </c>
      <c r="C367" s="9" t="s">
        <v>49</v>
      </c>
      <c r="D367" s="9">
        <v>23.0</v>
      </c>
      <c r="E367" s="9" t="s">
        <v>35</v>
      </c>
      <c r="F367" s="9" t="s">
        <v>36</v>
      </c>
      <c r="G367" s="8" t="s">
        <v>124</v>
      </c>
      <c r="H367" s="9" t="s">
        <v>156</v>
      </c>
      <c r="I367" s="9" t="s">
        <v>38</v>
      </c>
      <c r="J367" s="9" t="s">
        <v>75</v>
      </c>
      <c r="K367" s="9" t="s">
        <v>234</v>
      </c>
      <c r="L367" s="9" t="s">
        <v>39</v>
      </c>
      <c r="M367" s="9" t="s">
        <v>40</v>
      </c>
      <c r="N367" s="9" t="s">
        <v>40</v>
      </c>
      <c r="Q367" s="9" t="s">
        <v>128</v>
      </c>
      <c r="R367" s="9" t="s">
        <v>42</v>
      </c>
      <c r="S367" s="10">
        <v>3000.0</v>
      </c>
      <c r="T367" s="11" t="s">
        <v>37</v>
      </c>
      <c r="V367" s="9">
        <v>2.0</v>
      </c>
      <c r="W367" s="9" t="s">
        <v>1398</v>
      </c>
      <c r="X367" s="9" t="s">
        <v>1399</v>
      </c>
      <c r="Y367" s="9" t="s">
        <v>1192</v>
      </c>
      <c r="Z367" s="9" t="s">
        <v>59</v>
      </c>
      <c r="AA367" s="9" t="s">
        <v>132</v>
      </c>
      <c r="AB367" s="9" t="s">
        <v>91</v>
      </c>
      <c r="AD367" s="9">
        <v>9.0</v>
      </c>
      <c r="AE367" s="9" t="s">
        <v>1400</v>
      </c>
      <c r="AF367" s="9" t="s">
        <v>367</v>
      </c>
      <c r="AG367" s="12">
        <v>3000.0</v>
      </c>
      <c r="AH367" s="13"/>
    </row>
    <row r="368">
      <c r="A368" s="7">
        <v>44403.93986460648</v>
      </c>
      <c r="B368" s="8">
        <f t="shared" si="1"/>
        <v>2021</v>
      </c>
      <c r="C368" s="9" t="s">
        <v>49</v>
      </c>
      <c r="D368" s="9">
        <v>23.0</v>
      </c>
      <c r="E368" s="9" t="s">
        <v>35</v>
      </c>
      <c r="F368" s="9" t="s">
        <v>36</v>
      </c>
      <c r="G368" s="8" t="s">
        <v>124</v>
      </c>
      <c r="H368" s="9" t="s">
        <v>156</v>
      </c>
      <c r="I368" s="9" t="s">
        <v>38</v>
      </c>
      <c r="J368" s="9" t="s">
        <v>160</v>
      </c>
      <c r="K368" s="9" t="s">
        <v>84</v>
      </c>
      <c r="L368" s="9" t="s">
        <v>39</v>
      </c>
      <c r="M368" s="9" t="s">
        <v>40</v>
      </c>
      <c r="N368" s="9" t="s">
        <v>40</v>
      </c>
      <c r="Q368" s="9" t="s">
        <v>277</v>
      </c>
      <c r="R368" s="9" t="s">
        <v>42</v>
      </c>
      <c r="S368" s="10">
        <v>3000.0</v>
      </c>
      <c r="T368" s="11">
        <v>0.0</v>
      </c>
      <c r="U368" s="9">
        <v>0.0</v>
      </c>
      <c r="V368" s="9">
        <v>7.0</v>
      </c>
      <c r="W368" s="9" t="s">
        <v>223</v>
      </c>
      <c r="X368" s="9" t="s">
        <v>1401</v>
      </c>
      <c r="Y368" s="9" t="s">
        <v>1402</v>
      </c>
      <c r="Z368" s="9" t="s">
        <v>59</v>
      </c>
      <c r="AA368" s="9" t="s">
        <v>47</v>
      </c>
      <c r="AB368" s="9" t="s">
        <v>61</v>
      </c>
      <c r="AD368" s="9">
        <v>7.0</v>
      </c>
      <c r="AE368" s="9">
        <v>1.0</v>
      </c>
      <c r="AF368" s="9">
        <v>0.0</v>
      </c>
      <c r="AG368" s="12">
        <v>3000.0</v>
      </c>
      <c r="AH368" s="13"/>
    </row>
    <row r="369">
      <c r="A369" s="7">
        <v>44404.12932085648</v>
      </c>
      <c r="B369" s="8">
        <f t="shared" si="1"/>
        <v>2021</v>
      </c>
      <c r="C369" s="9" t="s">
        <v>49</v>
      </c>
      <c r="D369" s="9">
        <v>31.0</v>
      </c>
      <c r="E369" s="9" t="s">
        <v>35</v>
      </c>
      <c r="F369" s="9" t="s">
        <v>36</v>
      </c>
      <c r="G369" s="8" t="s">
        <v>63</v>
      </c>
      <c r="H369" s="9" t="s">
        <v>301</v>
      </c>
      <c r="I369" s="9" t="s">
        <v>38</v>
      </c>
      <c r="L369" s="9" t="s">
        <v>39</v>
      </c>
      <c r="M369" s="9" t="s">
        <v>40</v>
      </c>
      <c r="N369" s="9" t="s">
        <v>40</v>
      </c>
      <c r="Q369" s="9" t="s">
        <v>128</v>
      </c>
      <c r="R369" s="9" t="s">
        <v>42</v>
      </c>
      <c r="S369" s="10">
        <v>5500.0</v>
      </c>
      <c r="T369" s="11" t="s">
        <v>37</v>
      </c>
      <c r="V369" s="9">
        <v>11.0</v>
      </c>
      <c r="W369" s="9" t="s">
        <v>157</v>
      </c>
      <c r="X369" s="9" t="s">
        <v>1403</v>
      </c>
      <c r="Y369" s="9" t="s">
        <v>1404</v>
      </c>
      <c r="Z369" s="9" t="s">
        <v>80</v>
      </c>
      <c r="AA369" s="9" t="s">
        <v>132</v>
      </c>
      <c r="AB369" s="9" t="s">
        <v>61</v>
      </c>
      <c r="AD369" s="9">
        <v>5.0</v>
      </c>
      <c r="AE369" s="9">
        <v>4.0</v>
      </c>
      <c r="AF369" s="9">
        <v>2.0</v>
      </c>
      <c r="AG369" s="12">
        <v>3000.0</v>
      </c>
      <c r="AH369" s="13"/>
    </row>
    <row r="370">
      <c r="A370" s="7">
        <v>44403.98756505787</v>
      </c>
      <c r="B370" s="8">
        <f t="shared" si="1"/>
        <v>2021</v>
      </c>
      <c r="C370" s="9" t="s">
        <v>49</v>
      </c>
      <c r="D370" s="9">
        <v>27.0</v>
      </c>
      <c r="E370" s="9" t="s">
        <v>35</v>
      </c>
      <c r="F370" s="9" t="s">
        <v>36</v>
      </c>
      <c r="G370" s="8" t="s">
        <v>50</v>
      </c>
      <c r="H370" s="8" t="s">
        <v>51</v>
      </c>
      <c r="I370" s="9" t="s">
        <v>38</v>
      </c>
      <c r="J370" s="8" t="s">
        <v>160</v>
      </c>
      <c r="K370" s="9" t="s">
        <v>84</v>
      </c>
      <c r="L370" s="9" t="s">
        <v>39</v>
      </c>
      <c r="M370" s="9" t="s">
        <v>39</v>
      </c>
      <c r="N370" s="9" t="s">
        <v>40</v>
      </c>
      <c r="Q370" s="9" t="s">
        <v>312</v>
      </c>
      <c r="R370" s="9" t="s">
        <v>42</v>
      </c>
      <c r="S370" s="10">
        <v>3000.0</v>
      </c>
      <c r="T370" s="11">
        <v>0.0</v>
      </c>
      <c r="U370" s="9">
        <v>0.0</v>
      </c>
      <c r="V370" s="9">
        <v>12.0</v>
      </c>
      <c r="W370" s="9" t="s">
        <v>1405</v>
      </c>
      <c r="X370" s="9" t="s">
        <v>170</v>
      </c>
      <c r="Y370" s="9" t="s">
        <v>1406</v>
      </c>
      <c r="Z370" s="9" t="s">
        <v>896</v>
      </c>
      <c r="AA370" s="9" t="s">
        <v>71</v>
      </c>
      <c r="AB370" s="9" t="s">
        <v>61</v>
      </c>
      <c r="AD370" s="9">
        <v>3.0</v>
      </c>
      <c r="AE370" s="9">
        <v>1.0</v>
      </c>
      <c r="AF370" s="9">
        <v>1.0</v>
      </c>
      <c r="AG370" s="12">
        <v>3000.0</v>
      </c>
      <c r="AH370" s="13"/>
    </row>
    <row r="371">
      <c r="A371" s="14">
        <v>44403.868295555556</v>
      </c>
      <c r="B371" s="8">
        <f t="shared" si="1"/>
        <v>2021</v>
      </c>
      <c r="C371" s="8" t="s">
        <v>49</v>
      </c>
      <c r="D371" s="8">
        <v>23.0</v>
      </c>
      <c r="E371" s="8" t="s">
        <v>35</v>
      </c>
      <c r="F371" s="8" t="s">
        <v>36</v>
      </c>
      <c r="G371" s="8" t="s">
        <v>50</v>
      </c>
      <c r="H371" s="8" t="s">
        <v>106</v>
      </c>
      <c r="I371" s="8" t="s">
        <v>38</v>
      </c>
      <c r="J371" s="9" t="s">
        <v>75</v>
      </c>
      <c r="K371" s="9" t="s">
        <v>355</v>
      </c>
      <c r="L371" s="8" t="s">
        <v>39</v>
      </c>
      <c r="M371" s="8" t="s">
        <v>40</v>
      </c>
      <c r="N371" s="8" t="s">
        <v>40</v>
      </c>
      <c r="O371" s="15"/>
      <c r="P371" s="15"/>
      <c r="Q371" s="9" t="s">
        <v>54</v>
      </c>
      <c r="R371" s="9" t="s">
        <v>42</v>
      </c>
      <c r="S371" s="16">
        <v>3600.0</v>
      </c>
      <c r="T371" s="17">
        <v>0.0</v>
      </c>
      <c r="U371" s="8">
        <v>0.0</v>
      </c>
      <c r="V371" s="8">
        <v>12.0</v>
      </c>
      <c r="W371" s="8" t="s">
        <v>1407</v>
      </c>
      <c r="X371" s="8" t="s">
        <v>1408</v>
      </c>
      <c r="Y371" s="8" t="s">
        <v>58</v>
      </c>
      <c r="Z371" s="8" t="s">
        <v>185</v>
      </c>
      <c r="AA371" s="8" t="s">
        <v>71</v>
      </c>
      <c r="AB371" s="8" t="s">
        <v>61</v>
      </c>
      <c r="AC371" s="15"/>
      <c r="AD371" s="8">
        <v>8.0</v>
      </c>
      <c r="AE371" s="8" t="s">
        <v>1409</v>
      </c>
      <c r="AF371" s="8">
        <v>0.0</v>
      </c>
      <c r="AG371" s="18">
        <v>3000.0</v>
      </c>
      <c r="AH371" s="13"/>
      <c r="AI371" s="15"/>
      <c r="AJ371" s="15"/>
      <c r="AK371" s="15"/>
      <c r="AL371" s="15"/>
      <c r="AM371" s="15"/>
      <c r="AN371" s="15"/>
    </row>
    <row r="372">
      <c r="A372" s="14">
        <v>44403.86755769676</v>
      </c>
      <c r="B372" s="8">
        <f t="shared" si="1"/>
        <v>2021</v>
      </c>
      <c r="C372" s="8" t="s">
        <v>49</v>
      </c>
      <c r="D372" s="8">
        <v>24.0</v>
      </c>
      <c r="E372" s="8" t="s">
        <v>35</v>
      </c>
      <c r="F372" s="8" t="s">
        <v>36</v>
      </c>
      <c r="G372" s="8" t="s">
        <v>124</v>
      </c>
      <c r="H372" s="8" t="s">
        <v>296</v>
      </c>
      <c r="I372" s="8" t="s">
        <v>38</v>
      </c>
      <c r="J372" s="9" t="s">
        <v>75</v>
      </c>
      <c r="K372" s="9" t="s">
        <v>959</v>
      </c>
      <c r="L372" s="8" t="s">
        <v>39</v>
      </c>
      <c r="M372" s="8" t="s">
        <v>40</v>
      </c>
      <c r="N372" s="8" t="s">
        <v>40</v>
      </c>
      <c r="O372" s="15"/>
      <c r="P372" s="15"/>
      <c r="Q372" s="8" t="s">
        <v>652</v>
      </c>
      <c r="R372" s="9" t="s">
        <v>42</v>
      </c>
      <c r="S372" s="16">
        <v>3700.0</v>
      </c>
      <c r="T372" s="17">
        <v>0.0</v>
      </c>
      <c r="U372" s="8">
        <v>0.0</v>
      </c>
      <c r="V372" s="8">
        <v>12.0</v>
      </c>
      <c r="W372" s="8" t="s">
        <v>1410</v>
      </c>
      <c r="X372" s="8" t="s">
        <v>1411</v>
      </c>
      <c r="Y372" s="8" t="s">
        <v>122</v>
      </c>
      <c r="Z372" s="8" t="s">
        <v>350</v>
      </c>
      <c r="AA372" s="8" t="s">
        <v>47</v>
      </c>
      <c r="AB372" s="8" t="s">
        <v>61</v>
      </c>
      <c r="AC372" s="15"/>
      <c r="AD372" s="8">
        <v>7.0</v>
      </c>
      <c r="AE372" s="8">
        <v>1.0</v>
      </c>
      <c r="AF372" s="8">
        <v>0.0</v>
      </c>
      <c r="AG372" s="18">
        <v>3000.0</v>
      </c>
      <c r="AH372" s="13"/>
      <c r="AI372" s="15"/>
      <c r="AJ372" s="15"/>
      <c r="AK372" s="15"/>
      <c r="AL372" s="15"/>
      <c r="AM372" s="15"/>
      <c r="AN372" s="15"/>
    </row>
    <row r="373">
      <c r="A373" s="7">
        <v>44404.01888923611</v>
      </c>
      <c r="B373" s="8">
        <f t="shared" si="1"/>
        <v>2021</v>
      </c>
      <c r="C373" s="9" t="s">
        <v>49</v>
      </c>
      <c r="D373" s="9">
        <v>27.0</v>
      </c>
      <c r="E373" s="9" t="s">
        <v>35</v>
      </c>
      <c r="F373" s="9" t="s">
        <v>36</v>
      </c>
      <c r="G373" s="8" t="s">
        <v>50</v>
      </c>
      <c r="H373" s="9" t="s">
        <v>460</v>
      </c>
      <c r="I373" s="9" t="s">
        <v>38</v>
      </c>
      <c r="J373" s="9" t="s">
        <v>342</v>
      </c>
      <c r="K373" s="9" t="s">
        <v>66</v>
      </c>
      <c r="L373" s="9" t="s">
        <v>39</v>
      </c>
      <c r="M373" s="9" t="s">
        <v>39</v>
      </c>
      <c r="N373" s="9" t="s">
        <v>40</v>
      </c>
      <c r="O373" s="9" t="s">
        <v>94</v>
      </c>
      <c r="Q373" s="9" t="s">
        <v>146</v>
      </c>
      <c r="R373" s="9" t="s">
        <v>42</v>
      </c>
      <c r="S373" s="10">
        <v>5500.0</v>
      </c>
      <c r="T373" s="11">
        <v>0.0</v>
      </c>
      <c r="V373" s="9">
        <v>12.0</v>
      </c>
      <c r="W373" s="9" t="s">
        <v>157</v>
      </c>
      <c r="X373" s="9" t="s">
        <v>1393</v>
      </c>
      <c r="Y373" s="9" t="s">
        <v>349</v>
      </c>
      <c r="Z373" s="9" t="s">
        <v>105</v>
      </c>
      <c r="AA373" s="9" t="s">
        <v>71</v>
      </c>
      <c r="AB373" s="9" t="s">
        <v>48</v>
      </c>
      <c r="AD373" s="9">
        <v>8.0</v>
      </c>
      <c r="AE373" s="9">
        <v>5.0</v>
      </c>
      <c r="AF373" s="9">
        <v>1.0</v>
      </c>
      <c r="AG373" s="12">
        <v>3000.0</v>
      </c>
      <c r="AH373" s="13"/>
    </row>
    <row r="374">
      <c r="A374" s="14">
        <v>44403.8844202662</v>
      </c>
      <c r="B374" s="8">
        <f t="shared" si="1"/>
        <v>2021</v>
      </c>
      <c r="C374" s="8" t="s">
        <v>49</v>
      </c>
      <c r="D374" s="8">
        <v>37.0</v>
      </c>
      <c r="E374" s="8" t="s">
        <v>35</v>
      </c>
      <c r="F374" s="8" t="s">
        <v>36</v>
      </c>
      <c r="G374" s="8" t="s">
        <v>50</v>
      </c>
      <c r="H374" s="8" t="s">
        <v>539</v>
      </c>
      <c r="I374" s="8" t="s">
        <v>38</v>
      </c>
      <c r="J374" s="9" t="s">
        <v>75</v>
      </c>
      <c r="K374" s="9" t="s">
        <v>234</v>
      </c>
      <c r="L374" s="8" t="s">
        <v>39</v>
      </c>
      <c r="M374" s="8" t="s">
        <v>40</v>
      </c>
      <c r="N374" s="8" t="s">
        <v>40</v>
      </c>
      <c r="O374" s="15"/>
      <c r="P374" s="15"/>
      <c r="Q374" s="8" t="s">
        <v>119</v>
      </c>
      <c r="R374" s="9" t="s">
        <v>42</v>
      </c>
      <c r="S374" s="16">
        <v>7000.0</v>
      </c>
      <c r="T374" s="17">
        <v>0.0</v>
      </c>
      <c r="U374" s="8">
        <v>0.0</v>
      </c>
      <c r="V374" s="8">
        <v>13.0</v>
      </c>
      <c r="W374" s="8" t="s">
        <v>1412</v>
      </c>
      <c r="X374" s="8" t="s">
        <v>1413</v>
      </c>
      <c r="Y374" s="8" t="s">
        <v>124</v>
      </c>
      <c r="Z374" s="8" t="s">
        <v>155</v>
      </c>
      <c r="AA374" s="8" t="s">
        <v>132</v>
      </c>
      <c r="AB374" s="8" t="s">
        <v>91</v>
      </c>
      <c r="AC374" s="15"/>
      <c r="AD374" s="8">
        <v>9.0</v>
      </c>
      <c r="AE374" s="8">
        <v>13.0</v>
      </c>
      <c r="AF374" s="8">
        <v>6.0</v>
      </c>
      <c r="AG374" s="18">
        <v>3000.0</v>
      </c>
      <c r="AH374" s="13"/>
      <c r="AI374" s="15"/>
      <c r="AJ374" s="15"/>
      <c r="AK374" s="15"/>
      <c r="AL374" s="15"/>
      <c r="AM374" s="15"/>
      <c r="AN374" s="15"/>
    </row>
    <row r="375">
      <c r="A375" s="7">
        <v>44403.991019189816</v>
      </c>
      <c r="B375" s="8">
        <f t="shared" si="1"/>
        <v>2021</v>
      </c>
      <c r="C375" s="9" t="s">
        <v>49</v>
      </c>
      <c r="D375" s="9">
        <v>24.0</v>
      </c>
      <c r="E375" s="9" t="s">
        <v>35</v>
      </c>
      <c r="F375" s="9" t="s">
        <v>36</v>
      </c>
      <c r="G375" s="8" t="s">
        <v>74</v>
      </c>
      <c r="H375" s="9" t="s">
        <v>1414</v>
      </c>
      <c r="I375" s="9" t="s">
        <v>38</v>
      </c>
      <c r="J375" s="9" t="s">
        <v>75</v>
      </c>
      <c r="K375" s="9" t="s">
        <v>221</v>
      </c>
      <c r="L375" s="9" t="s">
        <v>39</v>
      </c>
      <c r="M375" s="9" t="s">
        <v>40</v>
      </c>
      <c r="N375" s="9" t="s">
        <v>39</v>
      </c>
      <c r="P375" s="9" t="s">
        <v>1415</v>
      </c>
      <c r="Q375" s="9" t="s">
        <v>584</v>
      </c>
      <c r="R375" s="9" t="s">
        <v>42</v>
      </c>
      <c r="S375" s="10">
        <v>3640.0</v>
      </c>
      <c r="T375" s="11">
        <v>7280.0</v>
      </c>
      <c r="V375" s="9">
        <v>13.0</v>
      </c>
      <c r="W375" s="9" t="s">
        <v>1416</v>
      </c>
      <c r="X375" s="9" t="s">
        <v>1417</v>
      </c>
      <c r="Y375" s="9" t="s">
        <v>79</v>
      </c>
      <c r="Z375" s="9" t="s">
        <v>80</v>
      </c>
      <c r="AA375" s="9" t="s">
        <v>60</v>
      </c>
      <c r="AB375" s="9" t="s">
        <v>61</v>
      </c>
      <c r="AC375" s="9" t="s">
        <v>1418</v>
      </c>
      <c r="AD375" s="9">
        <v>10.0</v>
      </c>
      <c r="AE375" s="9">
        <v>1.6</v>
      </c>
      <c r="AF375" s="9">
        <v>1.0</v>
      </c>
      <c r="AG375" s="12">
        <v>3000.0</v>
      </c>
      <c r="AH375" s="13"/>
    </row>
    <row r="376">
      <c r="A376" s="7">
        <v>44404.74723277778</v>
      </c>
      <c r="B376" s="8">
        <f t="shared" si="1"/>
        <v>2021</v>
      </c>
      <c r="C376" s="9" t="s">
        <v>49</v>
      </c>
      <c r="D376" s="9">
        <v>23.0</v>
      </c>
      <c r="E376" s="9" t="s">
        <v>35</v>
      </c>
      <c r="F376" s="9" t="s">
        <v>36</v>
      </c>
      <c r="G376" s="8" t="s">
        <v>50</v>
      </c>
      <c r="H376" s="8" t="s">
        <v>99</v>
      </c>
      <c r="I376" s="9" t="s">
        <v>38</v>
      </c>
      <c r="J376" s="9" t="s">
        <v>75</v>
      </c>
      <c r="K376" s="9" t="s">
        <v>959</v>
      </c>
      <c r="L376" s="9" t="s">
        <v>39</v>
      </c>
      <c r="M376" s="9" t="s">
        <v>40</v>
      </c>
      <c r="N376" s="9" t="s">
        <v>40</v>
      </c>
      <c r="Q376" s="9" t="s">
        <v>312</v>
      </c>
      <c r="R376" s="9" t="s">
        <v>42</v>
      </c>
      <c r="S376" s="10">
        <v>3000.0</v>
      </c>
      <c r="T376" s="11">
        <v>0.0</v>
      </c>
      <c r="U376" s="9">
        <v>0.0</v>
      </c>
      <c r="V376" s="9">
        <v>14.0</v>
      </c>
      <c r="W376" s="9" t="s">
        <v>157</v>
      </c>
      <c r="X376" s="9" t="s">
        <v>865</v>
      </c>
      <c r="Y376" s="9" t="s">
        <v>99</v>
      </c>
      <c r="Z376" s="9" t="s">
        <v>868</v>
      </c>
      <c r="AA376" s="9" t="s">
        <v>71</v>
      </c>
      <c r="AB376" s="9" t="s">
        <v>61</v>
      </c>
      <c r="AC376" s="9" t="s">
        <v>1419</v>
      </c>
      <c r="AD376" s="9">
        <v>3.0</v>
      </c>
      <c r="AE376" s="9">
        <v>1.0</v>
      </c>
      <c r="AF376" s="9">
        <v>0.0</v>
      </c>
      <c r="AG376" s="12">
        <v>3000.0</v>
      </c>
      <c r="AH376" s="13"/>
    </row>
    <row r="377">
      <c r="A377" s="7">
        <v>44403.92502724537</v>
      </c>
      <c r="B377" s="8">
        <f t="shared" si="1"/>
        <v>2021</v>
      </c>
      <c r="C377" s="9" t="s">
        <v>49</v>
      </c>
      <c r="D377" s="9">
        <v>24.0</v>
      </c>
      <c r="E377" s="9" t="s">
        <v>35</v>
      </c>
      <c r="F377" s="9" t="s">
        <v>36</v>
      </c>
      <c r="G377" s="8" t="s">
        <v>50</v>
      </c>
      <c r="H377" s="9" t="s">
        <v>106</v>
      </c>
      <c r="I377" s="9" t="s">
        <v>38</v>
      </c>
      <c r="J377" s="9" t="s">
        <v>160</v>
      </c>
      <c r="K377" s="9" t="s">
        <v>1217</v>
      </c>
      <c r="L377" s="9" t="s">
        <v>39</v>
      </c>
      <c r="M377" s="9" t="s">
        <v>40</v>
      </c>
      <c r="N377" s="9" t="s">
        <v>40</v>
      </c>
      <c r="Q377" s="9" t="s">
        <v>146</v>
      </c>
      <c r="R377" s="9" t="s">
        <v>42</v>
      </c>
      <c r="S377" s="10">
        <v>3000.0</v>
      </c>
      <c r="T377" s="11">
        <v>0.0</v>
      </c>
      <c r="U377" s="9">
        <v>0.0</v>
      </c>
      <c r="V377" s="9">
        <v>14.0</v>
      </c>
      <c r="W377" s="9" t="s">
        <v>506</v>
      </c>
      <c r="X377" s="9" t="s">
        <v>1420</v>
      </c>
      <c r="Y377" s="9" t="s">
        <v>82</v>
      </c>
      <c r="Z377" s="9" t="s">
        <v>159</v>
      </c>
      <c r="AA377" s="9" t="s">
        <v>90</v>
      </c>
      <c r="AB377" s="9" t="s">
        <v>61</v>
      </c>
      <c r="AD377" s="9">
        <v>4.0</v>
      </c>
      <c r="AE377" s="9">
        <v>1.0</v>
      </c>
      <c r="AF377" s="9">
        <v>0.0</v>
      </c>
      <c r="AG377" s="12">
        <v>3000.0</v>
      </c>
      <c r="AH377" s="13"/>
    </row>
    <row r="378">
      <c r="A378" s="7">
        <v>44403.91196824074</v>
      </c>
      <c r="B378" s="8">
        <f t="shared" si="1"/>
        <v>2021</v>
      </c>
      <c r="C378" s="9" t="s">
        <v>49</v>
      </c>
      <c r="D378" s="9">
        <v>25.0</v>
      </c>
      <c r="E378" s="9" t="s">
        <v>35</v>
      </c>
      <c r="F378" s="9" t="s">
        <v>36</v>
      </c>
      <c r="G378" s="8" t="s">
        <v>50</v>
      </c>
      <c r="H378" s="8" t="s">
        <v>499</v>
      </c>
      <c r="I378" s="9" t="s">
        <v>38</v>
      </c>
      <c r="J378" s="9" t="s">
        <v>75</v>
      </c>
      <c r="K378" s="9" t="s">
        <v>66</v>
      </c>
      <c r="L378" s="9" t="s">
        <v>39</v>
      </c>
      <c r="M378" s="9" t="s">
        <v>40</v>
      </c>
      <c r="N378" s="9" t="s">
        <v>39</v>
      </c>
      <c r="P378" s="9" t="s">
        <v>398</v>
      </c>
      <c r="Q378" s="9" t="s">
        <v>128</v>
      </c>
      <c r="R378" s="9" t="s">
        <v>42</v>
      </c>
      <c r="S378" s="10">
        <v>3000.0</v>
      </c>
      <c r="T378" s="11">
        <v>0.0</v>
      </c>
      <c r="U378" s="9">
        <v>0.0</v>
      </c>
      <c r="V378" s="9">
        <v>14.0</v>
      </c>
      <c r="W378" s="9" t="s">
        <v>1421</v>
      </c>
      <c r="X378" s="9" t="s">
        <v>1422</v>
      </c>
      <c r="Y378" s="9" t="s">
        <v>122</v>
      </c>
      <c r="Z378" s="9" t="s">
        <v>179</v>
      </c>
      <c r="AA378" s="9" t="s">
        <v>71</v>
      </c>
      <c r="AB378" s="9" t="s">
        <v>61</v>
      </c>
      <c r="AC378" s="9" t="s">
        <v>1423</v>
      </c>
      <c r="AD378" s="9">
        <v>8.0</v>
      </c>
      <c r="AE378" s="9">
        <v>1.0</v>
      </c>
      <c r="AF378" s="9">
        <v>0.0</v>
      </c>
      <c r="AG378" s="12">
        <v>3000.0</v>
      </c>
      <c r="AH378" s="13"/>
    </row>
    <row r="379">
      <c r="A379" s="7">
        <v>44404.03463490741</v>
      </c>
      <c r="B379" s="8">
        <f t="shared" si="1"/>
        <v>2021</v>
      </c>
      <c r="C379" s="9" t="s">
        <v>49</v>
      </c>
      <c r="D379" s="9">
        <v>31.0</v>
      </c>
      <c r="E379" s="9" t="s">
        <v>35</v>
      </c>
      <c r="F379" s="9" t="s">
        <v>36</v>
      </c>
      <c r="G379" s="8" t="s">
        <v>50</v>
      </c>
      <c r="H379" s="9" t="s">
        <v>106</v>
      </c>
      <c r="I379" s="9" t="s">
        <v>38</v>
      </c>
      <c r="J379" s="9" t="s">
        <v>1424</v>
      </c>
      <c r="L379" s="9" t="s">
        <v>40</v>
      </c>
      <c r="M379" s="9" t="s">
        <v>39</v>
      </c>
      <c r="N379" s="9" t="s">
        <v>40</v>
      </c>
      <c r="O379" s="9" t="s">
        <v>1425</v>
      </c>
      <c r="Q379" s="9" t="s">
        <v>548</v>
      </c>
      <c r="R379" s="9" t="s">
        <v>42</v>
      </c>
      <c r="S379" s="10">
        <v>3800.0</v>
      </c>
      <c r="T379" s="11">
        <v>0.0</v>
      </c>
      <c r="U379" s="9">
        <v>0.0</v>
      </c>
      <c r="V379" s="9">
        <v>14.0</v>
      </c>
      <c r="W379" s="9" t="s">
        <v>1426</v>
      </c>
      <c r="X379" s="9" t="s">
        <v>1427</v>
      </c>
      <c r="Y379" s="9" t="s">
        <v>122</v>
      </c>
      <c r="Z379" s="9" t="s">
        <v>70</v>
      </c>
      <c r="AA379" s="9" t="s">
        <v>71</v>
      </c>
      <c r="AB379" s="9" t="s">
        <v>61</v>
      </c>
      <c r="AD379" s="9">
        <v>7.0</v>
      </c>
      <c r="AE379" s="9">
        <v>2.0</v>
      </c>
      <c r="AF379" s="9">
        <v>1.0</v>
      </c>
      <c r="AG379" s="12">
        <v>3000.0</v>
      </c>
      <c r="AH379" s="13"/>
    </row>
    <row r="380">
      <c r="A380" s="7">
        <v>44404.812840439816</v>
      </c>
      <c r="B380" s="8">
        <f t="shared" si="1"/>
        <v>2021</v>
      </c>
      <c r="C380" s="9" t="s">
        <v>49</v>
      </c>
      <c r="D380" s="9">
        <v>25.0</v>
      </c>
      <c r="E380" s="9" t="s">
        <v>35</v>
      </c>
      <c r="F380" s="9" t="s">
        <v>36</v>
      </c>
      <c r="G380" s="8" t="s">
        <v>124</v>
      </c>
      <c r="H380" s="9" t="s">
        <v>156</v>
      </c>
      <c r="I380" s="9" t="s">
        <v>38</v>
      </c>
      <c r="J380" s="9" t="s">
        <v>670</v>
      </c>
      <c r="K380" s="9" t="s">
        <v>84</v>
      </c>
      <c r="L380" s="9" t="s">
        <v>39</v>
      </c>
      <c r="M380" s="9" t="s">
        <v>39</v>
      </c>
      <c r="N380" s="9" t="s">
        <v>40</v>
      </c>
      <c r="O380" s="9" t="s">
        <v>1428</v>
      </c>
      <c r="Q380" s="9" t="s">
        <v>877</v>
      </c>
      <c r="R380" s="9" t="s">
        <v>42</v>
      </c>
      <c r="S380" s="10">
        <v>5300.0</v>
      </c>
      <c r="T380" s="11">
        <v>0.0</v>
      </c>
      <c r="U380" s="9">
        <v>0.0</v>
      </c>
      <c r="V380" s="9">
        <v>14.0</v>
      </c>
      <c r="W380" s="9" t="s">
        <v>1429</v>
      </c>
      <c r="X380" s="9" t="s">
        <v>1430</v>
      </c>
      <c r="Y380" s="9" t="s">
        <v>122</v>
      </c>
      <c r="Z380" s="9" t="s">
        <v>1431</v>
      </c>
      <c r="AA380" s="9" t="s">
        <v>71</v>
      </c>
      <c r="AB380" s="9" t="s">
        <v>91</v>
      </c>
      <c r="AD380" s="9">
        <v>5.0</v>
      </c>
      <c r="AE380" s="9">
        <v>3.0</v>
      </c>
      <c r="AF380" s="9">
        <v>0.0</v>
      </c>
      <c r="AG380" s="12">
        <v>3000.0</v>
      </c>
      <c r="AH380" s="13"/>
    </row>
    <row r="381">
      <c r="A381" s="7">
        <v>44404.31166153935</v>
      </c>
      <c r="B381" s="8">
        <f t="shared" si="1"/>
        <v>2021</v>
      </c>
      <c r="C381" s="9" t="s">
        <v>49</v>
      </c>
      <c r="D381" s="9">
        <v>29.0</v>
      </c>
      <c r="E381" s="9" t="s">
        <v>35</v>
      </c>
      <c r="F381" s="9" t="s">
        <v>36</v>
      </c>
      <c r="G381" s="8" t="s">
        <v>124</v>
      </c>
      <c r="H381" s="9" t="s">
        <v>156</v>
      </c>
      <c r="I381" s="9" t="s">
        <v>38</v>
      </c>
      <c r="J381" s="9" t="s">
        <v>910</v>
      </c>
      <c r="K381" s="9" t="s">
        <v>490</v>
      </c>
      <c r="L381" s="9" t="s">
        <v>40</v>
      </c>
      <c r="M381" s="9" t="s">
        <v>40</v>
      </c>
      <c r="N381" s="9" t="s">
        <v>40</v>
      </c>
      <c r="Q381" s="9" t="s">
        <v>308</v>
      </c>
      <c r="R381" s="9" t="s">
        <v>42</v>
      </c>
      <c r="S381" s="10">
        <v>7800.0</v>
      </c>
      <c r="T381" s="11">
        <v>0.0</v>
      </c>
      <c r="U381" s="9">
        <v>0.0</v>
      </c>
      <c r="V381" s="9">
        <v>14.0</v>
      </c>
      <c r="W381" s="9" t="s">
        <v>1432</v>
      </c>
      <c r="X381" s="9" t="s">
        <v>740</v>
      </c>
      <c r="Y381" s="9" t="s">
        <v>58</v>
      </c>
      <c r="Z381" s="9" t="s">
        <v>89</v>
      </c>
      <c r="AA381" s="9" t="s">
        <v>71</v>
      </c>
      <c r="AB381" s="9" t="s">
        <v>61</v>
      </c>
      <c r="AD381" s="9">
        <v>7.0</v>
      </c>
      <c r="AE381" s="9">
        <v>4.0</v>
      </c>
      <c r="AF381" s="9">
        <v>5.0</v>
      </c>
      <c r="AG381" s="12">
        <v>3000.0</v>
      </c>
      <c r="AH381" s="13"/>
    </row>
    <row r="382">
      <c r="A382" s="7">
        <v>44403.90932071759</v>
      </c>
      <c r="B382" s="8">
        <f t="shared" si="1"/>
        <v>2021</v>
      </c>
      <c r="C382" s="9" t="s">
        <v>49</v>
      </c>
      <c r="D382" s="9">
        <v>24.0</v>
      </c>
      <c r="E382" s="9" t="s">
        <v>35</v>
      </c>
      <c r="F382" s="9" t="s">
        <v>36</v>
      </c>
      <c r="G382" s="8" t="s">
        <v>50</v>
      </c>
      <c r="H382" s="9" t="s">
        <v>493</v>
      </c>
      <c r="I382" s="9" t="s">
        <v>38</v>
      </c>
      <c r="J382" s="9" t="s">
        <v>160</v>
      </c>
      <c r="K382" s="9" t="s">
        <v>337</v>
      </c>
      <c r="L382" s="9" t="s">
        <v>39</v>
      </c>
      <c r="M382" s="9" t="s">
        <v>40</v>
      </c>
      <c r="N382" s="9" t="s">
        <v>40</v>
      </c>
      <c r="Q382" s="9" t="s">
        <v>146</v>
      </c>
      <c r="R382" s="9" t="s">
        <v>42</v>
      </c>
      <c r="S382" s="10">
        <v>3300.0</v>
      </c>
      <c r="T382" s="11">
        <v>3300.0</v>
      </c>
      <c r="U382" s="9">
        <v>0.0</v>
      </c>
      <c r="V382" s="9">
        <v>14.0</v>
      </c>
      <c r="W382" s="9" t="s">
        <v>1433</v>
      </c>
      <c r="X382" s="9" t="s">
        <v>1434</v>
      </c>
      <c r="Y382" s="9" t="s">
        <v>58</v>
      </c>
      <c r="Z382" s="9" t="s">
        <v>159</v>
      </c>
      <c r="AA382" s="9" t="s">
        <v>47</v>
      </c>
      <c r="AB382" s="9" t="s">
        <v>61</v>
      </c>
      <c r="AD382" s="9">
        <v>7.0</v>
      </c>
      <c r="AE382" s="9">
        <v>0.0</v>
      </c>
      <c r="AF382" s="9">
        <v>0.0</v>
      </c>
      <c r="AG382" s="12">
        <v>3000.0</v>
      </c>
      <c r="AH382" s="13"/>
    </row>
    <row r="383">
      <c r="A383" s="7">
        <v>44404.15398134259</v>
      </c>
      <c r="B383" s="8">
        <f t="shared" si="1"/>
        <v>2021</v>
      </c>
      <c r="C383" s="9" t="s">
        <v>49</v>
      </c>
      <c r="D383" s="9">
        <v>26.0</v>
      </c>
      <c r="E383" s="9" t="s">
        <v>35</v>
      </c>
      <c r="F383" s="9" t="s">
        <v>36</v>
      </c>
      <c r="G383" s="8" t="s">
        <v>50</v>
      </c>
      <c r="H383" s="8" t="s">
        <v>493</v>
      </c>
      <c r="I383" s="9" t="s">
        <v>38</v>
      </c>
      <c r="J383" s="9" t="s">
        <v>160</v>
      </c>
      <c r="K383" s="8" t="s">
        <v>915</v>
      </c>
      <c r="L383" s="9" t="s">
        <v>39</v>
      </c>
      <c r="M383" s="9" t="s">
        <v>40</v>
      </c>
      <c r="N383" s="9" t="s">
        <v>40</v>
      </c>
      <c r="Q383" s="9" t="s">
        <v>146</v>
      </c>
      <c r="R383" s="9" t="s">
        <v>42</v>
      </c>
      <c r="S383" s="10">
        <v>4300.0</v>
      </c>
      <c r="T383" s="11">
        <v>4300.0</v>
      </c>
      <c r="U383" s="9">
        <v>0.0</v>
      </c>
      <c r="V383" s="9">
        <v>14.0</v>
      </c>
      <c r="W383" s="9" t="s">
        <v>1435</v>
      </c>
      <c r="X383" s="9" t="s">
        <v>1436</v>
      </c>
      <c r="Y383" s="9" t="s">
        <v>1437</v>
      </c>
      <c r="Z383" s="9" t="s">
        <v>159</v>
      </c>
      <c r="AA383" s="9" t="s">
        <v>60</v>
      </c>
      <c r="AB383" s="9" t="s">
        <v>61</v>
      </c>
      <c r="AD383" s="9">
        <v>7.0</v>
      </c>
      <c r="AE383" s="9">
        <v>2.0</v>
      </c>
      <c r="AF383" s="9">
        <v>1.0</v>
      </c>
      <c r="AG383" s="12">
        <v>3000.0</v>
      </c>
      <c r="AH383" s="13"/>
    </row>
    <row r="384">
      <c r="A384" s="7">
        <v>44404.750430810185</v>
      </c>
      <c r="B384" s="8">
        <f t="shared" si="1"/>
        <v>2021</v>
      </c>
      <c r="C384" s="9" t="s">
        <v>49</v>
      </c>
      <c r="D384" s="9">
        <v>32.0</v>
      </c>
      <c r="E384" s="9" t="s">
        <v>35</v>
      </c>
      <c r="F384" s="9" t="s">
        <v>36</v>
      </c>
      <c r="G384" s="8" t="s">
        <v>50</v>
      </c>
      <c r="H384" s="9" t="s">
        <v>82</v>
      </c>
      <c r="I384" s="9" t="s">
        <v>93</v>
      </c>
      <c r="J384" s="9" t="s">
        <v>160</v>
      </c>
      <c r="K384" s="9" t="s">
        <v>166</v>
      </c>
      <c r="L384" s="9" t="s">
        <v>39</v>
      </c>
      <c r="M384" s="9" t="s">
        <v>40</v>
      </c>
      <c r="N384" s="9" t="s">
        <v>40</v>
      </c>
      <c r="Q384" s="9" t="s">
        <v>182</v>
      </c>
      <c r="R384" s="9" t="s">
        <v>42</v>
      </c>
      <c r="S384" s="10">
        <v>8500.0</v>
      </c>
      <c r="T384" s="11">
        <v>8500.0</v>
      </c>
      <c r="U384" s="9">
        <v>0.0</v>
      </c>
      <c r="V384" s="9">
        <v>14.0</v>
      </c>
      <c r="W384" s="9" t="s">
        <v>1438</v>
      </c>
      <c r="X384" s="9" t="s">
        <v>44</v>
      </c>
      <c r="Y384" s="9" t="s">
        <v>58</v>
      </c>
      <c r="Z384" s="9" t="s">
        <v>1439</v>
      </c>
      <c r="AA384" s="9" t="s">
        <v>132</v>
      </c>
      <c r="AB384" s="9" t="s">
        <v>91</v>
      </c>
      <c r="AD384" s="9">
        <v>7.0</v>
      </c>
      <c r="AE384" s="9">
        <v>7.0</v>
      </c>
      <c r="AF384" s="9">
        <v>2.0</v>
      </c>
      <c r="AG384" s="12">
        <v>3000.0</v>
      </c>
      <c r="AH384" s="13"/>
    </row>
    <row r="385">
      <c r="A385" s="7">
        <v>44403.97462283565</v>
      </c>
      <c r="B385" s="8">
        <f t="shared" si="1"/>
        <v>2021</v>
      </c>
      <c r="C385" s="9" t="s">
        <v>49</v>
      </c>
      <c r="D385" s="9">
        <v>31.0</v>
      </c>
      <c r="E385" s="9" t="s">
        <v>35</v>
      </c>
      <c r="F385" s="9" t="s">
        <v>36</v>
      </c>
      <c r="G385" s="8" t="s">
        <v>50</v>
      </c>
      <c r="H385" s="9" t="s">
        <v>106</v>
      </c>
      <c r="I385" s="9" t="s">
        <v>38</v>
      </c>
      <c r="J385" s="9" t="s">
        <v>342</v>
      </c>
      <c r="K385" s="9" t="s">
        <v>944</v>
      </c>
      <c r="L385" s="9" t="s">
        <v>40</v>
      </c>
      <c r="M385" s="9" t="s">
        <v>40</v>
      </c>
      <c r="N385" s="9" t="s">
        <v>39</v>
      </c>
      <c r="P385" s="9" t="s">
        <v>1440</v>
      </c>
      <c r="Q385" s="9" t="s">
        <v>1441</v>
      </c>
      <c r="R385" s="9" t="s">
        <v>42</v>
      </c>
      <c r="S385" s="10">
        <v>7000.0</v>
      </c>
      <c r="T385" s="11">
        <v>10000.0</v>
      </c>
      <c r="U385" s="9">
        <v>0.0</v>
      </c>
      <c r="V385" s="9">
        <v>14.0</v>
      </c>
      <c r="W385" s="9" t="s">
        <v>1442</v>
      </c>
      <c r="X385" s="9" t="s">
        <v>1443</v>
      </c>
      <c r="Y385" s="9" t="s">
        <v>122</v>
      </c>
      <c r="Z385" s="9" t="s">
        <v>89</v>
      </c>
      <c r="AA385" s="9" t="s">
        <v>90</v>
      </c>
      <c r="AB385" s="9" t="s">
        <v>91</v>
      </c>
      <c r="AD385" s="9">
        <v>6.0</v>
      </c>
      <c r="AE385" s="9">
        <v>8.0</v>
      </c>
      <c r="AF385" s="9">
        <v>1.0</v>
      </c>
      <c r="AG385" s="12">
        <v>3000.0</v>
      </c>
      <c r="AH385" s="13"/>
    </row>
    <row r="386">
      <c r="A386" s="14">
        <v>44403.839217500004</v>
      </c>
      <c r="B386" s="8">
        <f t="shared" si="1"/>
        <v>2021</v>
      </c>
      <c r="C386" s="8" t="s">
        <v>49</v>
      </c>
      <c r="D386" s="8">
        <v>27.0</v>
      </c>
      <c r="E386" s="8" t="s">
        <v>35</v>
      </c>
      <c r="F386" s="8" t="s">
        <v>36</v>
      </c>
      <c r="G386" s="8" t="s">
        <v>74</v>
      </c>
      <c r="H386" s="8" t="s">
        <v>482</v>
      </c>
      <c r="I386" s="8" t="s">
        <v>38</v>
      </c>
      <c r="J386" s="9" t="s">
        <v>75</v>
      </c>
      <c r="K386" s="9" t="s">
        <v>381</v>
      </c>
      <c r="L386" s="8" t="s">
        <v>39</v>
      </c>
      <c r="M386" s="8" t="s">
        <v>40</v>
      </c>
      <c r="N386" s="8" t="s">
        <v>40</v>
      </c>
      <c r="O386" s="15"/>
      <c r="P386" s="15"/>
      <c r="Q386" s="8" t="s">
        <v>293</v>
      </c>
      <c r="R386" s="9" t="s">
        <v>42</v>
      </c>
      <c r="S386" s="16">
        <v>5100.0</v>
      </c>
      <c r="T386" s="17">
        <v>10200.0</v>
      </c>
      <c r="U386" s="8">
        <v>0.0</v>
      </c>
      <c r="V386" s="8">
        <v>14.0</v>
      </c>
      <c r="W386" s="8" t="s">
        <v>1444</v>
      </c>
      <c r="X386" s="8" t="s">
        <v>1445</v>
      </c>
      <c r="Y386" s="8" t="s">
        <v>441</v>
      </c>
      <c r="Z386" s="8" t="s">
        <v>80</v>
      </c>
      <c r="AA386" s="8" t="s">
        <v>90</v>
      </c>
      <c r="AB386" s="8" t="s">
        <v>61</v>
      </c>
      <c r="AC386" s="15"/>
      <c r="AD386" s="8">
        <v>8.0</v>
      </c>
      <c r="AE386" s="8">
        <v>2.0</v>
      </c>
      <c r="AF386" s="8">
        <v>3.0</v>
      </c>
      <c r="AG386" s="18">
        <v>3000.0</v>
      </c>
      <c r="AH386" s="13"/>
      <c r="AI386" s="15"/>
      <c r="AJ386" s="15"/>
      <c r="AK386" s="15"/>
      <c r="AL386" s="15"/>
      <c r="AM386" s="15"/>
      <c r="AN386" s="15"/>
    </row>
    <row r="387">
      <c r="A387" s="7">
        <v>44404.21070458333</v>
      </c>
      <c r="B387" s="8">
        <f t="shared" si="1"/>
        <v>2021</v>
      </c>
      <c r="C387" s="9" t="s">
        <v>49</v>
      </c>
      <c r="D387" s="9">
        <v>34.0</v>
      </c>
      <c r="E387" s="9" t="s">
        <v>35</v>
      </c>
      <c r="F387" s="9" t="s">
        <v>36</v>
      </c>
      <c r="G387" s="8" t="s">
        <v>164</v>
      </c>
      <c r="H387" s="9" t="s">
        <v>1446</v>
      </c>
      <c r="I387" s="9" t="s">
        <v>38</v>
      </c>
      <c r="J387" s="9" t="s">
        <v>83</v>
      </c>
      <c r="K387" s="9" t="s">
        <v>166</v>
      </c>
      <c r="L387" s="9" t="s">
        <v>40</v>
      </c>
      <c r="M387" s="9" t="s">
        <v>40</v>
      </c>
      <c r="N387" s="9" t="s">
        <v>40</v>
      </c>
      <c r="Q387" s="9" t="s">
        <v>128</v>
      </c>
      <c r="R387" s="9" t="s">
        <v>42</v>
      </c>
      <c r="S387" s="10">
        <v>14500.0</v>
      </c>
      <c r="T387" s="11">
        <v>16000.0</v>
      </c>
      <c r="V387" s="9">
        <v>14.0</v>
      </c>
      <c r="W387" s="9" t="s">
        <v>1447</v>
      </c>
      <c r="X387" s="9" t="s">
        <v>1448</v>
      </c>
      <c r="Y387" s="9" t="s">
        <v>36</v>
      </c>
      <c r="Z387" s="9" t="s">
        <v>116</v>
      </c>
      <c r="AA387" s="9" t="s">
        <v>90</v>
      </c>
      <c r="AB387" s="9" t="s">
        <v>61</v>
      </c>
      <c r="AD387" s="9">
        <v>6.0</v>
      </c>
      <c r="AE387" s="9">
        <v>10.0</v>
      </c>
      <c r="AF387" s="9">
        <v>6.0</v>
      </c>
      <c r="AG387" s="12">
        <v>3000.0</v>
      </c>
      <c r="AH387" s="13"/>
    </row>
    <row r="388">
      <c r="A388" s="7">
        <v>44403.90751130787</v>
      </c>
      <c r="B388" s="8">
        <f t="shared" si="1"/>
        <v>2021</v>
      </c>
      <c r="C388" s="9" t="s">
        <v>49</v>
      </c>
      <c r="D388" s="9">
        <v>25.0</v>
      </c>
      <c r="E388" s="9" t="s">
        <v>35</v>
      </c>
      <c r="F388" s="9" t="s">
        <v>36</v>
      </c>
      <c r="G388" s="8" t="s">
        <v>50</v>
      </c>
      <c r="H388" s="9" t="s">
        <v>106</v>
      </c>
      <c r="I388" s="9" t="s">
        <v>93</v>
      </c>
      <c r="K388" s="9" t="s">
        <v>1449</v>
      </c>
      <c r="L388" s="9" t="s">
        <v>39</v>
      </c>
      <c r="M388" s="9" t="s">
        <v>40</v>
      </c>
      <c r="N388" s="9" t="s">
        <v>40</v>
      </c>
      <c r="Q388" s="9" t="s">
        <v>557</v>
      </c>
      <c r="R388" s="9" t="s">
        <v>42</v>
      </c>
      <c r="S388" s="10">
        <v>13000.0</v>
      </c>
      <c r="T388" s="11" t="s">
        <v>37</v>
      </c>
      <c r="V388" s="9">
        <v>14.0</v>
      </c>
      <c r="W388" s="9" t="s">
        <v>540</v>
      </c>
      <c r="X388" s="9" t="s">
        <v>1450</v>
      </c>
      <c r="Y388" s="9" t="s">
        <v>180</v>
      </c>
      <c r="Z388" s="9" t="s">
        <v>59</v>
      </c>
      <c r="AA388" s="9" t="s">
        <v>71</v>
      </c>
      <c r="AB388" s="9" t="s">
        <v>61</v>
      </c>
      <c r="AD388" s="9">
        <v>7.0</v>
      </c>
      <c r="AE388" s="9">
        <v>5.0</v>
      </c>
      <c r="AF388" s="9">
        <v>2.0</v>
      </c>
      <c r="AG388" s="12">
        <v>3000.0</v>
      </c>
      <c r="AH388" s="13"/>
    </row>
    <row r="389">
      <c r="A389" s="7">
        <v>44404.04627938657</v>
      </c>
      <c r="B389" s="8">
        <f t="shared" si="1"/>
        <v>2021</v>
      </c>
      <c r="C389" s="9" t="s">
        <v>73</v>
      </c>
      <c r="D389" s="9">
        <v>24.0</v>
      </c>
      <c r="E389" s="9" t="s">
        <v>35</v>
      </c>
      <c r="F389" s="9" t="s">
        <v>36</v>
      </c>
      <c r="G389" s="8" t="s">
        <v>124</v>
      </c>
      <c r="H389" s="9" t="s">
        <v>156</v>
      </c>
      <c r="I389" s="9" t="s">
        <v>38</v>
      </c>
      <c r="J389" s="9" t="s">
        <v>160</v>
      </c>
      <c r="K389" s="9" t="s">
        <v>100</v>
      </c>
      <c r="L389" s="9" t="s">
        <v>39</v>
      </c>
      <c r="M389" s="9" t="s">
        <v>40</v>
      </c>
      <c r="N389" s="9" t="s">
        <v>40</v>
      </c>
      <c r="Q389" s="9" t="s">
        <v>146</v>
      </c>
      <c r="R389" s="9" t="s">
        <v>42</v>
      </c>
      <c r="S389" s="10">
        <v>3500.0</v>
      </c>
      <c r="T389" s="11">
        <v>0.0</v>
      </c>
      <c r="U389" s="9">
        <v>0.0</v>
      </c>
      <c r="V389" s="9">
        <v>15.0</v>
      </c>
      <c r="W389" s="9" t="s">
        <v>1451</v>
      </c>
      <c r="X389" s="9" t="s">
        <v>1452</v>
      </c>
      <c r="Y389" s="9" t="s">
        <v>1453</v>
      </c>
      <c r="Z389" s="9" t="s">
        <v>159</v>
      </c>
      <c r="AA389" s="9" t="s">
        <v>132</v>
      </c>
      <c r="AB389" s="9" t="s">
        <v>61</v>
      </c>
      <c r="AD389" s="9">
        <v>6.0</v>
      </c>
      <c r="AE389" s="9">
        <v>1.0</v>
      </c>
      <c r="AF389" s="9">
        <v>1.0</v>
      </c>
      <c r="AG389" s="12">
        <v>3000.0</v>
      </c>
      <c r="AH389" s="13"/>
    </row>
    <row r="390">
      <c r="A390" s="14">
        <v>44403.85506768519</v>
      </c>
      <c r="B390" s="8">
        <f t="shared" si="1"/>
        <v>2021</v>
      </c>
      <c r="C390" s="8" t="s">
        <v>49</v>
      </c>
      <c r="D390" s="8">
        <v>26.0</v>
      </c>
      <c r="E390" s="8" t="s">
        <v>35</v>
      </c>
      <c r="F390" s="8" t="s">
        <v>36</v>
      </c>
      <c r="G390" s="8" t="s">
        <v>50</v>
      </c>
      <c r="H390" s="8" t="s">
        <v>1454</v>
      </c>
      <c r="I390" s="8" t="s">
        <v>38</v>
      </c>
      <c r="J390" s="9" t="s">
        <v>220</v>
      </c>
      <c r="K390" s="8" t="s">
        <v>476</v>
      </c>
      <c r="L390" s="8" t="s">
        <v>39</v>
      </c>
      <c r="M390" s="8" t="s">
        <v>40</v>
      </c>
      <c r="N390" s="8" t="s">
        <v>40</v>
      </c>
      <c r="O390" s="15"/>
      <c r="P390" s="15"/>
      <c r="Q390" s="8" t="s">
        <v>128</v>
      </c>
      <c r="R390" s="9" t="s">
        <v>42</v>
      </c>
      <c r="S390" s="16">
        <v>4800.0</v>
      </c>
      <c r="T390" s="17">
        <v>0.0</v>
      </c>
      <c r="U390" s="8">
        <v>0.0</v>
      </c>
      <c r="V390" s="8">
        <v>15.0</v>
      </c>
      <c r="W390" s="8" t="s">
        <v>1455</v>
      </c>
      <c r="X390" s="8" t="s">
        <v>224</v>
      </c>
      <c r="Y390" s="8" t="s">
        <v>58</v>
      </c>
      <c r="Z390" s="8" t="s">
        <v>59</v>
      </c>
      <c r="AA390" s="8" t="s">
        <v>132</v>
      </c>
      <c r="AB390" s="8" t="s">
        <v>91</v>
      </c>
      <c r="AC390" s="15"/>
      <c r="AD390" s="8">
        <v>6.0</v>
      </c>
      <c r="AE390" s="8">
        <v>2.0</v>
      </c>
      <c r="AF390" s="8">
        <v>1.0</v>
      </c>
      <c r="AG390" s="18">
        <v>3000.0</v>
      </c>
      <c r="AH390" s="13"/>
      <c r="AI390" s="15"/>
      <c r="AJ390" s="15"/>
      <c r="AK390" s="15"/>
      <c r="AL390" s="15"/>
      <c r="AM390" s="15"/>
      <c r="AN390" s="15"/>
    </row>
    <row r="391">
      <c r="A391" s="14">
        <v>44403.85240283565</v>
      </c>
      <c r="B391" s="8">
        <f t="shared" si="1"/>
        <v>2021</v>
      </c>
      <c r="C391" s="8" t="s">
        <v>49</v>
      </c>
      <c r="D391" s="8">
        <v>24.0</v>
      </c>
      <c r="E391" s="8" t="s">
        <v>1043</v>
      </c>
      <c r="F391" s="8" t="s">
        <v>1456</v>
      </c>
      <c r="G391" s="8" t="s">
        <v>37</v>
      </c>
      <c r="H391" s="8" t="s">
        <v>37</v>
      </c>
      <c r="I391" s="8" t="s">
        <v>38</v>
      </c>
      <c r="J391" s="9" t="s">
        <v>75</v>
      </c>
      <c r="K391" s="8" t="s">
        <v>1457</v>
      </c>
      <c r="L391" s="8" t="s">
        <v>39</v>
      </c>
      <c r="M391" s="8" t="s">
        <v>39</v>
      </c>
      <c r="N391" s="8" t="s">
        <v>40</v>
      </c>
      <c r="O391" s="8" t="s">
        <v>1458</v>
      </c>
      <c r="P391" s="15"/>
      <c r="Q391" s="9" t="s">
        <v>272</v>
      </c>
      <c r="R391" s="9" t="s">
        <v>42</v>
      </c>
      <c r="S391" s="16">
        <v>6000.0</v>
      </c>
      <c r="T391" s="17">
        <v>0.0</v>
      </c>
      <c r="U391" s="8">
        <v>0.0</v>
      </c>
      <c r="V391" s="8">
        <v>15.0</v>
      </c>
      <c r="W391" s="8" t="s">
        <v>1459</v>
      </c>
      <c r="X391" s="8" t="s">
        <v>1041</v>
      </c>
      <c r="Y391" s="8" t="s">
        <v>1460</v>
      </c>
      <c r="Z391" s="8" t="s">
        <v>228</v>
      </c>
      <c r="AA391" s="8" t="s">
        <v>71</v>
      </c>
      <c r="AB391" s="8" t="s">
        <v>61</v>
      </c>
      <c r="AC391" s="15"/>
      <c r="AD391" s="8">
        <v>8.0</v>
      </c>
      <c r="AE391" s="8">
        <v>4.0</v>
      </c>
      <c r="AF391" s="8">
        <v>5.0</v>
      </c>
      <c r="AG391" s="18">
        <v>3000.0</v>
      </c>
      <c r="AH391" s="13"/>
      <c r="AI391" s="15"/>
      <c r="AJ391" s="15"/>
      <c r="AK391" s="15"/>
      <c r="AL391" s="15"/>
      <c r="AM391" s="15"/>
      <c r="AN391" s="15"/>
    </row>
    <row r="392">
      <c r="A392" s="7">
        <v>44404.34301440972</v>
      </c>
      <c r="B392" s="8">
        <f t="shared" si="1"/>
        <v>2021</v>
      </c>
      <c r="C392" s="9" t="s">
        <v>49</v>
      </c>
      <c r="D392" s="9">
        <v>29.0</v>
      </c>
      <c r="E392" s="9" t="s">
        <v>35</v>
      </c>
      <c r="F392" s="9" t="s">
        <v>36</v>
      </c>
      <c r="G392" s="8" t="s">
        <v>50</v>
      </c>
      <c r="H392" s="8" t="s">
        <v>82</v>
      </c>
      <c r="I392" s="9" t="s">
        <v>107</v>
      </c>
      <c r="J392" s="9" t="s">
        <v>75</v>
      </c>
      <c r="K392" s="9" t="s">
        <v>1461</v>
      </c>
      <c r="L392" s="9" t="s">
        <v>39</v>
      </c>
      <c r="M392" s="9" t="s">
        <v>40</v>
      </c>
      <c r="N392" s="9" t="s">
        <v>40</v>
      </c>
      <c r="Q392" s="9" t="s">
        <v>1198</v>
      </c>
      <c r="R392" s="9" t="s">
        <v>42</v>
      </c>
      <c r="S392" s="10">
        <v>6500.0</v>
      </c>
      <c r="T392" s="11">
        <v>0.0</v>
      </c>
      <c r="U392" s="9">
        <v>0.0</v>
      </c>
      <c r="V392" s="9">
        <v>15.0</v>
      </c>
      <c r="W392" s="9" t="s">
        <v>223</v>
      </c>
      <c r="X392" s="9" t="s">
        <v>1462</v>
      </c>
      <c r="Y392" s="9" t="s">
        <v>58</v>
      </c>
      <c r="Z392" s="9" t="s">
        <v>80</v>
      </c>
      <c r="AA392" s="9" t="s">
        <v>71</v>
      </c>
      <c r="AB392" s="9" t="s">
        <v>48</v>
      </c>
      <c r="AD392" s="9">
        <v>1.0</v>
      </c>
      <c r="AE392" s="9">
        <v>3.0</v>
      </c>
      <c r="AF392" s="9">
        <v>2.0</v>
      </c>
      <c r="AG392" s="12">
        <v>3000.0</v>
      </c>
      <c r="AH392" s="13"/>
    </row>
    <row r="393">
      <c r="A393" s="7">
        <v>44404.7296494676</v>
      </c>
      <c r="B393" s="8">
        <f t="shared" si="1"/>
        <v>2021</v>
      </c>
      <c r="C393" s="9" t="s">
        <v>49</v>
      </c>
      <c r="D393" s="9">
        <v>36.0</v>
      </c>
      <c r="E393" s="9" t="s">
        <v>35</v>
      </c>
      <c r="F393" s="9" t="s">
        <v>36</v>
      </c>
      <c r="G393" s="8" t="s">
        <v>164</v>
      </c>
      <c r="H393" s="8" t="s">
        <v>1463</v>
      </c>
      <c r="I393" s="9" t="s">
        <v>93</v>
      </c>
      <c r="J393" s="9" t="s">
        <v>83</v>
      </c>
      <c r="K393" s="9" t="s">
        <v>1464</v>
      </c>
      <c r="L393" s="9" t="s">
        <v>39</v>
      </c>
      <c r="M393" s="9" t="s">
        <v>39</v>
      </c>
      <c r="N393" s="9" t="s">
        <v>40</v>
      </c>
      <c r="O393" s="9" t="s">
        <v>1465</v>
      </c>
      <c r="Q393" s="9" t="s">
        <v>272</v>
      </c>
      <c r="R393" s="9" t="s">
        <v>42</v>
      </c>
      <c r="S393" s="10">
        <v>8000.0</v>
      </c>
      <c r="T393" s="11">
        <v>0.0</v>
      </c>
      <c r="U393" s="9">
        <v>0.0</v>
      </c>
      <c r="V393" s="9">
        <v>15.0</v>
      </c>
      <c r="W393" s="9" t="s">
        <v>1466</v>
      </c>
      <c r="X393" s="9" t="s">
        <v>1467</v>
      </c>
      <c r="Y393" s="9" t="s">
        <v>99</v>
      </c>
      <c r="Z393" s="9" t="s">
        <v>1468</v>
      </c>
      <c r="AA393" s="9" t="s">
        <v>132</v>
      </c>
      <c r="AB393" s="9" t="s">
        <v>91</v>
      </c>
      <c r="AD393" s="9">
        <v>8.0</v>
      </c>
      <c r="AE393" s="9">
        <v>5.0</v>
      </c>
      <c r="AF393" s="9">
        <v>1.0</v>
      </c>
      <c r="AG393" s="12">
        <v>3000.0</v>
      </c>
      <c r="AH393" s="13"/>
    </row>
    <row r="394">
      <c r="A394" s="7">
        <v>44404.37060542824</v>
      </c>
      <c r="B394" s="8">
        <f t="shared" si="1"/>
        <v>2021</v>
      </c>
      <c r="C394" s="9" t="s">
        <v>49</v>
      </c>
      <c r="D394" s="9">
        <v>27.0</v>
      </c>
      <c r="E394" s="9" t="s">
        <v>35</v>
      </c>
      <c r="F394" s="9" t="s">
        <v>36</v>
      </c>
      <c r="G394" s="8" t="s">
        <v>124</v>
      </c>
      <c r="H394" s="9" t="s">
        <v>156</v>
      </c>
      <c r="I394" s="9" t="s">
        <v>38</v>
      </c>
      <c r="J394" s="9" t="s">
        <v>75</v>
      </c>
      <c r="K394" s="9" t="s">
        <v>84</v>
      </c>
      <c r="L394" s="9" t="s">
        <v>39</v>
      </c>
      <c r="M394" s="9" t="s">
        <v>40</v>
      </c>
      <c r="N394" s="9" t="s">
        <v>40</v>
      </c>
      <c r="Q394" s="9" t="s">
        <v>1469</v>
      </c>
      <c r="R394" s="9" t="s">
        <v>42</v>
      </c>
      <c r="S394" s="10">
        <v>10400.0</v>
      </c>
      <c r="T394" s="11">
        <v>0.0</v>
      </c>
      <c r="U394" s="9">
        <v>0.0</v>
      </c>
      <c r="V394" s="9">
        <v>15.0</v>
      </c>
      <c r="W394" s="9" t="s">
        <v>523</v>
      </c>
      <c r="X394" s="9" t="s">
        <v>1470</v>
      </c>
      <c r="Y394" s="9" t="s">
        <v>58</v>
      </c>
      <c r="Z394" s="9" t="s">
        <v>350</v>
      </c>
      <c r="AA394" s="9" t="s">
        <v>132</v>
      </c>
      <c r="AB394" s="9" t="s">
        <v>91</v>
      </c>
      <c r="AD394" s="9">
        <v>7.0</v>
      </c>
      <c r="AE394" s="9">
        <v>5.5</v>
      </c>
      <c r="AF394" s="9">
        <v>0.0</v>
      </c>
      <c r="AG394" s="12">
        <v>3000.0</v>
      </c>
      <c r="AH394" s="13"/>
    </row>
    <row r="395">
      <c r="A395" s="14">
        <v>44403.85684554398</v>
      </c>
      <c r="B395" s="8">
        <f t="shared" si="1"/>
        <v>2021</v>
      </c>
      <c r="C395" s="8" t="s">
        <v>49</v>
      </c>
      <c r="D395" s="8">
        <v>26.0</v>
      </c>
      <c r="E395" s="8" t="s">
        <v>35</v>
      </c>
      <c r="F395" s="8" t="s">
        <v>36</v>
      </c>
      <c r="G395" s="8" t="s">
        <v>50</v>
      </c>
      <c r="H395" s="9" t="s">
        <v>570</v>
      </c>
      <c r="I395" s="8" t="s">
        <v>38</v>
      </c>
      <c r="J395" s="8" t="s">
        <v>160</v>
      </c>
      <c r="K395" s="8" t="s">
        <v>476</v>
      </c>
      <c r="L395" s="8" t="s">
        <v>39</v>
      </c>
      <c r="M395" s="8" t="s">
        <v>40</v>
      </c>
      <c r="N395" s="8" t="s">
        <v>40</v>
      </c>
      <c r="O395" s="15"/>
      <c r="P395" s="15"/>
      <c r="Q395" s="8" t="s">
        <v>1471</v>
      </c>
      <c r="R395" s="9" t="s">
        <v>42</v>
      </c>
      <c r="S395" s="16">
        <v>4000.0</v>
      </c>
      <c r="T395" s="17">
        <v>4000.0</v>
      </c>
      <c r="U395" s="8">
        <v>0.0</v>
      </c>
      <c r="V395" s="8">
        <v>15.0</v>
      </c>
      <c r="W395" s="8" t="s">
        <v>1472</v>
      </c>
      <c r="X395" s="24" t="s">
        <v>1350</v>
      </c>
      <c r="Y395" s="8" t="s">
        <v>678</v>
      </c>
      <c r="Z395" s="8" t="s">
        <v>423</v>
      </c>
      <c r="AA395" s="8" t="s">
        <v>60</v>
      </c>
      <c r="AB395" s="8" t="s">
        <v>61</v>
      </c>
      <c r="AC395" s="15"/>
      <c r="AD395" s="8">
        <v>4.0</v>
      </c>
      <c r="AE395" s="8">
        <v>4.0</v>
      </c>
      <c r="AF395" s="8">
        <v>1.0</v>
      </c>
      <c r="AG395" s="18">
        <v>3000.0</v>
      </c>
      <c r="AH395" s="13"/>
      <c r="AI395" s="15"/>
      <c r="AJ395" s="15"/>
      <c r="AK395" s="15"/>
      <c r="AL395" s="15"/>
      <c r="AM395" s="15"/>
      <c r="AN395" s="15"/>
    </row>
    <row r="396">
      <c r="A396" s="14">
        <v>44403.85200630787</v>
      </c>
      <c r="B396" s="8">
        <f t="shared" si="1"/>
        <v>2021</v>
      </c>
      <c r="C396" s="8" t="s">
        <v>49</v>
      </c>
      <c r="D396" s="8">
        <v>26.0</v>
      </c>
      <c r="E396" s="8" t="s">
        <v>35</v>
      </c>
      <c r="F396" s="8" t="s">
        <v>36</v>
      </c>
      <c r="G396" s="8" t="s">
        <v>50</v>
      </c>
      <c r="H396" s="8" t="s">
        <v>37</v>
      </c>
      <c r="I396" s="8" t="s">
        <v>38</v>
      </c>
      <c r="J396" s="9" t="s">
        <v>160</v>
      </c>
      <c r="K396" s="8" t="s">
        <v>161</v>
      </c>
      <c r="L396" s="8" t="s">
        <v>39</v>
      </c>
      <c r="M396" s="8" t="s">
        <v>40</v>
      </c>
      <c r="N396" s="8" t="s">
        <v>40</v>
      </c>
      <c r="O396" s="15"/>
      <c r="P396" s="15"/>
      <c r="Q396" s="8" t="s">
        <v>128</v>
      </c>
      <c r="R396" s="9" t="s">
        <v>42</v>
      </c>
      <c r="S396" s="16">
        <v>6500.0</v>
      </c>
      <c r="T396" s="17">
        <v>0.0</v>
      </c>
      <c r="U396" s="8">
        <v>0.0</v>
      </c>
      <c r="V396" s="8">
        <v>16.0</v>
      </c>
      <c r="W396" s="8" t="s">
        <v>1473</v>
      </c>
      <c r="X396" s="8" t="s">
        <v>1474</v>
      </c>
      <c r="Y396" s="8" t="s">
        <v>122</v>
      </c>
      <c r="Z396" s="8" t="s">
        <v>1475</v>
      </c>
      <c r="AA396" s="8" t="s">
        <v>60</v>
      </c>
      <c r="AB396" s="8" t="s">
        <v>61</v>
      </c>
      <c r="AC396" s="15"/>
      <c r="AD396" s="8">
        <v>9.0</v>
      </c>
      <c r="AE396" s="8">
        <v>3.0</v>
      </c>
      <c r="AF396" s="8">
        <v>1.0</v>
      </c>
      <c r="AG396" s="18">
        <v>3000.0</v>
      </c>
      <c r="AH396" s="13"/>
      <c r="AI396" s="15"/>
      <c r="AJ396" s="15"/>
      <c r="AK396" s="15"/>
      <c r="AL396" s="15"/>
      <c r="AM396" s="15"/>
      <c r="AN396" s="15"/>
    </row>
    <row r="397">
      <c r="A397" s="14">
        <v>44403.88163267361</v>
      </c>
      <c r="B397" s="8">
        <f t="shared" si="1"/>
        <v>2021</v>
      </c>
      <c r="C397" s="8" t="s">
        <v>49</v>
      </c>
      <c r="D397" s="8">
        <v>25.0</v>
      </c>
      <c r="E397" s="8" t="s">
        <v>35</v>
      </c>
      <c r="F397" s="8" t="s">
        <v>36</v>
      </c>
      <c r="G397" s="8" t="s">
        <v>50</v>
      </c>
      <c r="H397" s="8" t="s">
        <v>1476</v>
      </c>
      <c r="I397" s="8" t="s">
        <v>38</v>
      </c>
      <c r="J397" s="9" t="s">
        <v>75</v>
      </c>
      <c r="K397" s="9" t="s">
        <v>381</v>
      </c>
      <c r="L397" s="8" t="s">
        <v>39</v>
      </c>
      <c r="M397" s="8" t="s">
        <v>40</v>
      </c>
      <c r="N397" s="8" t="s">
        <v>40</v>
      </c>
      <c r="O397" s="15"/>
      <c r="P397" s="15"/>
      <c r="Q397" s="8" t="s">
        <v>584</v>
      </c>
      <c r="R397" s="9" t="s">
        <v>42</v>
      </c>
      <c r="S397" s="16">
        <v>3300.0</v>
      </c>
      <c r="T397" s="17">
        <v>3750.0</v>
      </c>
      <c r="U397" s="8">
        <v>0.0</v>
      </c>
      <c r="V397" s="8">
        <v>17.0</v>
      </c>
      <c r="W397" s="8" t="s">
        <v>1477</v>
      </c>
      <c r="X397" s="8" t="s">
        <v>1478</v>
      </c>
      <c r="Y397" s="8" t="s">
        <v>131</v>
      </c>
      <c r="Z397" s="8" t="s">
        <v>89</v>
      </c>
      <c r="AA397" s="8" t="s">
        <v>71</v>
      </c>
      <c r="AB397" s="8" t="s">
        <v>61</v>
      </c>
      <c r="AC397" s="15"/>
      <c r="AD397" s="8">
        <v>5.0</v>
      </c>
      <c r="AE397" s="8">
        <v>1.0</v>
      </c>
      <c r="AF397" s="8">
        <v>0.0</v>
      </c>
      <c r="AG397" s="18">
        <v>3000.0</v>
      </c>
      <c r="AH397" s="13"/>
      <c r="AI397" s="15"/>
      <c r="AJ397" s="15"/>
      <c r="AK397" s="15"/>
      <c r="AL397" s="15"/>
      <c r="AM397" s="15"/>
      <c r="AN397" s="15"/>
    </row>
    <row r="398">
      <c r="A398" s="7">
        <v>44404.18533340278</v>
      </c>
      <c r="B398" s="8">
        <f t="shared" si="1"/>
        <v>2021</v>
      </c>
      <c r="C398" s="9" t="s">
        <v>49</v>
      </c>
      <c r="D398" s="9">
        <v>25.0</v>
      </c>
      <c r="E398" s="9" t="s">
        <v>35</v>
      </c>
      <c r="F398" s="9" t="s">
        <v>36</v>
      </c>
      <c r="G398" s="8" t="s">
        <v>50</v>
      </c>
      <c r="H398" s="9" t="s">
        <v>206</v>
      </c>
      <c r="I398" s="9" t="s">
        <v>38</v>
      </c>
      <c r="J398" s="9" t="s">
        <v>160</v>
      </c>
      <c r="K398" s="9" t="s">
        <v>337</v>
      </c>
      <c r="L398" s="9" t="s">
        <v>39</v>
      </c>
      <c r="M398" s="9" t="s">
        <v>40</v>
      </c>
      <c r="N398" s="9" t="s">
        <v>40</v>
      </c>
      <c r="Q398" s="9" t="s">
        <v>128</v>
      </c>
      <c r="R398" s="9" t="s">
        <v>42</v>
      </c>
      <c r="S398" s="10">
        <v>3800.0</v>
      </c>
      <c r="T398" s="11">
        <v>0.0</v>
      </c>
      <c r="U398" s="9">
        <v>0.0</v>
      </c>
      <c r="V398" s="9">
        <v>18.0</v>
      </c>
      <c r="W398" s="9" t="s">
        <v>1479</v>
      </c>
      <c r="X398" s="9" t="s">
        <v>1480</v>
      </c>
      <c r="Y398" s="9" t="s">
        <v>131</v>
      </c>
      <c r="Z398" s="9" t="s">
        <v>59</v>
      </c>
      <c r="AA398" s="9" t="s">
        <v>60</v>
      </c>
      <c r="AB398" s="9" t="s">
        <v>61</v>
      </c>
      <c r="AD398" s="9">
        <v>10.0</v>
      </c>
      <c r="AE398" s="9">
        <v>1.0</v>
      </c>
      <c r="AF398" s="9">
        <v>2.0</v>
      </c>
      <c r="AG398" s="12">
        <v>3000.0</v>
      </c>
      <c r="AH398" s="13"/>
    </row>
    <row r="399">
      <c r="A399" s="14">
        <v>44403.8440308912</v>
      </c>
      <c r="B399" s="8">
        <f t="shared" si="1"/>
        <v>2021</v>
      </c>
      <c r="C399" s="8" t="s">
        <v>49</v>
      </c>
      <c r="D399" s="8">
        <v>25.0</v>
      </c>
      <c r="E399" s="8" t="s">
        <v>35</v>
      </c>
      <c r="F399" s="8" t="s">
        <v>36</v>
      </c>
      <c r="G399" s="8" t="s">
        <v>50</v>
      </c>
      <c r="H399" s="8" t="s">
        <v>106</v>
      </c>
      <c r="I399" s="8" t="s">
        <v>38</v>
      </c>
      <c r="J399" s="9" t="s">
        <v>160</v>
      </c>
      <c r="K399" s="8" t="s">
        <v>161</v>
      </c>
      <c r="L399" s="8" t="s">
        <v>39</v>
      </c>
      <c r="M399" s="8" t="s">
        <v>40</v>
      </c>
      <c r="N399" s="8" t="s">
        <v>40</v>
      </c>
      <c r="O399" s="15"/>
      <c r="P399" s="15"/>
      <c r="Q399" s="8" t="s">
        <v>1481</v>
      </c>
      <c r="R399" s="9" t="s">
        <v>42</v>
      </c>
      <c r="S399" s="16">
        <v>4200.0</v>
      </c>
      <c r="T399" s="17">
        <v>0.0</v>
      </c>
      <c r="U399" s="8">
        <v>0.0</v>
      </c>
      <c r="V399" s="8">
        <v>18.0</v>
      </c>
      <c r="W399" s="8" t="s">
        <v>1482</v>
      </c>
      <c r="X399" s="8" t="s">
        <v>1483</v>
      </c>
      <c r="Y399" s="8" t="s">
        <v>58</v>
      </c>
      <c r="Z399" s="8" t="s">
        <v>347</v>
      </c>
      <c r="AA399" s="8" t="s">
        <v>71</v>
      </c>
      <c r="AB399" s="8" t="s">
        <v>61</v>
      </c>
      <c r="AC399" s="15"/>
      <c r="AD399" s="8">
        <v>7.0</v>
      </c>
      <c r="AE399" s="8">
        <v>3.0</v>
      </c>
      <c r="AF399" s="8">
        <v>1.0</v>
      </c>
      <c r="AG399" s="18">
        <v>3000.0</v>
      </c>
      <c r="AH399" s="13"/>
      <c r="AI399" s="15"/>
      <c r="AJ399" s="15"/>
      <c r="AK399" s="15"/>
      <c r="AL399" s="15"/>
      <c r="AM399" s="15"/>
      <c r="AN399" s="15"/>
    </row>
    <row r="400">
      <c r="A400" s="14">
        <v>44403.84861453704</v>
      </c>
      <c r="B400" s="8">
        <f t="shared" si="1"/>
        <v>2021</v>
      </c>
      <c r="C400" s="8" t="s">
        <v>73</v>
      </c>
      <c r="D400" s="8">
        <v>27.0</v>
      </c>
      <c r="E400" s="8" t="s">
        <v>35</v>
      </c>
      <c r="F400" s="8" t="s">
        <v>36</v>
      </c>
      <c r="G400" s="8" t="s">
        <v>50</v>
      </c>
      <c r="H400" s="8" t="s">
        <v>180</v>
      </c>
      <c r="I400" s="8" t="s">
        <v>38</v>
      </c>
      <c r="J400" s="9" t="s">
        <v>75</v>
      </c>
      <c r="K400" s="9" t="s">
        <v>166</v>
      </c>
      <c r="L400" s="8" t="s">
        <v>39</v>
      </c>
      <c r="M400" s="8" t="s">
        <v>40</v>
      </c>
      <c r="N400" s="8" t="s">
        <v>40</v>
      </c>
      <c r="O400" s="15"/>
      <c r="P400" s="15"/>
      <c r="Q400" s="9" t="s">
        <v>272</v>
      </c>
      <c r="R400" s="9" t="s">
        <v>42</v>
      </c>
      <c r="S400" s="16">
        <v>5000.0</v>
      </c>
      <c r="T400" s="17">
        <v>2000.0</v>
      </c>
      <c r="U400" s="8">
        <v>0.0</v>
      </c>
      <c r="V400" s="8">
        <v>18.0</v>
      </c>
      <c r="W400" s="8" t="s">
        <v>1484</v>
      </c>
      <c r="X400" s="8" t="s">
        <v>1485</v>
      </c>
      <c r="Y400" s="8" t="s">
        <v>58</v>
      </c>
      <c r="Z400" s="8" t="s">
        <v>350</v>
      </c>
      <c r="AA400" s="8" t="s">
        <v>132</v>
      </c>
      <c r="AB400" s="8" t="s">
        <v>91</v>
      </c>
      <c r="AC400" s="15"/>
      <c r="AD400" s="8">
        <v>6.0</v>
      </c>
      <c r="AE400" s="8">
        <v>4.0</v>
      </c>
      <c r="AF400" s="8">
        <v>0.0</v>
      </c>
      <c r="AG400" s="18">
        <v>3000.0</v>
      </c>
      <c r="AH400" s="13"/>
      <c r="AI400" s="15"/>
      <c r="AJ400" s="15"/>
      <c r="AK400" s="15"/>
      <c r="AL400" s="15"/>
      <c r="AM400" s="15"/>
      <c r="AN400" s="15"/>
    </row>
    <row r="401">
      <c r="A401" s="7">
        <v>44404.005612928246</v>
      </c>
      <c r="B401" s="8">
        <f t="shared" si="1"/>
        <v>2021</v>
      </c>
      <c r="C401" s="9" t="s">
        <v>49</v>
      </c>
      <c r="D401" s="9">
        <v>28.0</v>
      </c>
      <c r="E401" s="9" t="s">
        <v>35</v>
      </c>
      <c r="F401" s="9" t="s">
        <v>246</v>
      </c>
      <c r="G401" s="8" t="s">
        <v>246</v>
      </c>
      <c r="H401" s="9" t="s">
        <v>246</v>
      </c>
      <c r="I401" s="9" t="s">
        <v>38</v>
      </c>
      <c r="J401" s="9" t="s">
        <v>75</v>
      </c>
      <c r="K401" s="9" t="s">
        <v>188</v>
      </c>
      <c r="L401" s="9" t="s">
        <v>39</v>
      </c>
      <c r="M401" s="9" t="s">
        <v>40</v>
      </c>
      <c r="N401" s="9" t="s">
        <v>40</v>
      </c>
      <c r="Q401" s="9" t="s">
        <v>281</v>
      </c>
      <c r="R401" s="9" t="s">
        <v>250</v>
      </c>
      <c r="S401" s="10">
        <v>4700.0</v>
      </c>
      <c r="T401" s="11">
        <v>4700.0</v>
      </c>
      <c r="V401" s="9">
        <v>18.0</v>
      </c>
      <c r="W401" s="9" t="s">
        <v>1486</v>
      </c>
      <c r="X401" s="9" t="s">
        <v>1487</v>
      </c>
      <c r="Y401" s="9" t="s">
        <v>139</v>
      </c>
      <c r="Z401" s="9" t="s">
        <v>1488</v>
      </c>
      <c r="AA401" s="9" t="s">
        <v>81</v>
      </c>
      <c r="AB401" s="9" t="s">
        <v>91</v>
      </c>
      <c r="AC401" s="9" t="s">
        <v>1489</v>
      </c>
      <c r="AD401" s="9">
        <v>8.0</v>
      </c>
      <c r="AE401" s="9">
        <v>3.0</v>
      </c>
      <c r="AF401" s="9">
        <v>1.0</v>
      </c>
      <c r="AG401" s="12">
        <v>3000.0</v>
      </c>
      <c r="AH401" s="13"/>
    </row>
    <row r="402">
      <c r="A402" s="7">
        <v>44404.332200046294</v>
      </c>
      <c r="B402" s="8">
        <f t="shared" si="1"/>
        <v>2021</v>
      </c>
      <c r="C402" s="9" t="s">
        <v>49</v>
      </c>
      <c r="D402" s="9">
        <v>23.0</v>
      </c>
      <c r="E402" s="9" t="s">
        <v>35</v>
      </c>
      <c r="F402" s="9" t="s">
        <v>36</v>
      </c>
      <c r="G402" s="8" t="s">
        <v>124</v>
      </c>
      <c r="H402" s="9" t="s">
        <v>1106</v>
      </c>
      <c r="I402" s="9" t="s">
        <v>38</v>
      </c>
      <c r="J402" s="9" t="s">
        <v>75</v>
      </c>
      <c r="K402" s="9" t="s">
        <v>1490</v>
      </c>
      <c r="L402" s="9" t="s">
        <v>39</v>
      </c>
      <c r="M402" s="9" t="s">
        <v>39</v>
      </c>
      <c r="N402" s="9" t="s">
        <v>40</v>
      </c>
      <c r="Q402" s="9" t="s">
        <v>146</v>
      </c>
      <c r="R402" s="9" t="s">
        <v>42</v>
      </c>
      <c r="S402" s="10">
        <v>3000.0</v>
      </c>
      <c r="T402" s="11" t="s">
        <v>37</v>
      </c>
      <c r="V402" s="9">
        <v>19.0</v>
      </c>
      <c r="W402" s="9" t="s">
        <v>1491</v>
      </c>
      <c r="X402" s="9" t="s">
        <v>1492</v>
      </c>
      <c r="Y402" s="9" t="s">
        <v>1493</v>
      </c>
      <c r="Z402" s="9" t="s">
        <v>59</v>
      </c>
      <c r="AA402" s="9" t="s">
        <v>81</v>
      </c>
      <c r="AB402" s="9" t="s">
        <v>61</v>
      </c>
      <c r="AD402" s="9">
        <v>6.0</v>
      </c>
      <c r="AE402" s="9">
        <v>0.0</v>
      </c>
      <c r="AF402" s="9">
        <v>6.0</v>
      </c>
      <c r="AG402" s="12">
        <v>3000.0</v>
      </c>
      <c r="AH402" s="13"/>
    </row>
    <row r="403">
      <c r="A403" s="7">
        <v>44404.50096089121</v>
      </c>
      <c r="B403" s="8">
        <f t="shared" si="1"/>
        <v>2021</v>
      </c>
      <c r="C403" s="9" t="s">
        <v>49</v>
      </c>
      <c r="D403" s="9">
        <v>30.0</v>
      </c>
      <c r="E403" s="9" t="s">
        <v>35</v>
      </c>
      <c r="F403" s="9" t="s">
        <v>36</v>
      </c>
      <c r="G403" s="8" t="s">
        <v>50</v>
      </c>
      <c r="H403" s="9" t="s">
        <v>82</v>
      </c>
      <c r="I403" s="9" t="s">
        <v>38</v>
      </c>
      <c r="J403" s="9" t="s">
        <v>828</v>
      </c>
      <c r="K403" s="9" t="s">
        <v>1494</v>
      </c>
      <c r="L403" s="9" t="s">
        <v>40</v>
      </c>
      <c r="M403" s="9" t="s">
        <v>40</v>
      </c>
      <c r="N403" s="9" t="s">
        <v>40</v>
      </c>
      <c r="Q403" s="9" t="s">
        <v>746</v>
      </c>
      <c r="R403" s="9" t="s">
        <v>42</v>
      </c>
      <c r="S403" s="10">
        <v>5980.0</v>
      </c>
      <c r="T403" s="11">
        <v>0.0</v>
      </c>
      <c r="U403" s="9">
        <v>0.0</v>
      </c>
      <c r="V403" s="9">
        <v>20.0</v>
      </c>
      <c r="W403" s="9" t="s">
        <v>1495</v>
      </c>
      <c r="X403" s="9" t="s">
        <v>1496</v>
      </c>
      <c r="Y403" s="9" t="s">
        <v>131</v>
      </c>
      <c r="Z403" s="9" t="s">
        <v>70</v>
      </c>
      <c r="AA403" s="9" t="s">
        <v>81</v>
      </c>
      <c r="AB403" s="9" t="s">
        <v>61</v>
      </c>
      <c r="AD403" s="9">
        <v>5.0</v>
      </c>
      <c r="AE403" s="9">
        <v>6.0</v>
      </c>
      <c r="AF403" s="9">
        <v>4.0</v>
      </c>
      <c r="AG403" s="12">
        <v>3000.0</v>
      </c>
      <c r="AH403" s="13"/>
    </row>
    <row r="404">
      <c r="A404" s="14">
        <v>44403.867045844905</v>
      </c>
      <c r="B404" s="8">
        <f t="shared" si="1"/>
        <v>2021</v>
      </c>
      <c r="C404" s="8" t="s">
        <v>49</v>
      </c>
      <c r="D404" s="8">
        <v>26.0</v>
      </c>
      <c r="E404" s="8" t="s">
        <v>35</v>
      </c>
      <c r="F404" s="8" t="s">
        <v>36</v>
      </c>
      <c r="G404" s="8" t="s">
        <v>50</v>
      </c>
      <c r="H404" s="9" t="s">
        <v>570</v>
      </c>
      <c r="I404" s="8" t="s">
        <v>38</v>
      </c>
      <c r="J404" s="9" t="s">
        <v>342</v>
      </c>
      <c r="K404" s="9" t="s">
        <v>337</v>
      </c>
      <c r="L404" s="8" t="s">
        <v>39</v>
      </c>
      <c r="M404" s="8" t="s">
        <v>40</v>
      </c>
      <c r="N404" s="8" t="s">
        <v>40</v>
      </c>
      <c r="O404" s="15"/>
      <c r="P404" s="15"/>
      <c r="Q404" s="8" t="s">
        <v>746</v>
      </c>
      <c r="R404" s="9" t="s">
        <v>42</v>
      </c>
      <c r="S404" s="16">
        <v>9000.0</v>
      </c>
      <c r="T404" s="17">
        <v>0.0</v>
      </c>
      <c r="U404" s="8">
        <v>0.0</v>
      </c>
      <c r="V404" s="8">
        <v>20.0</v>
      </c>
      <c r="W404" s="8" t="s">
        <v>1497</v>
      </c>
      <c r="X404" s="8" t="s">
        <v>1233</v>
      </c>
      <c r="Y404" s="8" t="s">
        <v>122</v>
      </c>
      <c r="Z404" s="8" t="s">
        <v>59</v>
      </c>
      <c r="AA404" s="8" t="s">
        <v>60</v>
      </c>
      <c r="AB404" s="8" t="s">
        <v>133</v>
      </c>
      <c r="AC404" s="8" t="s">
        <v>1397</v>
      </c>
      <c r="AD404" s="8">
        <v>8.0</v>
      </c>
      <c r="AE404" s="8">
        <v>3.0</v>
      </c>
      <c r="AF404" s="8">
        <v>3.0</v>
      </c>
      <c r="AG404" s="18">
        <v>3000.0</v>
      </c>
      <c r="AH404" s="13"/>
      <c r="AI404" s="15"/>
      <c r="AJ404" s="15"/>
      <c r="AK404" s="15"/>
      <c r="AL404" s="15"/>
      <c r="AM404" s="15"/>
      <c r="AN404" s="15"/>
    </row>
    <row r="405">
      <c r="A405" s="7">
        <v>44403.941952939815</v>
      </c>
      <c r="B405" s="8">
        <f t="shared" si="1"/>
        <v>2021</v>
      </c>
      <c r="C405" s="9" t="s">
        <v>49</v>
      </c>
      <c r="D405" s="9">
        <v>33.0</v>
      </c>
      <c r="E405" s="9" t="s">
        <v>35</v>
      </c>
      <c r="F405" s="9" t="s">
        <v>36</v>
      </c>
      <c r="G405" s="8" t="s">
        <v>124</v>
      </c>
      <c r="H405" s="9" t="s">
        <v>156</v>
      </c>
      <c r="I405" s="9" t="s">
        <v>38</v>
      </c>
      <c r="L405" s="9" t="s">
        <v>39</v>
      </c>
      <c r="M405" s="9" t="s">
        <v>40</v>
      </c>
      <c r="N405" s="9" t="s">
        <v>40</v>
      </c>
      <c r="Q405" s="9" t="s">
        <v>128</v>
      </c>
      <c r="R405" s="9" t="s">
        <v>42</v>
      </c>
      <c r="S405" s="10">
        <v>10000.0</v>
      </c>
      <c r="T405" s="11">
        <v>0.0</v>
      </c>
      <c r="U405" s="9">
        <v>0.0</v>
      </c>
      <c r="V405" s="9">
        <v>20.0</v>
      </c>
      <c r="W405" s="9" t="s">
        <v>1498</v>
      </c>
      <c r="X405" s="9" t="s">
        <v>1499</v>
      </c>
      <c r="Y405" s="9" t="s">
        <v>1500</v>
      </c>
      <c r="Z405" s="9" t="s">
        <v>423</v>
      </c>
      <c r="AA405" s="9" t="s">
        <v>60</v>
      </c>
      <c r="AB405" s="9" t="s">
        <v>133</v>
      </c>
      <c r="AD405" s="9">
        <v>8.0</v>
      </c>
      <c r="AE405" s="9">
        <v>7.0</v>
      </c>
      <c r="AF405" s="9">
        <v>2.0</v>
      </c>
      <c r="AG405" s="12">
        <v>3000.0</v>
      </c>
      <c r="AH405" s="13"/>
    </row>
    <row r="406">
      <c r="A406" s="7">
        <v>44404.36686940972</v>
      </c>
      <c r="B406" s="8">
        <f t="shared" si="1"/>
        <v>2021</v>
      </c>
      <c r="C406" s="9" t="s">
        <v>49</v>
      </c>
      <c r="D406" s="9">
        <v>30.0</v>
      </c>
      <c r="E406" s="9" t="s">
        <v>35</v>
      </c>
      <c r="F406" s="9" t="s">
        <v>36</v>
      </c>
      <c r="G406" s="8" t="s">
        <v>124</v>
      </c>
      <c r="H406" s="9" t="s">
        <v>156</v>
      </c>
      <c r="I406" s="9" t="s">
        <v>38</v>
      </c>
      <c r="J406" s="9" t="s">
        <v>160</v>
      </c>
      <c r="K406" s="9" t="s">
        <v>161</v>
      </c>
      <c r="L406" s="9" t="s">
        <v>39</v>
      </c>
      <c r="M406" s="9" t="s">
        <v>40</v>
      </c>
      <c r="N406" s="9" t="s">
        <v>40</v>
      </c>
      <c r="Q406" s="9" t="s">
        <v>308</v>
      </c>
      <c r="R406" s="9" t="s">
        <v>42</v>
      </c>
      <c r="S406" s="10">
        <v>6000.0</v>
      </c>
      <c r="T406" s="11">
        <v>18000.0</v>
      </c>
      <c r="U406" s="9">
        <v>0.0</v>
      </c>
      <c r="V406" s="9">
        <v>20.0</v>
      </c>
      <c r="W406" s="9" t="s">
        <v>1501</v>
      </c>
      <c r="X406" s="9" t="s">
        <v>1502</v>
      </c>
      <c r="Y406" s="9" t="s">
        <v>122</v>
      </c>
      <c r="Z406" s="9" t="s">
        <v>347</v>
      </c>
      <c r="AA406" s="9" t="s">
        <v>81</v>
      </c>
      <c r="AB406" s="9" t="s">
        <v>133</v>
      </c>
      <c r="AD406" s="9">
        <v>10.0</v>
      </c>
      <c r="AE406" s="9">
        <v>2.0</v>
      </c>
      <c r="AF406" s="9">
        <v>3.0</v>
      </c>
      <c r="AG406" s="12">
        <v>3000.0</v>
      </c>
      <c r="AH406" s="13"/>
    </row>
    <row r="407">
      <c r="A407" s="7">
        <v>44403.94458037037</v>
      </c>
      <c r="B407" s="8">
        <f t="shared" si="1"/>
        <v>2021</v>
      </c>
      <c r="C407" s="9" t="s">
        <v>49</v>
      </c>
      <c r="D407" s="9">
        <v>29.0</v>
      </c>
      <c r="E407" s="9" t="s">
        <v>35</v>
      </c>
      <c r="F407" s="9" t="s">
        <v>36</v>
      </c>
      <c r="G407" s="8" t="s">
        <v>124</v>
      </c>
      <c r="H407" s="9" t="s">
        <v>156</v>
      </c>
      <c r="I407" s="9" t="s">
        <v>38</v>
      </c>
      <c r="J407" s="9" t="s">
        <v>75</v>
      </c>
      <c r="K407" s="9" t="s">
        <v>134</v>
      </c>
      <c r="L407" s="9" t="s">
        <v>39</v>
      </c>
      <c r="M407" s="9" t="s">
        <v>40</v>
      </c>
      <c r="N407" s="9" t="s">
        <v>40</v>
      </c>
      <c r="P407" s="9" t="s">
        <v>1503</v>
      </c>
      <c r="Q407" s="9" t="s">
        <v>128</v>
      </c>
      <c r="R407" s="9" t="s">
        <v>42</v>
      </c>
      <c r="S407" s="10">
        <v>9000.0</v>
      </c>
      <c r="T407" s="11">
        <v>35000.0</v>
      </c>
      <c r="U407" s="9">
        <v>0.0</v>
      </c>
      <c r="V407" s="9">
        <v>20.0</v>
      </c>
      <c r="W407" s="9" t="s">
        <v>1504</v>
      </c>
      <c r="X407" s="9" t="s">
        <v>1505</v>
      </c>
      <c r="Y407" s="9" t="s">
        <v>122</v>
      </c>
      <c r="Z407" s="9" t="s">
        <v>59</v>
      </c>
      <c r="AA407" s="9" t="s">
        <v>81</v>
      </c>
      <c r="AB407" s="9" t="s">
        <v>61</v>
      </c>
      <c r="AD407" s="9">
        <v>8.0</v>
      </c>
      <c r="AE407" s="9">
        <v>5.0</v>
      </c>
      <c r="AF407" s="9">
        <v>2.0</v>
      </c>
      <c r="AG407" s="12">
        <v>3000.0</v>
      </c>
      <c r="AH407" s="13"/>
    </row>
    <row r="408">
      <c r="A408" s="7">
        <v>44404.061679074075</v>
      </c>
      <c r="B408" s="8">
        <f t="shared" si="1"/>
        <v>2021</v>
      </c>
      <c r="C408" s="9" t="s">
        <v>49</v>
      </c>
      <c r="D408" s="9">
        <v>24.0</v>
      </c>
      <c r="E408" s="9" t="s">
        <v>35</v>
      </c>
      <c r="F408" s="9" t="s">
        <v>36</v>
      </c>
      <c r="G408" s="8" t="s">
        <v>124</v>
      </c>
      <c r="H408" s="9" t="s">
        <v>460</v>
      </c>
      <c r="I408" s="9" t="s">
        <v>38</v>
      </c>
      <c r="J408" s="9" t="s">
        <v>863</v>
      </c>
      <c r="K408" s="9" t="s">
        <v>414</v>
      </c>
      <c r="L408" s="9" t="s">
        <v>39</v>
      </c>
      <c r="M408" s="9" t="s">
        <v>40</v>
      </c>
      <c r="N408" s="9" t="s">
        <v>40</v>
      </c>
      <c r="Q408" s="9" t="s">
        <v>634</v>
      </c>
      <c r="R408" s="9" t="s">
        <v>42</v>
      </c>
      <c r="S408" s="10">
        <v>3300.0</v>
      </c>
      <c r="T408" s="11" t="s">
        <v>37</v>
      </c>
      <c r="V408" s="9">
        <v>20.0</v>
      </c>
      <c r="W408" s="9" t="s">
        <v>1506</v>
      </c>
      <c r="X408" s="9" t="s">
        <v>384</v>
      </c>
      <c r="Y408" s="9" t="s">
        <v>390</v>
      </c>
      <c r="Z408" s="9" t="s">
        <v>159</v>
      </c>
      <c r="AA408" s="9" t="s">
        <v>60</v>
      </c>
      <c r="AB408" s="9" t="s">
        <v>61</v>
      </c>
      <c r="AD408" s="9">
        <v>7.0</v>
      </c>
      <c r="AE408" s="9">
        <v>0.0</v>
      </c>
      <c r="AF408" s="9">
        <v>0.0</v>
      </c>
      <c r="AG408" s="12">
        <v>3000.0</v>
      </c>
      <c r="AH408" s="13"/>
    </row>
    <row r="409">
      <c r="A409" s="7">
        <v>44404.385308032404</v>
      </c>
      <c r="B409" s="8">
        <f t="shared" si="1"/>
        <v>2021</v>
      </c>
      <c r="C409" s="9" t="s">
        <v>49</v>
      </c>
      <c r="D409" s="9">
        <v>32.0</v>
      </c>
      <c r="E409" s="9" t="s">
        <v>35</v>
      </c>
      <c r="F409" s="9" t="s">
        <v>36</v>
      </c>
      <c r="G409" s="8" t="s">
        <v>50</v>
      </c>
      <c r="H409" s="9" t="s">
        <v>117</v>
      </c>
      <c r="I409" s="9" t="s">
        <v>247</v>
      </c>
      <c r="J409" s="9" t="s">
        <v>910</v>
      </c>
      <c r="K409" s="9" t="s">
        <v>1507</v>
      </c>
      <c r="L409" s="9" t="s">
        <v>40</v>
      </c>
      <c r="M409" s="9" t="s">
        <v>39</v>
      </c>
      <c r="N409" s="9" t="s">
        <v>40</v>
      </c>
      <c r="O409" s="9" t="s">
        <v>1508</v>
      </c>
      <c r="Q409" s="8" t="s">
        <v>255</v>
      </c>
      <c r="R409" s="9" t="s">
        <v>42</v>
      </c>
      <c r="S409" s="10">
        <v>6000.0</v>
      </c>
      <c r="T409" s="11" t="s">
        <v>37</v>
      </c>
      <c r="V409" s="9">
        <v>20.0</v>
      </c>
      <c r="W409" s="9" t="s">
        <v>433</v>
      </c>
      <c r="X409" s="9" t="s">
        <v>1509</v>
      </c>
      <c r="Y409" s="9" t="s">
        <v>1510</v>
      </c>
      <c r="Z409" s="9" t="s">
        <v>350</v>
      </c>
      <c r="AA409" s="9" t="s">
        <v>71</v>
      </c>
      <c r="AB409" s="9" t="s">
        <v>61</v>
      </c>
      <c r="AD409" s="9">
        <v>8.0</v>
      </c>
      <c r="AE409" s="9">
        <v>7.0</v>
      </c>
      <c r="AF409" s="9">
        <v>7.0</v>
      </c>
      <c r="AG409" s="12">
        <v>3000.0</v>
      </c>
      <c r="AH409" s="13"/>
    </row>
    <row r="410">
      <c r="A410" s="7">
        <v>44404.78714712963</v>
      </c>
      <c r="B410" s="8">
        <f t="shared" si="1"/>
        <v>2021</v>
      </c>
      <c r="C410" s="9" t="s">
        <v>49</v>
      </c>
      <c r="D410" s="9">
        <v>26.0</v>
      </c>
      <c r="E410" s="9" t="s">
        <v>35</v>
      </c>
      <c r="F410" s="9" t="s">
        <v>36</v>
      </c>
      <c r="G410" s="8" t="s">
        <v>50</v>
      </c>
      <c r="H410" s="9" t="s">
        <v>106</v>
      </c>
      <c r="I410" s="9" t="s">
        <v>38</v>
      </c>
      <c r="J410" s="9" t="s">
        <v>160</v>
      </c>
      <c r="K410" s="9" t="s">
        <v>84</v>
      </c>
      <c r="L410" s="9" t="s">
        <v>39</v>
      </c>
      <c r="M410" s="9" t="s">
        <v>40</v>
      </c>
      <c r="N410" s="9" t="s">
        <v>40</v>
      </c>
      <c r="Q410" s="9" t="s">
        <v>272</v>
      </c>
      <c r="R410" s="9" t="s">
        <v>42</v>
      </c>
      <c r="S410" s="10">
        <v>7200.0</v>
      </c>
      <c r="T410" s="11">
        <v>0.0</v>
      </c>
      <c r="U410" s="9">
        <v>0.0</v>
      </c>
      <c r="V410" s="9">
        <v>21.0</v>
      </c>
      <c r="W410" s="9" t="s">
        <v>1511</v>
      </c>
      <c r="X410" s="9" t="s">
        <v>1512</v>
      </c>
      <c r="Y410" s="9" t="s">
        <v>1513</v>
      </c>
      <c r="Z410" s="9" t="s">
        <v>59</v>
      </c>
      <c r="AA410" s="9" t="s">
        <v>60</v>
      </c>
      <c r="AB410" s="9" t="s">
        <v>133</v>
      </c>
      <c r="AC410" s="9" t="s">
        <v>1397</v>
      </c>
      <c r="AD410" s="9">
        <v>8.0</v>
      </c>
      <c r="AE410" s="9">
        <v>3.0</v>
      </c>
      <c r="AF410" s="9">
        <v>3.0</v>
      </c>
      <c r="AG410" s="12">
        <v>3000.0</v>
      </c>
      <c r="AH410" s="13"/>
    </row>
    <row r="411">
      <c r="A411" s="7">
        <v>44404.04881224537</v>
      </c>
      <c r="B411" s="8">
        <f t="shared" si="1"/>
        <v>2021</v>
      </c>
      <c r="C411" s="9" t="s">
        <v>49</v>
      </c>
      <c r="D411" s="9">
        <v>28.0</v>
      </c>
      <c r="E411" s="9" t="s">
        <v>35</v>
      </c>
      <c r="F411" s="9" t="s">
        <v>36</v>
      </c>
      <c r="G411" s="8" t="s">
        <v>124</v>
      </c>
      <c r="H411" s="9" t="s">
        <v>460</v>
      </c>
      <c r="I411" s="9" t="s">
        <v>38</v>
      </c>
      <c r="J411" s="9" t="s">
        <v>75</v>
      </c>
      <c r="K411" s="9" t="s">
        <v>84</v>
      </c>
      <c r="L411" s="9" t="s">
        <v>39</v>
      </c>
      <c r="M411" s="9" t="s">
        <v>40</v>
      </c>
      <c r="N411" s="9" t="s">
        <v>40</v>
      </c>
      <c r="Q411" s="9" t="s">
        <v>146</v>
      </c>
      <c r="R411" s="9" t="s">
        <v>42</v>
      </c>
      <c r="S411" s="10">
        <v>6700.0</v>
      </c>
      <c r="T411" s="11">
        <v>6700.0</v>
      </c>
      <c r="U411" s="9">
        <v>0.0</v>
      </c>
      <c r="V411" s="9">
        <v>21.0</v>
      </c>
      <c r="W411" s="9" t="s">
        <v>1514</v>
      </c>
      <c r="X411" s="9" t="s">
        <v>1515</v>
      </c>
      <c r="Y411" s="9" t="s">
        <v>50</v>
      </c>
      <c r="Z411" s="9" t="s">
        <v>1516</v>
      </c>
      <c r="AA411" s="9" t="s">
        <v>90</v>
      </c>
      <c r="AB411" s="9" t="s">
        <v>91</v>
      </c>
      <c r="AD411" s="9">
        <v>7.0</v>
      </c>
      <c r="AE411" s="9">
        <v>4.0</v>
      </c>
      <c r="AF411" s="9">
        <v>1.0</v>
      </c>
      <c r="AG411" s="12">
        <v>3000.0</v>
      </c>
      <c r="AH411" s="13"/>
    </row>
    <row r="412">
      <c r="A412" s="7">
        <v>44404.87344539352</v>
      </c>
      <c r="B412" s="8">
        <f t="shared" si="1"/>
        <v>2021</v>
      </c>
      <c r="C412" s="9" t="s">
        <v>49</v>
      </c>
      <c r="D412" s="9">
        <v>31.0</v>
      </c>
      <c r="E412" s="9" t="s">
        <v>35</v>
      </c>
      <c r="F412" s="9" t="s">
        <v>36</v>
      </c>
      <c r="G412" s="8" t="s">
        <v>63</v>
      </c>
      <c r="H412" s="9" t="s">
        <v>1517</v>
      </c>
      <c r="I412" s="9" t="s">
        <v>38</v>
      </c>
      <c r="J412" s="9" t="s">
        <v>83</v>
      </c>
      <c r="K412" s="9" t="s">
        <v>200</v>
      </c>
      <c r="L412" s="9" t="s">
        <v>39</v>
      </c>
      <c r="M412" s="9" t="s">
        <v>40</v>
      </c>
      <c r="N412" s="9" t="s">
        <v>40</v>
      </c>
      <c r="Q412" s="9" t="s">
        <v>272</v>
      </c>
      <c r="R412" s="9" t="s">
        <v>42</v>
      </c>
      <c r="S412" s="10">
        <v>7000.0</v>
      </c>
      <c r="T412" s="11">
        <v>28000.0</v>
      </c>
      <c r="U412" s="9">
        <v>0.0</v>
      </c>
      <c r="V412" s="9">
        <v>21.0</v>
      </c>
      <c r="W412" s="9" t="s">
        <v>1518</v>
      </c>
      <c r="X412" s="9" t="s">
        <v>457</v>
      </c>
      <c r="Y412" s="9" t="s">
        <v>124</v>
      </c>
      <c r="Z412" s="9" t="s">
        <v>1343</v>
      </c>
      <c r="AA412" s="9" t="s">
        <v>90</v>
      </c>
      <c r="AB412" s="9" t="s">
        <v>91</v>
      </c>
      <c r="AD412" s="9">
        <v>8.0</v>
      </c>
      <c r="AE412" s="9">
        <v>3.0</v>
      </c>
      <c r="AF412" s="9">
        <v>1.0</v>
      </c>
      <c r="AG412" s="12">
        <v>3000.0</v>
      </c>
      <c r="AH412" s="13"/>
    </row>
    <row r="413">
      <c r="A413" s="7">
        <v>44403.92464927083</v>
      </c>
      <c r="B413" s="8">
        <f t="shared" si="1"/>
        <v>2021</v>
      </c>
      <c r="C413" s="9" t="s">
        <v>49</v>
      </c>
      <c r="D413" s="9">
        <v>29.0</v>
      </c>
      <c r="E413" s="9" t="s">
        <v>35</v>
      </c>
      <c r="F413" s="9" t="s">
        <v>36</v>
      </c>
      <c r="G413" s="8" t="s">
        <v>124</v>
      </c>
      <c r="H413" s="9" t="s">
        <v>206</v>
      </c>
      <c r="I413" s="9" t="s">
        <v>93</v>
      </c>
      <c r="L413" s="9" t="s">
        <v>40</v>
      </c>
      <c r="M413" s="9" t="s">
        <v>40</v>
      </c>
      <c r="N413" s="9" t="s">
        <v>40</v>
      </c>
      <c r="Q413" s="9" t="s">
        <v>1519</v>
      </c>
      <c r="R413" s="9" t="s">
        <v>42</v>
      </c>
      <c r="S413" s="10">
        <v>18000.0</v>
      </c>
      <c r="T413" s="11">
        <v>30000.0</v>
      </c>
      <c r="U413" s="9">
        <v>50000.0</v>
      </c>
      <c r="V413" s="9">
        <v>21.0</v>
      </c>
      <c r="W413" s="9" t="s">
        <v>1520</v>
      </c>
      <c r="X413" s="9" t="s">
        <v>1521</v>
      </c>
      <c r="Y413" s="9" t="s">
        <v>58</v>
      </c>
      <c r="Z413" s="9" t="s">
        <v>1013</v>
      </c>
      <c r="AA413" s="9" t="s">
        <v>81</v>
      </c>
      <c r="AB413" s="9" t="s">
        <v>91</v>
      </c>
      <c r="AD413" s="9">
        <v>10.0</v>
      </c>
      <c r="AE413" s="9">
        <v>7.0</v>
      </c>
      <c r="AF413" s="9">
        <v>1.0</v>
      </c>
      <c r="AG413" s="12">
        <v>3000.0</v>
      </c>
      <c r="AH413" s="13"/>
    </row>
    <row r="414">
      <c r="A414" s="7">
        <v>44403.90063483796</v>
      </c>
      <c r="B414" s="8">
        <f t="shared" si="1"/>
        <v>2021</v>
      </c>
      <c r="C414" s="9" t="s">
        <v>49</v>
      </c>
      <c r="D414" s="9">
        <v>26.0</v>
      </c>
      <c r="E414" s="9" t="s">
        <v>35</v>
      </c>
      <c r="F414" s="9" t="s">
        <v>36</v>
      </c>
      <c r="G414" s="8" t="s">
        <v>50</v>
      </c>
      <c r="H414" s="8" t="s">
        <v>1522</v>
      </c>
      <c r="I414" s="9" t="s">
        <v>38</v>
      </c>
      <c r="J414" s="9" t="s">
        <v>160</v>
      </c>
      <c r="K414" s="9" t="s">
        <v>1523</v>
      </c>
      <c r="L414" s="9" t="s">
        <v>39</v>
      </c>
      <c r="M414" s="9" t="s">
        <v>40</v>
      </c>
      <c r="N414" s="9" t="s">
        <v>39</v>
      </c>
      <c r="P414" s="9" t="s">
        <v>1524</v>
      </c>
      <c r="Q414" s="9" t="s">
        <v>128</v>
      </c>
      <c r="R414" s="9" t="s">
        <v>42</v>
      </c>
      <c r="S414" s="10">
        <v>6500.0</v>
      </c>
      <c r="T414" s="11">
        <v>13000.0</v>
      </c>
      <c r="V414" s="9">
        <v>21.0</v>
      </c>
      <c r="W414" s="9" t="s">
        <v>1525</v>
      </c>
      <c r="X414" s="9" t="s">
        <v>358</v>
      </c>
      <c r="Y414" s="9" t="s">
        <v>36</v>
      </c>
      <c r="Z414" s="9" t="s">
        <v>59</v>
      </c>
      <c r="AA414" s="9" t="s">
        <v>71</v>
      </c>
      <c r="AB414" s="9" t="s">
        <v>61</v>
      </c>
      <c r="AC414" s="9" t="s">
        <v>1526</v>
      </c>
      <c r="AD414" s="9">
        <v>10.0</v>
      </c>
      <c r="AE414" s="9">
        <v>3.0</v>
      </c>
      <c r="AF414" s="9">
        <v>1.0</v>
      </c>
      <c r="AG414" s="12">
        <v>3000.0</v>
      </c>
      <c r="AH414" s="13"/>
    </row>
    <row r="415">
      <c r="A415" s="14">
        <v>44403.866865613425</v>
      </c>
      <c r="B415" s="8">
        <f t="shared" si="1"/>
        <v>2021</v>
      </c>
      <c r="C415" s="8" t="s">
        <v>49</v>
      </c>
      <c r="D415" s="8">
        <v>29.0</v>
      </c>
      <c r="E415" s="8" t="s">
        <v>35</v>
      </c>
      <c r="F415" s="8" t="s">
        <v>36</v>
      </c>
      <c r="G415" s="8" t="s">
        <v>50</v>
      </c>
      <c r="H415" s="8" t="s">
        <v>493</v>
      </c>
      <c r="I415" s="8" t="s">
        <v>38</v>
      </c>
      <c r="J415" s="9" t="s">
        <v>75</v>
      </c>
      <c r="K415" s="9" t="s">
        <v>1527</v>
      </c>
      <c r="L415" s="8" t="s">
        <v>39</v>
      </c>
      <c r="M415" s="8" t="s">
        <v>40</v>
      </c>
      <c r="N415" s="8" t="s">
        <v>40</v>
      </c>
      <c r="O415" s="15"/>
      <c r="P415" s="15"/>
      <c r="Q415" s="9" t="s">
        <v>182</v>
      </c>
      <c r="R415" s="9" t="s">
        <v>42</v>
      </c>
      <c r="S415" s="16">
        <v>7200.0</v>
      </c>
      <c r="T415" s="11" t="s">
        <v>37</v>
      </c>
      <c r="U415" s="15"/>
      <c r="V415" s="8">
        <v>21.0</v>
      </c>
      <c r="W415" s="8" t="s">
        <v>1528</v>
      </c>
      <c r="X415" s="8" t="s">
        <v>1529</v>
      </c>
      <c r="Y415" s="8" t="s">
        <v>58</v>
      </c>
      <c r="Z415" s="8" t="s">
        <v>59</v>
      </c>
      <c r="AA415" s="8" t="s">
        <v>132</v>
      </c>
      <c r="AB415" s="8" t="s">
        <v>91</v>
      </c>
      <c r="AC415" s="15"/>
      <c r="AD415" s="8">
        <v>7.0</v>
      </c>
      <c r="AE415" s="8">
        <v>5.0</v>
      </c>
      <c r="AF415" s="8">
        <v>1.0</v>
      </c>
      <c r="AG415" s="18">
        <v>3000.0</v>
      </c>
      <c r="AH415" s="13"/>
      <c r="AI415" s="15"/>
      <c r="AJ415" s="15"/>
      <c r="AK415" s="15"/>
      <c r="AL415" s="15"/>
      <c r="AM415" s="15"/>
      <c r="AN415" s="15"/>
    </row>
    <row r="416">
      <c r="A416" s="7">
        <v>44404.59531949074</v>
      </c>
      <c r="B416" s="8">
        <f t="shared" si="1"/>
        <v>2021</v>
      </c>
      <c r="C416" s="9" t="s">
        <v>49</v>
      </c>
      <c r="D416" s="9">
        <v>25.0</v>
      </c>
      <c r="E416" s="9" t="s">
        <v>35</v>
      </c>
      <c r="F416" s="9" t="s">
        <v>36</v>
      </c>
      <c r="G416" s="8" t="s">
        <v>124</v>
      </c>
      <c r="H416" s="9" t="s">
        <v>206</v>
      </c>
      <c r="I416" s="9" t="s">
        <v>38</v>
      </c>
      <c r="J416" s="9" t="s">
        <v>160</v>
      </c>
      <c r="K416" s="9" t="s">
        <v>1530</v>
      </c>
      <c r="L416" s="9" t="s">
        <v>39</v>
      </c>
      <c r="M416" s="9" t="s">
        <v>40</v>
      </c>
      <c r="N416" s="9" t="s">
        <v>40</v>
      </c>
      <c r="Q416" s="9" t="s">
        <v>128</v>
      </c>
      <c r="R416" s="9" t="s">
        <v>42</v>
      </c>
      <c r="S416" s="10">
        <v>4000.0</v>
      </c>
      <c r="T416" s="11">
        <v>4000.0</v>
      </c>
      <c r="U416" s="9">
        <v>0.0</v>
      </c>
      <c r="V416" s="9">
        <v>22.0</v>
      </c>
      <c r="W416" s="9" t="s">
        <v>1531</v>
      </c>
      <c r="X416" s="9" t="s">
        <v>1532</v>
      </c>
      <c r="Y416" s="9" t="s">
        <v>131</v>
      </c>
      <c r="Z416" s="9" t="s">
        <v>59</v>
      </c>
      <c r="AA416" s="9" t="s">
        <v>60</v>
      </c>
      <c r="AB416" s="9" t="s">
        <v>91</v>
      </c>
      <c r="AD416" s="9">
        <v>7.0</v>
      </c>
      <c r="AE416" s="9">
        <v>1.5</v>
      </c>
      <c r="AF416" s="9">
        <v>1.0</v>
      </c>
      <c r="AG416" s="12">
        <v>3000.0</v>
      </c>
      <c r="AH416" s="13"/>
    </row>
    <row r="417">
      <c r="A417" s="7">
        <v>44404.804296793984</v>
      </c>
      <c r="B417" s="8">
        <f t="shared" si="1"/>
        <v>2021</v>
      </c>
      <c r="C417" s="9" t="s">
        <v>49</v>
      </c>
      <c r="D417" s="9">
        <v>33.0</v>
      </c>
      <c r="E417" s="9" t="s">
        <v>35</v>
      </c>
      <c r="F417" s="9" t="s">
        <v>1533</v>
      </c>
      <c r="G417" s="9" t="s">
        <v>1534</v>
      </c>
      <c r="H417" s="9" t="s">
        <v>1535</v>
      </c>
      <c r="I417" s="9" t="s">
        <v>93</v>
      </c>
      <c r="J417" s="9" t="s">
        <v>1536</v>
      </c>
      <c r="K417" s="9" t="s">
        <v>1536</v>
      </c>
      <c r="L417" s="9" t="s">
        <v>40</v>
      </c>
      <c r="M417" s="9" t="s">
        <v>39</v>
      </c>
      <c r="N417" s="9" t="s">
        <v>39</v>
      </c>
      <c r="O417" s="9" t="s">
        <v>1537</v>
      </c>
      <c r="P417" s="9" t="s">
        <v>1538</v>
      </c>
      <c r="Q417" s="9" t="s">
        <v>548</v>
      </c>
      <c r="R417" s="9" t="s">
        <v>538</v>
      </c>
      <c r="S417" s="10">
        <v>8000.0</v>
      </c>
      <c r="T417" s="11">
        <v>9600.0</v>
      </c>
      <c r="U417" s="9">
        <v>0.0</v>
      </c>
      <c r="V417" s="9">
        <v>60.0</v>
      </c>
      <c r="W417" s="9" t="s">
        <v>1539</v>
      </c>
      <c r="X417" s="9" t="s">
        <v>1540</v>
      </c>
      <c r="Y417" s="9" t="s">
        <v>1541</v>
      </c>
      <c r="Z417" s="9" t="s">
        <v>70</v>
      </c>
      <c r="AA417" s="9" t="s">
        <v>71</v>
      </c>
      <c r="AB417" s="9" t="s">
        <v>61</v>
      </c>
      <c r="AC417" s="9" t="s">
        <v>1542</v>
      </c>
      <c r="AD417" s="9">
        <v>10.0</v>
      </c>
      <c r="AE417" s="9">
        <v>10.0</v>
      </c>
      <c r="AF417" s="9">
        <v>3.0</v>
      </c>
      <c r="AG417" s="12">
        <v>3000.0</v>
      </c>
      <c r="AH417" s="13"/>
    </row>
    <row r="418">
      <c r="A418" s="14">
        <v>44403.837006064816</v>
      </c>
      <c r="B418" s="8">
        <f t="shared" si="1"/>
        <v>2021</v>
      </c>
      <c r="C418" s="8" t="s">
        <v>73</v>
      </c>
      <c r="D418" s="8">
        <v>25.0</v>
      </c>
      <c r="E418" s="8" t="s">
        <v>35</v>
      </c>
      <c r="F418" s="8" t="s">
        <v>36</v>
      </c>
      <c r="G418" s="8" t="s">
        <v>124</v>
      </c>
      <c r="H418" s="8" t="s">
        <v>37</v>
      </c>
      <c r="I418" s="8" t="s">
        <v>38</v>
      </c>
      <c r="J418" s="9" t="s">
        <v>75</v>
      </c>
      <c r="K418" s="15"/>
      <c r="L418" s="8" t="s">
        <v>39</v>
      </c>
      <c r="M418" s="8" t="s">
        <v>40</v>
      </c>
      <c r="N418" s="8" t="s">
        <v>39</v>
      </c>
      <c r="O418" s="15"/>
      <c r="P418" s="8" t="s">
        <v>1543</v>
      </c>
      <c r="Q418" s="8" t="s">
        <v>571</v>
      </c>
      <c r="R418" s="9" t="s">
        <v>42</v>
      </c>
      <c r="S418" s="16">
        <v>17000.0</v>
      </c>
      <c r="T418" s="11" t="s">
        <v>37</v>
      </c>
      <c r="U418" s="15"/>
      <c r="V418" s="8">
        <v>99.0</v>
      </c>
      <c r="W418" s="8" t="s">
        <v>1544</v>
      </c>
      <c r="X418" s="8" t="s">
        <v>1545</v>
      </c>
      <c r="Y418" s="8" t="s">
        <v>1546</v>
      </c>
      <c r="Z418" s="8" t="s">
        <v>159</v>
      </c>
      <c r="AA418" s="8" t="s">
        <v>81</v>
      </c>
      <c r="AB418" s="8" t="s">
        <v>91</v>
      </c>
      <c r="AC418" s="15"/>
      <c r="AD418" s="8">
        <v>10.0</v>
      </c>
      <c r="AE418" s="8">
        <v>3.0</v>
      </c>
      <c r="AF418" s="8">
        <v>2.0</v>
      </c>
      <c r="AG418" s="18">
        <v>3000.0</v>
      </c>
      <c r="AH418" s="13"/>
      <c r="AI418" s="15"/>
      <c r="AJ418" s="15"/>
      <c r="AK418" s="15"/>
      <c r="AL418" s="15"/>
      <c r="AM418" s="15"/>
      <c r="AN418" s="15"/>
    </row>
    <row r="419">
      <c r="A419" s="7">
        <v>44403.94277356481</v>
      </c>
      <c r="B419" s="8">
        <f t="shared" si="1"/>
        <v>2021</v>
      </c>
      <c r="C419" s="9" t="s">
        <v>49</v>
      </c>
      <c r="D419" s="9">
        <v>32.0</v>
      </c>
      <c r="E419" s="9" t="s">
        <v>35</v>
      </c>
      <c r="F419" s="9" t="s">
        <v>36</v>
      </c>
      <c r="G419" s="8" t="s">
        <v>50</v>
      </c>
      <c r="H419" s="9" t="s">
        <v>106</v>
      </c>
      <c r="I419" s="9" t="s">
        <v>38</v>
      </c>
      <c r="J419" s="9" t="s">
        <v>560</v>
      </c>
      <c r="K419" s="9" t="s">
        <v>84</v>
      </c>
      <c r="L419" s="9" t="s">
        <v>39</v>
      </c>
      <c r="M419" s="9" t="s">
        <v>40</v>
      </c>
      <c r="N419" s="9" t="s">
        <v>40</v>
      </c>
      <c r="Q419" s="9" t="s">
        <v>272</v>
      </c>
      <c r="R419" s="9" t="s">
        <v>42</v>
      </c>
      <c r="S419" s="10">
        <v>7000.0</v>
      </c>
      <c r="T419" s="11" t="s">
        <v>37</v>
      </c>
      <c r="V419" s="9">
        <v>14.0</v>
      </c>
      <c r="W419" s="9" t="s">
        <v>1547</v>
      </c>
      <c r="X419" s="9" t="s">
        <v>865</v>
      </c>
      <c r="Y419" s="9" t="s">
        <v>349</v>
      </c>
      <c r="Z419" s="9" t="s">
        <v>59</v>
      </c>
      <c r="AA419" s="9" t="s">
        <v>71</v>
      </c>
      <c r="AB419" s="9" t="s">
        <v>91</v>
      </c>
      <c r="AD419" s="9">
        <v>9.0</v>
      </c>
      <c r="AE419" s="9">
        <v>7.0</v>
      </c>
      <c r="AF419" s="9">
        <v>3.0</v>
      </c>
      <c r="AG419" s="12">
        <v>3080.0</v>
      </c>
      <c r="AH419" s="13"/>
    </row>
    <row r="420">
      <c r="A420" s="7">
        <v>44426.06439324074</v>
      </c>
      <c r="B420" s="8">
        <f t="shared" si="1"/>
        <v>2021</v>
      </c>
      <c r="C420" s="9" t="s">
        <v>49</v>
      </c>
      <c r="D420" s="9">
        <v>26.0</v>
      </c>
      <c r="E420" s="9" t="s">
        <v>1548</v>
      </c>
      <c r="F420" s="9" t="s">
        <v>36</v>
      </c>
      <c r="G420" s="8" t="s">
        <v>50</v>
      </c>
      <c r="H420" s="8" t="s">
        <v>493</v>
      </c>
      <c r="I420" s="9" t="s">
        <v>38</v>
      </c>
      <c r="J420" s="9" t="s">
        <v>75</v>
      </c>
      <c r="K420" s="9" t="s">
        <v>959</v>
      </c>
      <c r="L420" s="9" t="s">
        <v>39</v>
      </c>
      <c r="M420" s="9" t="s">
        <v>40</v>
      </c>
      <c r="N420" s="9" t="s">
        <v>40</v>
      </c>
      <c r="Q420" s="9" t="s">
        <v>128</v>
      </c>
      <c r="R420" s="9" t="s">
        <v>42</v>
      </c>
      <c r="S420" s="10">
        <v>6200.0</v>
      </c>
      <c r="T420" s="11">
        <v>6200.0</v>
      </c>
      <c r="U420" s="9">
        <v>0.0</v>
      </c>
      <c r="V420" s="9">
        <v>14.0</v>
      </c>
      <c r="W420" s="9" t="s">
        <v>1549</v>
      </c>
      <c r="X420" s="9" t="s">
        <v>1550</v>
      </c>
      <c r="Y420" s="9" t="s">
        <v>886</v>
      </c>
      <c r="Z420" s="9" t="s">
        <v>1551</v>
      </c>
      <c r="AA420" s="9" t="s">
        <v>71</v>
      </c>
      <c r="AB420" s="9" t="s">
        <v>91</v>
      </c>
      <c r="AD420" s="9">
        <v>6.0</v>
      </c>
      <c r="AE420" s="9">
        <v>3.0</v>
      </c>
      <c r="AF420" s="9">
        <v>0.0</v>
      </c>
      <c r="AG420" s="12">
        <v>3100.0</v>
      </c>
      <c r="AH420" s="13"/>
    </row>
    <row r="421">
      <c r="A421" s="7">
        <v>44495.572583877314</v>
      </c>
      <c r="B421" s="8">
        <f t="shared" si="1"/>
        <v>2021</v>
      </c>
      <c r="C421" s="9" t="s">
        <v>49</v>
      </c>
      <c r="D421" s="9">
        <v>27.0</v>
      </c>
      <c r="E421" s="9" t="s">
        <v>35</v>
      </c>
      <c r="F421" s="9" t="s">
        <v>36</v>
      </c>
      <c r="G421" s="8" t="s">
        <v>50</v>
      </c>
      <c r="H421" s="8" t="s">
        <v>493</v>
      </c>
      <c r="I421" s="9" t="s">
        <v>38</v>
      </c>
      <c r="J421" s="9" t="s">
        <v>160</v>
      </c>
      <c r="K421" s="9" t="s">
        <v>161</v>
      </c>
      <c r="L421" s="9" t="s">
        <v>39</v>
      </c>
      <c r="M421" s="9" t="s">
        <v>39</v>
      </c>
      <c r="N421" s="9" t="s">
        <v>39</v>
      </c>
      <c r="O421" s="9" t="s">
        <v>1552</v>
      </c>
      <c r="P421" s="9" t="s">
        <v>1553</v>
      </c>
      <c r="Q421" s="9" t="s">
        <v>1554</v>
      </c>
      <c r="R421" s="9" t="s">
        <v>42</v>
      </c>
      <c r="S421" s="10">
        <v>4325.0</v>
      </c>
      <c r="T421" s="11">
        <v>8650.0</v>
      </c>
      <c r="U421" s="9">
        <v>0.0</v>
      </c>
      <c r="V421" s="9">
        <v>15.0</v>
      </c>
      <c r="W421" s="9" t="s">
        <v>1555</v>
      </c>
      <c r="X421" s="9" t="s">
        <v>1556</v>
      </c>
      <c r="Y421" s="9" t="s">
        <v>58</v>
      </c>
      <c r="Z421" s="9" t="s">
        <v>1557</v>
      </c>
      <c r="AA421" s="9" t="s">
        <v>132</v>
      </c>
      <c r="AB421" s="9" t="s">
        <v>91</v>
      </c>
      <c r="AC421" s="9" t="s">
        <v>1558</v>
      </c>
      <c r="AD421" s="9">
        <v>7.0</v>
      </c>
      <c r="AE421" s="9">
        <v>3.5</v>
      </c>
      <c r="AF421" s="9">
        <v>1.0</v>
      </c>
      <c r="AG421" s="12">
        <v>3100.0</v>
      </c>
      <c r="AH421" s="13"/>
    </row>
    <row r="422">
      <c r="A422" s="7">
        <v>44614.37413917824</v>
      </c>
      <c r="B422" s="8">
        <f t="shared" si="1"/>
        <v>2022</v>
      </c>
      <c r="C422" s="9" t="s">
        <v>49</v>
      </c>
      <c r="D422" s="9">
        <v>28.0</v>
      </c>
      <c r="E422" s="9" t="s">
        <v>35</v>
      </c>
      <c r="F422" s="9" t="s">
        <v>36</v>
      </c>
      <c r="G422" s="8" t="s">
        <v>124</v>
      </c>
      <c r="H422" s="9" t="s">
        <v>156</v>
      </c>
      <c r="I422" s="9" t="s">
        <v>247</v>
      </c>
      <c r="J422" s="9" t="s">
        <v>239</v>
      </c>
      <c r="K422" s="9" t="s">
        <v>944</v>
      </c>
      <c r="L422" s="9" t="s">
        <v>39</v>
      </c>
      <c r="M422" s="9" t="s">
        <v>40</v>
      </c>
      <c r="N422" s="9" t="s">
        <v>40</v>
      </c>
      <c r="Q422" s="9" t="s">
        <v>128</v>
      </c>
      <c r="R422" s="9" t="s">
        <v>42</v>
      </c>
      <c r="S422" s="10">
        <v>4000.0</v>
      </c>
      <c r="T422" s="11">
        <v>0.0</v>
      </c>
      <c r="U422" s="9">
        <v>0.0</v>
      </c>
      <c r="V422" s="9">
        <v>16.0</v>
      </c>
      <c r="W422" s="9" t="s">
        <v>1559</v>
      </c>
      <c r="X422" s="9" t="s">
        <v>1560</v>
      </c>
      <c r="Y422" s="9" t="s">
        <v>122</v>
      </c>
      <c r="Z422" s="9" t="s">
        <v>89</v>
      </c>
      <c r="AA422" s="9" t="s">
        <v>60</v>
      </c>
      <c r="AB422" s="9" t="s">
        <v>61</v>
      </c>
      <c r="AD422" s="9">
        <v>6.0</v>
      </c>
      <c r="AE422" s="9">
        <v>1.0</v>
      </c>
      <c r="AF422" s="9">
        <v>2.0</v>
      </c>
      <c r="AG422" s="12">
        <v>3100.0</v>
      </c>
      <c r="AH422" s="13"/>
    </row>
    <row r="423">
      <c r="A423" s="7">
        <v>44614.95656342593</v>
      </c>
      <c r="B423" s="8">
        <f t="shared" si="1"/>
        <v>2022</v>
      </c>
      <c r="C423" s="9" t="s">
        <v>49</v>
      </c>
      <c r="D423" s="9">
        <v>23.0</v>
      </c>
      <c r="E423" s="9" t="s">
        <v>35</v>
      </c>
      <c r="F423" s="9" t="s">
        <v>36</v>
      </c>
      <c r="G423" s="8" t="s">
        <v>50</v>
      </c>
      <c r="H423" s="8" t="s">
        <v>180</v>
      </c>
      <c r="I423" s="9" t="s">
        <v>38</v>
      </c>
      <c r="J423" s="9" t="s">
        <v>160</v>
      </c>
      <c r="K423" s="9" t="s">
        <v>84</v>
      </c>
      <c r="L423" s="9" t="s">
        <v>39</v>
      </c>
      <c r="M423" s="9" t="s">
        <v>40</v>
      </c>
      <c r="N423" s="9" t="s">
        <v>40</v>
      </c>
      <c r="Q423" s="9" t="s">
        <v>128</v>
      </c>
      <c r="R423" s="9" t="s">
        <v>42</v>
      </c>
      <c r="S423" s="10">
        <v>3100.0</v>
      </c>
      <c r="T423" s="11">
        <v>0.0</v>
      </c>
      <c r="U423" s="9">
        <v>0.0</v>
      </c>
      <c r="V423" s="9">
        <v>18.0</v>
      </c>
      <c r="W423" s="9" t="s">
        <v>1561</v>
      </c>
      <c r="X423" s="9" t="s">
        <v>1562</v>
      </c>
      <c r="Y423" s="9" t="s">
        <v>1453</v>
      </c>
      <c r="Z423" s="9" t="s">
        <v>160</v>
      </c>
      <c r="AA423" s="9" t="s">
        <v>47</v>
      </c>
      <c r="AB423" s="9" t="s">
        <v>61</v>
      </c>
      <c r="AC423" s="9" t="s">
        <v>1563</v>
      </c>
      <c r="AD423" s="9">
        <v>7.0</v>
      </c>
      <c r="AE423" s="9">
        <v>1.0</v>
      </c>
      <c r="AF423" s="9">
        <v>0.0</v>
      </c>
      <c r="AG423" s="12">
        <v>3100.0</v>
      </c>
      <c r="AH423" s="13"/>
    </row>
    <row r="424">
      <c r="A424" s="7">
        <v>44424.42088609954</v>
      </c>
      <c r="B424" s="8">
        <f t="shared" si="1"/>
        <v>2021</v>
      </c>
      <c r="C424" s="9" t="s">
        <v>49</v>
      </c>
      <c r="D424" s="9">
        <v>29.0</v>
      </c>
      <c r="E424" s="9" t="s">
        <v>35</v>
      </c>
      <c r="F424" s="9" t="s">
        <v>36</v>
      </c>
      <c r="G424" s="8" t="s">
        <v>50</v>
      </c>
      <c r="H424" s="9" t="s">
        <v>206</v>
      </c>
      <c r="I424" s="9" t="s">
        <v>38</v>
      </c>
      <c r="J424" s="9" t="s">
        <v>160</v>
      </c>
      <c r="K424" s="9" t="s">
        <v>166</v>
      </c>
      <c r="L424" s="9" t="s">
        <v>39</v>
      </c>
      <c r="M424" s="9" t="s">
        <v>40</v>
      </c>
      <c r="N424" s="9" t="s">
        <v>40</v>
      </c>
      <c r="Q424" s="9" t="s">
        <v>150</v>
      </c>
      <c r="R424" s="9" t="s">
        <v>42</v>
      </c>
      <c r="S424" s="10">
        <v>7440.0</v>
      </c>
      <c r="T424" s="11">
        <v>6500.0</v>
      </c>
      <c r="U424" s="9">
        <v>0.0</v>
      </c>
      <c r="V424" s="9">
        <v>18.0</v>
      </c>
      <c r="W424" s="9" t="s">
        <v>1564</v>
      </c>
      <c r="X424" s="9" t="s">
        <v>1565</v>
      </c>
      <c r="Y424" s="9" t="s">
        <v>58</v>
      </c>
      <c r="Z424" s="9" t="s">
        <v>155</v>
      </c>
      <c r="AA424" s="9" t="s">
        <v>60</v>
      </c>
      <c r="AB424" s="9" t="s">
        <v>61</v>
      </c>
      <c r="AC424" s="9" t="s">
        <v>1566</v>
      </c>
      <c r="AD424" s="9">
        <v>6.0</v>
      </c>
      <c r="AE424" s="9">
        <v>7.0</v>
      </c>
      <c r="AF424" s="9">
        <v>0.0</v>
      </c>
      <c r="AG424" s="12">
        <v>3100.0</v>
      </c>
      <c r="AH424" s="13"/>
    </row>
    <row r="425">
      <c r="A425" s="7">
        <v>44408.799641562495</v>
      </c>
      <c r="B425" s="8">
        <f t="shared" si="1"/>
        <v>2021</v>
      </c>
      <c r="C425" s="9" t="s">
        <v>49</v>
      </c>
      <c r="D425" s="9">
        <v>24.0</v>
      </c>
      <c r="E425" s="9" t="s">
        <v>35</v>
      </c>
      <c r="F425" s="9" t="s">
        <v>36</v>
      </c>
      <c r="G425" s="8" t="s">
        <v>124</v>
      </c>
      <c r="H425" s="9" t="s">
        <v>601</v>
      </c>
      <c r="I425" s="9" t="s">
        <v>38</v>
      </c>
      <c r="J425" s="9" t="s">
        <v>75</v>
      </c>
      <c r="K425" s="9" t="s">
        <v>161</v>
      </c>
      <c r="L425" s="9" t="s">
        <v>39</v>
      </c>
      <c r="M425" s="9" t="s">
        <v>40</v>
      </c>
      <c r="N425" s="9" t="s">
        <v>40</v>
      </c>
      <c r="Q425" s="9" t="s">
        <v>272</v>
      </c>
      <c r="R425" s="9" t="s">
        <v>42</v>
      </c>
      <c r="S425" s="10">
        <v>4600.0</v>
      </c>
      <c r="T425" s="11">
        <v>4600.0</v>
      </c>
      <c r="U425" s="9">
        <v>0.0</v>
      </c>
      <c r="V425" s="9">
        <v>21.0</v>
      </c>
      <c r="W425" s="9" t="s">
        <v>1567</v>
      </c>
      <c r="X425" s="9" t="s">
        <v>1568</v>
      </c>
      <c r="Y425" s="9" t="s">
        <v>122</v>
      </c>
      <c r="Z425" s="9" t="s">
        <v>59</v>
      </c>
      <c r="AA425" s="9" t="s">
        <v>90</v>
      </c>
      <c r="AB425" s="9" t="s">
        <v>61</v>
      </c>
      <c r="AD425" s="9">
        <v>5.0</v>
      </c>
      <c r="AE425" s="9">
        <v>2.5</v>
      </c>
      <c r="AF425" s="9">
        <v>1.0</v>
      </c>
      <c r="AG425" s="12">
        <v>3100.0</v>
      </c>
      <c r="AH425" s="13"/>
    </row>
    <row r="426">
      <c r="A426" s="14">
        <v>44403.88920523148</v>
      </c>
      <c r="B426" s="8">
        <f t="shared" si="1"/>
        <v>2021</v>
      </c>
      <c r="C426" s="8" t="s">
        <v>49</v>
      </c>
      <c r="D426" s="8">
        <v>26.0</v>
      </c>
      <c r="E426" s="8" t="s">
        <v>35</v>
      </c>
      <c r="F426" s="8" t="s">
        <v>36</v>
      </c>
      <c r="G426" s="8" t="s">
        <v>124</v>
      </c>
      <c r="H426" s="8" t="s">
        <v>125</v>
      </c>
      <c r="I426" s="8" t="s">
        <v>38</v>
      </c>
      <c r="J426" s="9" t="s">
        <v>160</v>
      </c>
      <c r="K426" s="9" t="s">
        <v>84</v>
      </c>
      <c r="L426" s="8" t="s">
        <v>39</v>
      </c>
      <c r="M426" s="8" t="s">
        <v>40</v>
      </c>
      <c r="N426" s="8" t="s">
        <v>40</v>
      </c>
      <c r="O426" s="15"/>
      <c r="P426" s="15"/>
      <c r="Q426" s="8" t="s">
        <v>308</v>
      </c>
      <c r="R426" s="9" t="s">
        <v>42</v>
      </c>
      <c r="S426" s="16">
        <v>3900.0</v>
      </c>
      <c r="T426" s="17">
        <v>4000.0</v>
      </c>
      <c r="U426" s="8">
        <v>0.0</v>
      </c>
      <c r="V426" s="8">
        <v>14.0</v>
      </c>
      <c r="W426" s="8" t="s">
        <v>1569</v>
      </c>
      <c r="X426" s="8" t="s">
        <v>224</v>
      </c>
      <c r="Y426" s="8" t="s">
        <v>131</v>
      </c>
      <c r="Z426" s="8" t="s">
        <v>59</v>
      </c>
      <c r="AA426" s="8" t="s">
        <v>71</v>
      </c>
      <c r="AB426" s="8" t="s">
        <v>61</v>
      </c>
      <c r="AC426" s="15"/>
      <c r="AD426" s="8">
        <v>5.0</v>
      </c>
      <c r="AE426" s="8">
        <v>2.5</v>
      </c>
      <c r="AF426" s="8">
        <v>0.0</v>
      </c>
      <c r="AG426" s="18">
        <v>3100.0</v>
      </c>
      <c r="AH426" s="13"/>
      <c r="AI426" s="15"/>
      <c r="AJ426" s="15"/>
      <c r="AK426" s="15"/>
      <c r="AL426" s="15"/>
      <c r="AM426" s="15"/>
      <c r="AN426" s="15"/>
    </row>
    <row r="427">
      <c r="A427" s="7">
        <v>44536.29459508102</v>
      </c>
      <c r="B427" s="8">
        <f t="shared" si="1"/>
        <v>2021</v>
      </c>
      <c r="C427" s="9" t="s">
        <v>49</v>
      </c>
      <c r="D427" s="9">
        <v>28.0</v>
      </c>
      <c r="E427" s="9" t="s">
        <v>35</v>
      </c>
      <c r="F427" s="9" t="s">
        <v>36</v>
      </c>
      <c r="G427" s="9" t="s">
        <v>124</v>
      </c>
      <c r="H427" s="8" t="s">
        <v>37</v>
      </c>
      <c r="I427" s="9" t="s">
        <v>38</v>
      </c>
      <c r="J427" s="9" t="s">
        <v>220</v>
      </c>
      <c r="K427" s="9" t="s">
        <v>1570</v>
      </c>
      <c r="L427" s="9" t="s">
        <v>39</v>
      </c>
      <c r="M427" s="9" t="s">
        <v>40</v>
      </c>
      <c r="N427" s="9" t="s">
        <v>40</v>
      </c>
      <c r="Q427" s="9" t="s">
        <v>1571</v>
      </c>
      <c r="R427" s="9" t="s">
        <v>42</v>
      </c>
      <c r="S427" s="10">
        <v>10300.0</v>
      </c>
      <c r="T427" s="11" t="s">
        <v>37</v>
      </c>
      <c r="V427" s="9">
        <v>16.0</v>
      </c>
      <c r="W427" s="9" t="s">
        <v>1572</v>
      </c>
      <c r="X427" s="9" t="s">
        <v>1573</v>
      </c>
      <c r="Y427" s="9" t="s">
        <v>1574</v>
      </c>
      <c r="Z427" s="9" t="s">
        <v>423</v>
      </c>
      <c r="AA427" s="9" t="s">
        <v>60</v>
      </c>
      <c r="AB427" s="9" t="s">
        <v>61</v>
      </c>
      <c r="AD427" s="9">
        <v>7.0</v>
      </c>
      <c r="AE427" s="9">
        <v>5.0</v>
      </c>
      <c r="AF427" s="9">
        <v>3.0</v>
      </c>
      <c r="AG427" s="12">
        <v>3150.0</v>
      </c>
      <c r="AH427" s="13"/>
    </row>
    <row r="428">
      <c r="A428" s="7">
        <v>44621.63854295139</v>
      </c>
      <c r="B428" s="8">
        <f t="shared" si="1"/>
        <v>2022</v>
      </c>
      <c r="C428" s="9" t="s">
        <v>49</v>
      </c>
      <c r="D428" s="9">
        <v>29.0</v>
      </c>
      <c r="E428" s="9" t="s">
        <v>35</v>
      </c>
      <c r="F428" s="9" t="s">
        <v>36</v>
      </c>
      <c r="G428" s="8" t="s">
        <v>50</v>
      </c>
      <c r="H428" s="9" t="s">
        <v>82</v>
      </c>
      <c r="I428" s="9" t="s">
        <v>38</v>
      </c>
      <c r="J428" s="9" t="s">
        <v>75</v>
      </c>
      <c r="K428" s="9" t="s">
        <v>1570</v>
      </c>
      <c r="L428" s="9" t="s">
        <v>39</v>
      </c>
      <c r="M428" s="9" t="s">
        <v>40</v>
      </c>
      <c r="N428" s="9" t="s">
        <v>40</v>
      </c>
      <c r="Q428" s="9" t="s">
        <v>1575</v>
      </c>
      <c r="R428" s="9" t="s">
        <v>42</v>
      </c>
      <c r="S428" s="10">
        <v>10300.0</v>
      </c>
      <c r="T428" s="11" t="s">
        <v>37</v>
      </c>
      <c r="V428" s="9">
        <v>18.0</v>
      </c>
      <c r="W428" s="9" t="s">
        <v>1576</v>
      </c>
      <c r="X428" s="9" t="s">
        <v>1577</v>
      </c>
      <c r="Y428" s="9" t="s">
        <v>122</v>
      </c>
      <c r="Z428" s="9" t="s">
        <v>423</v>
      </c>
      <c r="AA428" s="9" t="s">
        <v>60</v>
      </c>
      <c r="AB428" s="9" t="s">
        <v>61</v>
      </c>
      <c r="AD428" s="9">
        <v>8.0</v>
      </c>
      <c r="AE428" s="9">
        <v>5.0</v>
      </c>
      <c r="AF428" s="9">
        <v>2.0</v>
      </c>
      <c r="AG428" s="12">
        <v>3150.0</v>
      </c>
      <c r="AH428" s="13"/>
    </row>
    <row r="429">
      <c r="A429" s="7">
        <v>44404.44738989584</v>
      </c>
      <c r="B429" s="8">
        <f t="shared" si="1"/>
        <v>2021</v>
      </c>
      <c r="C429" s="9" t="s">
        <v>49</v>
      </c>
      <c r="D429" s="9">
        <v>25.0</v>
      </c>
      <c r="E429" s="9" t="s">
        <v>35</v>
      </c>
      <c r="F429" s="9" t="s">
        <v>36</v>
      </c>
      <c r="G429" s="8" t="s">
        <v>50</v>
      </c>
      <c r="H429" s="9" t="s">
        <v>106</v>
      </c>
      <c r="I429" s="9" t="s">
        <v>38</v>
      </c>
      <c r="J429" s="9" t="s">
        <v>75</v>
      </c>
      <c r="K429" s="8" t="s">
        <v>188</v>
      </c>
      <c r="L429" s="9" t="s">
        <v>39</v>
      </c>
      <c r="M429" s="9" t="s">
        <v>40</v>
      </c>
      <c r="N429" s="9" t="s">
        <v>39</v>
      </c>
      <c r="P429" s="9" t="s">
        <v>398</v>
      </c>
      <c r="Q429" s="9" t="s">
        <v>146</v>
      </c>
      <c r="R429" s="9" t="s">
        <v>42</v>
      </c>
      <c r="S429" s="10">
        <v>4200.0</v>
      </c>
      <c r="T429" s="11">
        <v>0.0</v>
      </c>
      <c r="U429" s="9">
        <v>0.0</v>
      </c>
      <c r="V429" s="9">
        <v>14.0</v>
      </c>
      <c r="W429" s="9" t="s">
        <v>1578</v>
      </c>
      <c r="X429" s="9" t="s">
        <v>1579</v>
      </c>
      <c r="Y429" s="9" t="s">
        <v>1129</v>
      </c>
      <c r="Z429" s="9" t="s">
        <v>159</v>
      </c>
      <c r="AA429" s="9" t="s">
        <v>60</v>
      </c>
      <c r="AB429" s="9" t="s">
        <v>91</v>
      </c>
      <c r="AC429" s="9" t="s">
        <v>1580</v>
      </c>
      <c r="AD429" s="9">
        <v>7.0</v>
      </c>
      <c r="AE429" s="9">
        <v>1.0</v>
      </c>
      <c r="AF429" s="9">
        <v>0.0</v>
      </c>
      <c r="AG429" s="12">
        <v>3150.0</v>
      </c>
      <c r="AH429" s="13"/>
    </row>
    <row r="430">
      <c r="A430" s="7">
        <v>44433.978352569444</v>
      </c>
      <c r="B430" s="8">
        <f t="shared" si="1"/>
        <v>2021</v>
      </c>
      <c r="C430" s="9" t="s">
        <v>49</v>
      </c>
      <c r="D430" s="9">
        <v>24.0</v>
      </c>
      <c r="E430" s="9" t="s">
        <v>35</v>
      </c>
      <c r="F430" s="9" t="s">
        <v>36</v>
      </c>
      <c r="G430" s="8" t="s">
        <v>50</v>
      </c>
      <c r="H430" s="8" t="s">
        <v>180</v>
      </c>
      <c r="I430" s="9" t="s">
        <v>38</v>
      </c>
      <c r="J430" s="9" t="s">
        <v>75</v>
      </c>
      <c r="K430" s="9" t="s">
        <v>166</v>
      </c>
      <c r="L430" s="9" t="s">
        <v>39</v>
      </c>
      <c r="M430" s="9" t="s">
        <v>40</v>
      </c>
      <c r="N430" s="9" t="s">
        <v>40</v>
      </c>
      <c r="Q430" s="8" t="s">
        <v>255</v>
      </c>
      <c r="R430" s="9" t="s">
        <v>42</v>
      </c>
      <c r="S430" s="10">
        <v>6000.0</v>
      </c>
      <c r="T430" s="11">
        <v>0.0</v>
      </c>
      <c r="U430" s="9">
        <v>0.0</v>
      </c>
      <c r="V430" s="9">
        <v>12.0</v>
      </c>
      <c r="W430" s="9" t="s">
        <v>43</v>
      </c>
      <c r="X430" s="9" t="s">
        <v>1581</v>
      </c>
      <c r="Y430" s="9" t="s">
        <v>1188</v>
      </c>
      <c r="Z430" s="9" t="s">
        <v>59</v>
      </c>
      <c r="AA430" s="9" t="s">
        <v>71</v>
      </c>
      <c r="AB430" s="9" t="s">
        <v>61</v>
      </c>
      <c r="AD430" s="9">
        <v>8.0</v>
      </c>
      <c r="AE430" s="9">
        <v>4.0</v>
      </c>
      <c r="AF430" s="9">
        <v>2.0</v>
      </c>
      <c r="AG430" s="12">
        <v>3200.0</v>
      </c>
      <c r="AH430" s="9" t="s">
        <v>42</v>
      </c>
    </row>
    <row r="431">
      <c r="A431" s="7">
        <v>44614.59836888889</v>
      </c>
      <c r="B431" s="8">
        <f t="shared" si="1"/>
        <v>2022</v>
      </c>
      <c r="C431" s="9" t="s">
        <v>73</v>
      </c>
      <c r="D431" s="9">
        <v>25.0</v>
      </c>
      <c r="E431" s="9" t="s">
        <v>35</v>
      </c>
      <c r="F431" s="9" t="s">
        <v>36</v>
      </c>
      <c r="G431" s="8" t="s">
        <v>74</v>
      </c>
      <c r="H431" s="9" t="s">
        <v>437</v>
      </c>
      <c r="I431" s="9" t="s">
        <v>38</v>
      </c>
      <c r="J431" s="9" t="s">
        <v>75</v>
      </c>
      <c r="K431" s="9" t="s">
        <v>134</v>
      </c>
      <c r="L431" s="9" t="s">
        <v>39</v>
      </c>
      <c r="M431" s="9" t="s">
        <v>39</v>
      </c>
      <c r="N431" s="9" t="s">
        <v>40</v>
      </c>
      <c r="O431" s="9" t="s">
        <v>1582</v>
      </c>
      <c r="Q431" s="9" t="s">
        <v>769</v>
      </c>
      <c r="R431" s="9" t="s">
        <v>42</v>
      </c>
      <c r="S431" s="10">
        <v>3300.0</v>
      </c>
      <c r="T431" s="11">
        <v>3200.0</v>
      </c>
      <c r="V431" s="9">
        <v>12.0</v>
      </c>
      <c r="W431" s="9" t="s">
        <v>1583</v>
      </c>
      <c r="X431" s="9" t="s">
        <v>1584</v>
      </c>
      <c r="Y431" s="9" t="s">
        <v>363</v>
      </c>
      <c r="Z431" s="9" t="s">
        <v>155</v>
      </c>
      <c r="AA431" s="9" t="s">
        <v>60</v>
      </c>
      <c r="AB431" s="9" t="s">
        <v>61</v>
      </c>
      <c r="AD431" s="9">
        <v>7.0</v>
      </c>
      <c r="AE431" s="9" t="s">
        <v>1585</v>
      </c>
      <c r="AF431" s="9">
        <v>0.0</v>
      </c>
      <c r="AG431" s="12">
        <v>3200.0</v>
      </c>
      <c r="AH431" s="9" t="s">
        <v>42</v>
      </c>
    </row>
    <row r="432">
      <c r="A432" s="7">
        <v>44405.896694270836</v>
      </c>
      <c r="B432" s="8">
        <f t="shared" si="1"/>
        <v>2021</v>
      </c>
      <c r="C432" s="9" t="s">
        <v>49</v>
      </c>
      <c r="D432" s="9">
        <v>25.0</v>
      </c>
      <c r="E432" s="9" t="s">
        <v>35</v>
      </c>
      <c r="F432" s="9" t="s">
        <v>36</v>
      </c>
      <c r="G432" s="8" t="s">
        <v>124</v>
      </c>
      <c r="H432" s="9" t="s">
        <v>156</v>
      </c>
      <c r="I432" s="9" t="s">
        <v>38</v>
      </c>
      <c r="J432" s="9" t="s">
        <v>326</v>
      </c>
      <c r="K432" s="9" t="s">
        <v>84</v>
      </c>
      <c r="L432" s="9" t="s">
        <v>39</v>
      </c>
      <c r="M432" s="9" t="s">
        <v>40</v>
      </c>
      <c r="N432" s="9" t="s">
        <v>40</v>
      </c>
      <c r="Q432" s="8" t="s">
        <v>255</v>
      </c>
      <c r="R432" s="9" t="s">
        <v>42</v>
      </c>
      <c r="S432" s="10">
        <v>4200.0</v>
      </c>
      <c r="T432" s="11">
        <v>0.0</v>
      </c>
      <c r="U432" s="9">
        <v>0.0</v>
      </c>
      <c r="V432" s="9">
        <v>14.0</v>
      </c>
      <c r="W432" s="9" t="s">
        <v>1044</v>
      </c>
      <c r="X432" s="9" t="s">
        <v>1586</v>
      </c>
      <c r="Y432" s="9" t="s">
        <v>325</v>
      </c>
      <c r="Z432" s="9" t="s">
        <v>350</v>
      </c>
      <c r="AA432" s="9" t="s">
        <v>132</v>
      </c>
      <c r="AB432" s="9" t="s">
        <v>133</v>
      </c>
      <c r="AC432" s="9" t="s">
        <v>1566</v>
      </c>
      <c r="AD432" s="9">
        <v>5.0</v>
      </c>
      <c r="AE432" s="9">
        <v>1.5</v>
      </c>
      <c r="AF432" s="9">
        <v>1.0</v>
      </c>
      <c r="AG432" s="12">
        <v>3200.0</v>
      </c>
      <c r="AH432" s="13"/>
    </row>
    <row r="433">
      <c r="A433" s="7">
        <v>44405.507821886575</v>
      </c>
      <c r="B433" s="8">
        <f t="shared" si="1"/>
        <v>2021</v>
      </c>
      <c r="C433" s="9" t="s">
        <v>49</v>
      </c>
      <c r="D433" s="9">
        <v>23.0</v>
      </c>
      <c r="E433" s="9" t="s">
        <v>35</v>
      </c>
      <c r="F433" s="9" t="s">
        <v>36</v>
      </c>
      <c r="G433" s="8" t="s">
        <v>50</v>
      </c>
      <c r="H433" s="8" t="s">
        <v>37</v>
      </c>
      <c r="I433" s="9" t="s">
        <v>38</v>
      </c>
      <c r="J433" s="9" t="s">
        <v>75</v>
      </c>
      <c r="K433" s="9" t="s">
        <v>161</v>
      </c>
      <c r="L433" s="9" t="s">
        <v>39</v>
      </c>
      <c r="M433" s="9" t="s">
        <v>40</v>
      </c>
      <c r="N433" s="9" t="s">
        <v>40</v>
      </c>
      <c r="Q433" s="9" t="s">
        <v>1587</v>
      </c>
      <c r="R433" s="9" t="s">
        <v>42</v>
      </c>
      <c r="S433" s="10">
        <v>4350.0</v>
      </c>
      <c r="T433" s="11">
        <v>4200.0</v>
      </c>
      <c r="U433" s="9">
        <v>0.0</v>
      </c>
      <c r="V433" s="9">
        <v>14.0</v>
      </c>
      <c r="W433" s="9" t="s">
        <v>1588</v>
      </c>
      <c r="X433" s="9" t="s">
        <v>1589</v>
      </c>
      <c r="Y433" s="9" t="s">
        <v>678</v>
      </c>
      <c r="Z433" s="9" t="s">
        <v>155</v>
      </c>
      <c r="AA433" s="9" t="s">
        <v>132</v>
      </c>
      <c r="AB433" s="9" t="s">
        <v>61</v>
      </c>
      <c r="AD433" s="9">
        <v>6.0</v>
      </c>
      <c r="AE433" s="9">
        <v>1.2</v>
      </c>
      <c r="AF433" s="9">
        <v>2.0</v>
      </c>
      <c r="AG433" s="12">
        <v>3200.0</v>
      </c>
      <c r="AH433" s="13"/>
    </row>
    <row r="434">
      <c r="A434" s="7">
        <v>44615.339176423615</v>
      </c>
      <c r="B434" s="8">
        <f t="shared" si="1"/>
        <v>2022</v>
      </c>
      <c r="C434" s="9" t="s">
        <v>49</v>
      </c>
      <c r="D434" s="9">
        <v>23.0</v>
      </c>
      <c r="E434" s="9" t="s">
        <v>35</v>
      </c>
      <c r="F434" s="9" t="s">
        <v>36</v>
      </c>
      <c r="G434" s="8" t="s">
        <v>74</v>
      </c>
      <c r="H434" s="8" t="s">
        <v>74</v>
      </c>
      <c r="I434" s="9" t="s">
        <v>38</v>
      </c>
      <c r="J434" s="9" t="s">
        <v>160</v>
      </c>
      <c r="K434" s="9" t="s">
        <v>84</v>
      </c>
      <c r="L434" s="9" t="s">
        <v>39</v>
      </c>
      <c r="M434" s="9" t="s">
        <v>40</v>
      </c>
      <c r="N434" s="9" t="s">
        <v>39</v>
      </c>
      <c r="P434" s="9" t="s">
        <v>398</v>
      </c>
      <c r="Q434" s="9" t="s">
        <v>769</v>
      </c>
      <c r="R434" s="9" t="s">
        <v>42</v>
      </c>
      <c r="S434" s="10">
        <v>3600.0</v>
      </c>
      <c r="T434" s="11">
        <v>5400.0</v>
      </c>
      <c r="U434" s="9">
        <v>0.0</v>
      </c>
      <c r="V434" s="9">
        <v>14.0</v>
      </c>
      <c r="W434" s="9" t="s">
        <v>1590</v>
      </c>
      <c r="X434" s="9" t="s">
        <v>1591</v>
      </c>
      <c r="Y434" s="9" t="s">
        <v>79</v>
      </c>
      <c r="Z434" s="9" t="s">
        <v>80</v>
      </c>
      <c r="AA434" s="9" t="s">
        <v>90</v>
      </c>
      <c r="AB434" s="9" t="s">
        <v>61</v>
      </c>
      <c r="AC434" s="9" t="s">
        <v>1592</v>
      </c>
      <c r="AD434" s="9">
        <v>9.0</v>
      </c>
      <c r="AE434" s="9">
        <v>1.0</v>
      </c>
      <c r="AF434" s="9">
        <v>1.0</v>
      </c>
      <c r="AG434" s="12">
        <v>3200.0</v>
      </c>
      <c r="AH434" s="13"/>
    </row>
    <row r="435">
      <c r="A435" s="7">
        <v>44407.9271299074</v>
      </c>
      <c r="B435" s="8">
        <f t="shared" si="1"/>
        <v>2021</v>
      </c>
      <c r="C435" s="9" t="s">
        <v>49</v>
      </c>
      <c r="D435" s="9">
        <v>24.0</v>
      </c>
      <c r="E435" s="9" t="s">
        <v>35</v>
      </c>
      <c r="F435" s="9" t="s">
        <v>36</v>
      </c>
      <c r="G435" s="8" t="s">
        <v>164</v>
      </c>
      <c r="H435" s="8" t="s">
        <v>37</v>
      </c>
      <c r="I435" s="9" t="s">
        <v>38</v>
      </c>
      <c r="J435" s="9" t="s">
        <v>75</v>
      </c>
      <c r="K435" s="8" t="s">
        <v>332</v>
      </c>
      <c r="L435" s="9" t="s">
        <v>39</v>
      </c>
      <c r="M435" s="9" t="s">
        <v>40</v>
      </c>
      <c r="N435" s="9" t="s">
        <v>40</v>
      </c>
      <c r="Q435" s="9" t="s">
        <v>128</v>
      </c>
      <c r="R435" s="9" t="s">
        <v>42</v>
      </c>
      <c r="S435" s="10">
        <v>5500.0</v>
      </c>
      <c r="T435" s="11">
        <v>5500.0</v>
      </c>
      <c r="U435" s="9">
        <v>0.0</v>
      </c>
      <c r="V435" s="9">
        <v>14.0</v>
      </c>
      <c r="W435" s="9" t="s">
        <v>367</v>
      </c>
      <c r="X435" s="9" t="s">
        <v>1593</v>
      </c>
      <c r="Y435" s="9" t="s">
        <v>131</v>
      </c>
      <c r="Z435" s="9" t="s">
        <v>70</v>
      </c>
      <c r="AA435" s="9" t="s">
        <v>71</v>
      </c>
      <c r="AB435" s="9" t="s">
        <v>61</v>
      </c>
      <c r="AD435" s="9">
        <v>7.0</v>
      </c>
      <c r="AE435" s="9">
        <v>2.5</v>
      </c>
      <c r="AF435" s="9">
        <v>1.0</v>
      </c>
      <c r="AG435" s="12">
        <v>3200.0</v>
      </c>
      <c r="AH435" s="13"/>
    </row>
    <row r="436">
      <c r="A436" s="7">
        <v>44410.90891729167</v>
      </c>
      <c r="B436" s="8">
        <f t="shared" si="1"/>
        <v>2021</v>
      </c>
      <c r="C436" s="9" t="s">
        <v>49</v>
      </c>
      <c r="D436" s="9">
        <v>29.0</v>
      </c>
      <c r="E436" s="9" t="s">
        <v>35</v>
      </c>
      <c r="F436" s="9" t="s">
        <v>36</v>
      </c>
      <c r="G436" s="8" t="s">
        <v>124</v>
      </c>
      <c r="H436" s="9" t="s">
        <v>156</v>
      </c>
      <c r="I436" s="9" t="s">
        <v>247</v>
      </c>
      <c r="L436" s="9" t="s">
        <v>40</v>
      </c>
      <c r="M436" s="9" t="s">
        <v>40</v>
      </c>
      <c r="N436" s="9" t="s">
        <v>40</v>
      </c>
      <c r="Q436" s="9" t="s">
        <v>119</v>
      </c>
      <c r="R436" s="9" t="s">
        <v>42</v>
      </c>
      <c r="S436" s="10">
        <v>6000.0</v>
      </c>
      <c r="T436" s="11" t="s">
        <v>37</v>
      </c>
      <c r="U436" s="9">
        <v>0.0</v>
      </c>
      <c r="V436" s="9">
        <v>14.0</v>
      </c>
      <c r="W436" s="9" t="s">
        <v>1594</v>
      </c>
      <c r="X436" s="9" t="s">
        <v>163</v>
      </c>
      <c r="Y436" s="9" t="s">
        <v>58</v>
      </c>
      <c r="Z436" s="9" t="s">
        <v>116</v>
      </c>
      <c r="AA436" s="9" t="s">
        <v>132</v>
      </c>
      <c r="AB436" s="9" t="s">
        <v>91</v>
      </c>
      <c r="AD436" s="9">
        <v>5.0</v>
      </c>
      <c r="AE436" s="9">
        <v>5.0</v>
      </c>
      <c r="AF436" s="9">
        <v>1.0</v>
      </c>
      <c r="AG436" s="12">
        <v>3200.0</v>
      </c>
      <c r="AH436" s="13"/>
    </row>
    <row r="437">
      <c r="A437" s="7">
        <v>44458.90049525463</v>
      </c>
      <c r="B437" s="8">
        <f t="shared" si="1"/>
        <v>2021</v>
      </c>
      <c r="C437" s="9" t="s">
        <v>49</v>
      </c>
      <c r="D437" s="9">
        <v>28.0</v>
      </c>
      <c r="E437" s="9" t="s">
        <v>35</v>
      </c>
      <c r="F437" s="9" t="s">
        <v>36</v>
      </c>
      <c r="G437" s="8" t="s">
        <v>74</v>
      </c>
      <c r="H437" s="9" t="s">
        <v>527</v>
      </c>
      <c r="I437" s="9" t="s">
        <v>38</v>
      </c>
      <c r="J437" s="9" t="s">
        <v>143</v>
      </c>
      <c r="K437" s="9" t="s">
        <v>327</v>
      </c>
      <c r="L437" s="9" t="s">
        <v>39</v>
      </c>
      <c r="M437" s="9" t="s">
        <v>40</v>
      </c>
      <c r="N437" s="9" t="s">
        <v>40</v>
      </c>
      <c r="Q437" s="9" t="s">
        <v>1595</v>
      </c>
      <c r="R437" s="9" t="s">
        <v>42</v>
      </c>
      <c r="S437" s="10">
        <v>6120.0</v>
      </c>
      <c r="T437" s="11">
        <v>6120.0</v>
      </c>
      <c r="U437" s="9">
        <v>0.0</v>
      </c>
      <c r="V437" s="9">
        <v>16.0</v>
      </c>
      <c r="W437" s="9" t="s">
        <v>1435</v>
      </c>
      <c r="X437" s="9" t="s">
        <v>1596</v>
      </c>
      <c r="Y437" s="9" t="s">
        <v>79</v>
      </c>
      <c r="Z437" s="9" t="s">
        <v>80</v>
      </c>
      <c r="AA437" s="9" t="s">
        <v>60</v>
      </c>
      <c r="AB437" s="9" t="s">
        <v>91</v>
      </c>
      <c r="AC437" s="9" t="s">
        <v>1597</v>
      </c>
      <c r="AD437" s="9">
        <v>10.0</v>
      </c>
      <c r="AE437" s="9">
        <v>4.0</v>
      </c>
      <c r="AF437" s="9">
        <v>0.0</v>
      </c>
      <c r="AG437" s="12">
        <v>3200.0</v>
      </c>
      <c r="AH437" s="13"/>
    </row>
    <row r="438">
      <c r="A438" s="7">
        <v>44404.93462325231</v>
      </c>
      <c r="B438" s="8">
        <f t="shared" si="1"/>
        <v>2021</v>
      </c>
      <c r="C438" s="9" t="s">
        <v>49</v>
      </c>
      <c r="D438" s="9">
        <v>32.0</v>
      </c>
      <c r="E438" s="9" t="s">
        <v>35</v>
      </c>
      <c r="F438" s="9" t="s">
        <v>36</v>
      </c>
      <c r="G438" s="8" t="s">
        <v>74</v>
      </c>
      <c r="H438" s="8" t="s">
        <v>74</v>
      </c>
      <c r="I438" s="9" t="s">
        <v>38</v>
      </c>
      <c r="J438" s="9" t="s">
        <v>75</v>
      </c>
      <c r="K438" s="9" t="s">
        <v>680</v>
      </c>
      <c r="L438" s="9" t="s">
        <v>39</v>
      </c>
      <c r="M438" s="9" t="s">
        <v>40</v>
      </c>
      <c r="N438" s="9" t="s">
        <v>40</v>
      </c>
      <c r="Q438" s="9" t="s">
        <v>119</v>
      </c>
      <c r="R438" s="9" t="s">
        <v>42</v>
      </c>
      <c r="S438" s="10">
        <v>9500.0</v>
      </c>
      <c r="T438" s="11">
        <v>17000.0</v>
      </c>
      <c r="U438" s="9">
        <v>3000.0</v>
      </c>
      <c r="V438" s="9">
        <v>17.0</v>
      </c>
      <c r="W438" s="9" t="s">
        <v>1598</v>
      </c>
      <c r="X438" s="9" t="s">
        <v>1599</v>
      </c>
      <c r="Y438" s="9" t="s">
        <v>79</v>
      </c>
      <c r="Z438" s="9" t="s">
        <v>80</v>
      </c>
      <c r="AA438" s="9" t="s">
        <v>71</v>
      </c>
      <c r="AB438" s="9" t="s">
        <v>91</v>
      </c>
      <c r="AD438" s="9">
        <v>7.0</v>
      </c>
      <c r="AE438" s="9">
        <v>8.0</v>
      </c>
      <c r="AF438" s="9">
        <v>1.0</v>
      </c>
      <c r="AG438" s="12">
        <v>3200.0</v>
      </c>
      <c r="AH438" s="13"/>
    </row>
    <row r="439">
      <c r="A439" s="7">
        <v>44410.602692071756</v>
      </c>
      <c r="B439" s="8">
        <f t="shared" si="1"/>
        <v>2021</v>
      </c>
      <c r="C439" s="9" t="s">
        <v>73</v>
      </c>
      <c r="D439" s="9">
        <v>27.0</v>
      </c>
      <c r="E439" s="9" t="s">
        <v>35</v>
      </c>
      <c r="F439" s="9" t="s">
        <v>36</v>
      </c>
      <c r="G439" s="8" t="s">
        <v>50</v>
      </c>
      <c r="H439" s="9" t="s">
        <v>106</v>
      </c>
      <c r="I439" s="9" t="s">
        <v>38</v>
      </c>
      <c r="J439" s="9" t="s">
        <v>1325</v>
      </c>
      <c r="K439" s="9" t="s">
        <v>1600</v>
      </c>
      <c r="L439" s="9" t="s">
        <v>39</v>
      </c>
      <c r="M439" s="9" t="s">
        <v>40</v>
      </c>
      <c r="N439" s="9" t="s">
        <v>40</v>
      </c>
      <c r="Q439" s="9" t="s">
        <v>128</v>
      </c>
      <c r="R439" s="9" t="s">
        <v>42</v>
      </c>
      <c r="S439" s="10">
        <v>6300.0</v>
      </c>
      <c r="T439" s="11">
        <v>6000.0</v>
      </c>
      <c r="U439" s="9">
        <v>0.0</v>
      </c>
      <c r="V439" s="9">
        <v>20.0</v>
      </c>
      <c r="W439" s="9" t="s">
        <v>1601</v>
      </c>
      <c r="X439" s="9" t="s">
        <v>1602</v>
      </c>
      <c r="Y439" s="9" t="s">
        <v>122</v>
      </c>
      <c r="Z439" s="9" t="s">
        <v>1603</v>
      </c>
      <c r="AA439" s="9" t="s">
        <v>60</v>
      </c>
      <c r="AB439" s="9" t="s">
        <v>61</v>
      </c>
      <c r="AD439" s="9">
        <v>9.0</v>
      </c>
      <c r="AE439" s="9">
        <v>4.0</v>
      </c>
      <c r="AF439" s="9">
        <v>1.0</v>
      </c>
      <c r="AG439" s="12">
        <v>3200.0</v>
      </c>
      <c r="AH439" s="13"/>
    </row>
    <row r="440">
      <c r="A440" s="7">
        <v>44446.86742197917</v>
      </c>
      <c r="B440" s="8">
        <f t="shared" si="1"/>
        <v>2021</v>
      </c>
      <c r="C440" s="9" t="s">
        <v>49</v>
      </c>
      <c r="D440" s="9">
        <v>30.0</v>
      </c>
      <c r="E440" s="9" t="s">
        <v>35</v>
      </c>
      <c r="F440" s="9" t="s">
        <v>36</v>
      </c>
      <c r="G440" s="8" t="s">
        <v>124</v>
      </c>
      <c r="H440" s="9" t="s">
        <v>156</v>
      </c>
      <c r="I440" s="9" t="s">
        <v>38</v>
      </c>
      <c r="J440" s="9" t="s">
        <v>75</v>
      </c>
      <c r="K440" s="9" t="s">
        <v>161</v>
      </c>
      <c r="L440" s="9" t="s">
        <v>39</v>
      </c>
      <c r="M440" s="9" t="s">
        <v>40</v>
      </c>
      <c r="N440" s="9" t="s">
        <v>40</v>
      </c>
      <c r="Q440" s="9" t="s">
        <v>128</v>
      </c>
      <c r="R440" s="9" t="s">
        <v>42</v>
      </c>
      <c r="S440" s="10">
        <v>9400.0</v>
      </c>
      <c r="T440" s="11">
        <v>27000.0</v>
      </c>
      <c r="V440" s="9">
        <v>21.0</v>
      </c>
      <c r="W440" s="9" t="s">
        <v>1604</v>
      </c>
      <c r="X440" s="9" t="s">
        <v>1605</v>
      </c>
      <c r="Y440" s="9" t="s">
        <v>122</v>
      </c>
      <c r="Z440" s="9" t="s">
        <v>59</v>
      </c>
      <c r="AA440" s="9" t="s">
        <v>90</v>
      </c>
      <c r="AB440" s="9" t="s">
        <v>133</v>
      </c>
      <c r="AD440" s="9">
        <v>8.0</v>
      </c>
      <c r="AE440" s="9">
        <v>7.0</v>
      </c>
      <c r="AF440" s="9">
        <v>3.0</v>
      </c>
      <c r="AG440" s="12">
        <v>3200.0</v>
      </c>
      <c r="AH440" s="13"/>
    </row>
    <row r="441">
      <c r="A441" s="7">
        <v>44405.035777048615</v>
      </c>
      <c r="B441" s="8">
        <f t="shared" si="1"/>
        <v>2021</v>
      </c>
      <c r="C441" s="9" t="s">
        <v>49</v>
      </c>
      <c r="D441" s="9">
        <v>26.0</v>
      </c>
      <c r="E441" s="9" t="s">
        <v>35</v>
      </c>
      <c r="F441" s="9" t="s">
        <v>36</v>
      </c>
      <c r="G441" s="8" t="s">
        <v>50</v>
      </c>
      <c r="H441" s="9" t="s">
        <v>106</v>
      </c>
      <c r="I441" s="9" t="s">
        <v>38</v>
      </c>
      <c r="J441" s="9" t="s">
        <v>75</v>
      </c>
      <c r="K441" s="9" t="s">
        <v>161</v>
      </c>
      <c r="L441" s="9" t="s">
        <v>39</v>
      </c>
      <c r="M441" s="9" t="s">
        <v>40</v>
      </c>
      <c r="N441" s="9" t="s">
        <v>39</v>
      </c>
      <c r="P441" s="9" t="s">
        <v>1606</v>
      </c>
      <c r="Q441" s="9" t="s">
        <v>128</v>
      </c>
      <c r="R441" s="9" t="s">
        <v>42</v>
      </c>
      <c r="S441" s="10">
        <v>8000.0</v>
      </c>
      <c r="T441" s="11">
        <v>0.0</v>
      </c>
      <c r="U441" s="9">
        <v>0.0</v>
      </c>
      <c r="V441" s="9">
        <v>24.0</v>
      </c>
      <c r="W441" s="9" t="s">
        <v>1607</v>
      </c>
      <c r="X441" s="9" t="s">
        <v>1608</v>
      </c>
      <c r="Y441" s="9" t="s">
        <v>349</v>
      </c>
      <c r="Z441" s="9" t="s">
        <v>59</v>
      </c>
      <c r="AA441" s="9" t="s">
        <v>60</v>
      </c>
      <c r="AB441" s="9" t="s">
        <v>61</v>
      </c>
      <c r="AD441" s="9">
        <v>8.0</v>
      </c>
      <c r="AE441" s="9">
        <v>3.0</v>
      </c>
      <c r="AF441" s="9">
        <v>2.0</v>
      </c>
      <c r="AG441" s="12">
        <v>3200.0</v>
      </c>
      <c r="AH441" s="13"/>
    </row>
    <row r="442">
      <c r="A442" s="14">
        <v>44403.8418402199</v>
      </c>
      <c r="B442" s="8">
        <f t="shared" si="1"/>
        <v>2021</v>
      </c>
      <c r="C442" s="8" t="s">
        <v>49</v>
      </c>
      <c r="D442" s="8">
        <v>24.0</v>
      </c>
      <c r="E442" s="8" t="s">
        <v>35</v>
      </c>
      <c r="F442" s="8" t="s">
        <v>36</v>
      </c>
      <c r="G442" s="8" t="s">
        <v>50</v>
      </c>
      <c r="H442" s="8" t="s">
        <v>493</v>
      </c>
      <c r="I442" s="8" t="s">
        <v>38</v>
      </c>
      <c r="J442" s="9" t="s">
        <v>75</v>
      </c>
      <c r="K442" s="9" t="s">
        <v>534</v>
      </c>
      <c r="L442" s="8" t="s">
        <v>39</v>
      </c>
      <c r="M442" s="8" t="s">
        <v>40</v>
      </c>
      <c r="N442" s="8" t="s">
        <v>40</v>
      </c>
      <c r="O442" s="15"/>
      <c r="P442" s="15"/>
      <c r="Q442" s="8" t="s">
        <v>146</v>
      </c>
      <c r="R442" s="9" t="s">
        <v>42</v>
      </c>
      <c r="S442" s="16">
        <v>3300.0</v>
      </c>
      <c r="T442" s="17">
        <v>0.0</v>
      </c>
      <c r="U442" s="8">
        <v>0.0</v>
      </c>
      <c r="V442" s="8">
        <v>14.0</v>
      </c>
      <c r="W442" s="8" t="s">
        <v>1609</v>
      </c>
      <c r="X442" s="8" t="s">
        <v>1610</v>
      </c>
      <c r="Y442" s="8" t="s">
        <v>122</v>
      </c>
      <c r="Z442" s="8" t="s">
        <v>59</v>
      </c>
      <c r="AA442" s="8" t="s">
        <v>132</v>
      </c>
      <c r="AB442" s="8" t="s">
        <v>91</v>
      </c>
      <c r="AC442" s="15"/>
      <c r="AD442" s="8">
        <v>8.0</v>
      </c>
      <c r="AE442" s="8">
        <v>1.0</v>
      </c>
      <c r="AF442" s="8">
        <v>0.0</v>
      </c>
      <c r="AG442" s="18">
        <v>3200.0</v>
      </c>
      <c r="AH442" s="13"/>
      <c r="AI442" s="15"/>
      <c r="AJ442" s="15"/>
      <c r="AK442" s="15"/>
      <c r="AL442" s="15"/>
      <c r="AM442" s="15"/>
      <c r="AN442" s="15"/>
    </row>
    <row r="443">
      <c r="A443" s="14">
        <v>44403.844374409724</v>
      </c>
      <c r="B443" s="8">
        <f t="shared" si="1"/>
        <v>2021</v>
      </c>
      <c r="C443" s="8" t="s">
        <v>49</v>
      </c>
      <c r="D443" s="8">
        <v>23.0</v>
      </c>
      <c r="E443" s="8" t="s">
        <v>35</v>
      </c>
      <c r="F443" s="8" t="s">
        <v>36</v>
      </c>
      <c r="G443" s="8" t="s">
        <v>50</v>
      </c>
      <c r="H443" s="8" t="s">
        <v>493</v>
      </c>
      <c r="I443" s="8" t="s">
        <v>93</v>
      </c>
      <c r="K443" s="15"/>
      <c r="L443" s="9" t="s">
        <v>40</v>
      </c>
      <c r="M443" s="8" t="s">
        <v>39</v>
      </c>
      <c r="N443" s="8" t="s">
        <v>39</v>
      </c>
      <c r="O443" s="8" t="s">
        <v>642</v>
      </c>
      <c r="P443" s="8" t="s">
        <v>1611</v>
      </c>
      <c r="Q443" s="8" t="s">
        <v>255</v>
      </c>
      <c r="R443" s="9" t="s">
        <v>42</v>
      </c>
      <c r="S443" s="16">
        <v>6500.0</v>
      </c>
      <c r="T443" s="17">
        <v>0.0</v>
      </c>
      <c r="U443" s="8">
        <v>0.0</v>
      </c>
      <c r="V443" s="8">
        <v>14.0</v>
      </c>
      <c r="W443" s="8" t="s">
        <v>1612</v>
      </c>
      <c r="X443" s="8" t="s">
        <v>1613</v>
      </c>
      <c r="Y443" s="8" t="s">
        <v>58</v>
      </c>
      <c r="Z443" s="8" t="s">
        <v>1614</v>
      </c>
      <c r="AA443" s="8" t="s">
        <v>71</v>
      </c>
      <c r="AB443" s="8" t="s">
        <v>61</v>
      </c>
      <c r="AC443" s="15"/>
      <c r="AD443" s="8">
        <v>8.0</v>
      </c>
      <c r="AE443" s="8">
        <v>2.0</v>
      </c>
      <c r="AF443" s="8">
        <v>2.0</v>
      </c>
      <c r="AG443" s="18">
        <v>3200.0</v>
      </c>
      <c r="AH443" s="13"/>
      <c r="AI443" s="15"/>
      <c r="AJ443" s="15"/>
      <c r="AK443" s="15"/>
      <c r="AL443" s="15"/>
      <c r="AM443" s="15"/>
      <c r="AN443" s="15"/>
    </row>
    <row r="444">
      <c r="A444" s="14">
        <v>44403.86390997685</v>
      </c>
      <c r="B444" s="8">
        <f t="shared" si="1"/>
        <v>2021</v>
      </c>
      <c r="C444" s="8" t="s">
        <v>49</v>
      </c>
      <c r="D444" s="8">
        <v>30.0</v>
      </c>
      <c r="E444" s="8" t="s">
        <v>35</v>
      </c>
      <c r="F444" s="8" t="s">
        <v>36</v>
      </c>
      <c r="G444" s="8" t="s">
        <v>124</v>
      </c>
      <c r="H444" s="8" t="s">
        <v>206</v>
      </c>
      <c r="I444" s="8" t="s">
        <v>38</v>
      </c>
      <c r="J444" s="8" t="s">
        <v>1368</v>
      </c>
      <c r="K444" s="8" t="s">
        <v>1615</v>
      </c>
      <c r="L444" s="8" t="s">
        <v>40</v>
      </c>
      <c r="M444" s="8" t="s">
        <v>40</v>
      </c>
      <c r="N444" s="8" t="s">
        <v>39</v>
      </c>
      <c r="O444" s="15"/>
      <c r="P444" s="8" t="s">
        <v>1616</v>
      </c>
      <c r="Q444" s="8" t="s">
        <v>652</v>
      </c>
      <c r="R444" s="9" t="s">
        <v>42</v>
      </c>
      <c r="S444" s="16">
        <v>7750.0</v>
      </c>
      <c r="T444" s="17">
        <v>0.0</v>
      </c>
      <c r="U444" s="8">
        <v>0.0</v>
      </c>
      <c r="V444" s="8">
        <v>14.0</v>
      </c>
      <c r="W444" s="8" t="s">
        <v>1617</v>
      </c>
      <c r="X444" s="8" t="s">
        <v>1618</v>
      </c>
      <c r="Y444" s="8" t="s">
        <v>124</v>
      </c>
      <c r="Z444" s="8" t="s">
        <v>350</v>
      </c>
      <c r="AA444" s="8" t="s">
        <v>71</v>
      </c>
      <c r="AB444" s="8" t="s">
        <v>91</v>
      </c>
      <c r="AC444" s="15"/>
      <c r="AD444" s="8">
        <v>7.0</v>
      </c>
      <c r="AE444" s="8">
        <v>4.0</v>
      </c>
      <c r="AF444" s="8">
        <v>3.0</v>
      </c>
      <c r="AG444" s="18">
        <v>3200.0</v>
      </c>
      <c r="AH444" s="13"/>
      <c r="AI444" s="15"/>
      <c r="AJ444" s="15"/>
      <c r="AK444" s="15"/>
      <c r="AL444" s="15"/>
      <c r="AM444" s="15"/>
      <c r="AN444" s="15"/>
    </row>
    <row r="445">
      <c r="A445" s="7">
        <v>44404.45791695602</v>
      </c>
      <c r="B445" s="8">
        <f t="shared" si="1"/>
        <v>2021</v>
      </c>
      <c r="C445" s="9" t="s">
        <v>49</v>
      </c>
      <c r="D445" s="9">
        <v>23.0</v>
      </c>
      <c r="E445" s="9" t="s">
        <v>35</v>
      </c>
      <c r="F445" s="9" t="s">
        <v>36</v>
      </c>
      <c r="G445" s="9" t="s">
        <v>617</v>
      </c>
      <c r="H445" s="9" t="s">
        <v>1210</v>
      </c>
      <c r="I445" s="9" t="s">
        <v>38</v>
      </c>
      <c r="J445" s="9" t="s">
        <v>75</v>
      </c>
      <c r="K445" s="9" t="s">
        <v>84</v>
      </c>
      <c r="L445" s="9" t="s">
        <v>39</v>
      </c>
      <c r="M445" s="9" t="s">
        <v>40</v>
      </c>
      <c r="N445" s="9" t="s">
        <v>39</v>
      </c>
      <c r="P445" s="9" t="s">
        <v>398</v>
      </c>
      <c r="Q445" s="9" t="s">
        <v>41</v>
      </c>
      <c r="R445" s="9" t="s">
        <v>42</v>
      </c>
      <c r="S445" s="10">
        <v>3500.0</v>
      </c>
      <c r="T445" s="11">
        <v>7000.0</v>
      </c>
      <c r="U445" s="9">
        <v>0.0</v>
      </c>
      <c r="V445" s="9">
        <v>14.0</v>
      </c>
      <c r="W445" s="9" t="s">
        <v>1619</v>
      </c>
      <c r="X445" s="9" t="s">
        <v>1620</v>
      </c>
      <c r="Y445" s="9" t="s">
        <v>58</v>
      </c>
      <c r="Z445" s="9" t="s">
        <v>1621</v>
      </c>
      <c r="AA445" s="9" t="s">
        <v>132</v>
      </c>
      <c r="AB445" s="9" t="s">
        <v>91</v>
      </c>
      <c r="AC445" s="9" t="s">
        <v>1622</v>
      </c>
      <c r="AD445" s="9">
        <v>10.0</v>
      </c>
      <c r="AE445" s="9">
        <v>1.0</v>
      </c>
      <c r="AF445" s="9">
        <v>1.0</v>
      </c>
      <c r="AG445" s="12">
        <v>3200.0</v>
      </c>
      <c r="AH445" s="13"/>
    </row>
    <row r="446">
      <c r="A446" s="7">
        <v>44403.96585042824</v>
      </c>
      <c r="B446" s="8">
        <f t="shared" si="1"/>
        <v>2021</v>
      </c>
      <c r="C446" s="9" t="s">
        <v>73</v>
      </c>
      <c r="D446" s="9">
        <v>27.0</v>
      </c>
      <c r="E446" s="9" t="s">
        <v>35</v>
      </c>
      <c r="F446" s="9" t="s">
        <v>36</v>
      </c>
      <c r="G446" s="8" t="s">
        <v>50</v>
      </c>
      <c r="H446" s="9" t="s">
        <v>106</v>
      </c>
      <c r="I446" s="9" t="s">
        <v>1623</v>
      </c>
      <c r="J446" s="9" t="s">
        <v>1536</v>
      </c>
      <c r="K446" s="9" t="s">
        <v>100</v>
      </c>
      <c r="L446" s="9" t="s">
        <v>40</v>
      </c>
      <c r="M446" s="9" t="s">
        <v>40</v>
      </c>
      <c r="N446" s="9" t="s">
        <v>40</v>
      </c>
      <c r="Q446" s="9" t="s">
        <v>548</v>
      </c>
      <c r="R446" s="9" t="s">
        <v>42</v>
      </c>
      <c r="S446" s="10">
        <v>6800.0</v>
      </c>
      <c r="T446" s="11" t="s">
        <v>37</v>
      </c>
      <c r="V446" s="9">
        <v>14.0</v>
      </c>
      <c r="W446" s="9" t="s">
        <v>778</v>
      </c>
      <c r="X446" s="9" t="s">
        <v>1624</v>
      </c>
      <c r="Y446" s="9" t="s">
        <v>171</v>
      </c>
      <c r="Z446" s="9" t="s">
        <v>59</v>
      </c>
      <c r="AA446" s="9" t="s">
        <v>81</v>
      </c>
      <c r="AB446" s="9" t="s">
        <v>133</v>
      </c>
      <c r="AD446" s="9">
        <v>10.0</v>
      </c>
      <c r="AE446" s="9">
        <v>4.0</v>
      </c>
      <c r="AF446" s="9">
        <v>2.0</v>
      </c>
      <c r="AG446" s="12">
        <v>3200.0</v>
      </c>
      <c r="AH446" s="13"/>
    </row>
    <row r="447">
      <c r="A447" s="14">
        <v>44403.891987986106</v>
      </c>
      <c r="B447" s="8">
        <f t="shared" si="1"/>
        <v>2021</v>
      </c>
      <c r="C447" s="8" t="s">
        <v>49</v>
      </c>
      <c r="D447" s="8">
        <v>26.0</v>
      </c>
      <c r="E447" s="8" t="s">
        <v>35</v>
      </c>
      <c r="F447" s="8" t="s">
        <v>36</v>
      </c>
      <c r="G447" s="8" t="s">
        <v>124</v>
      </c>
      <c r="H447" s="9" t="s">
        <v>156</v>
      </c>
      <c r="I447" s="8" t="s">
        <v>38</v>
      </c>
      <c r="J447" s="8" t="s">
        <v>83</v>
      </c>
      <c r="K447" s="8" t="s">
        <v>1625</v>
      </c>
      <c r="L447" s="8" t="s">
        <v>39</v>
      </c>
      <c r="M447" s="8" t="s">
        <v>39</v>
      </c>
      <c r="N447" s="8" t="s">
        <v>40</v>
      </c>
      <c r="O447" s="8" t="s">
        <v>1626</v>
      </c>
      <c r="P447" s="15"/>
      <c r="Q447" s="8" t="s">
        <v>128</v>
      </c>
      <c r="R447" s="9" t="s">
        <v>42</v>
      </c>
      <c r="S447" s="16">
        <v>3200.0</v>
      </c>
      <c r="T447" s="17">
        <v>0.0</v>
      </c>
      <c r="U447" s="8">
        <v>0.0</v>
      </c>
      <c r="V447" s="8">
        <v>15.0</v>
      </c>
      <c r="W447" s="8" t="s">
        <v>1627</v>
      </c>
      <c r="X447" s="8" t="s">
        <v>1628</v>
      </c>
      <c r="Y447" s="8" t="s">
        <v>340</v>
      </c>
      <c r="Z447" s="8" t="s">
        <v>70</v>
      </c>
      <c r="AA447" s="8" t="s">
        <v>132</v>
      </c>
      <c r="AB447" s="8" t="s">
        <v>61</v>
      </c>
      <c r="AC447" s="15"/>
      <c r="AD447" s="8">
        <v>8.0</v>
      </c>
      <c r="AE447" s="8">
        <v>1.0</v>
      </c>
      <c r="AF447" s="8">
        <v>0.0</v>
      </c>
      <c r="AG447" s="18">
        <v>3200.0</v>
      </c>
      <c r="AH447" s="13"/>
      <c r="AI447" s="15"/>
      <c r="AJ447" s="15"/>
      <c r="AK447" s="15"/>
      <c r="AL447" s="15"/>
      <c r="AM447" s="15"/>
      <c r="AN447" s="15"/>
    </row>
    <row r="448">
      <c r="A448" s="14">
        <v>44403.8904225463</v>
      </c>
      <c r="B448" s="8">
        <f t="shared" si="1"/>
        <v>2021</v>
      </c>
      <c r="C448" s="8" t="s">
        <v>49</v>
      </c>
      <c r="D448" s="8">
        <v>28.0</v>
      </c>
      <c r="E448" s="8" t="s">
        <v>35</v>
      </c>
      <c r="F448" s="8" t="s">
        <v>36</v>
      </c>
      <c r="G448" s="8" t="s">
        <v>74</v>
      </c>
      <c r="H448" s="8" t="s">
        <v>527</v>
      </c>
      <c r="I448" s="8" t="s">
        <v>38</v>
      </c>
      <c r="J448" s="9" t="s">
        <v>75</v>
      </c>
      <c r="K448" s="9" t="s">
        <v>166</v>
      </c>
      <c r="L448" s="8" t="s">
        <v>39</v>
      </c>
      <c r="M448" s="8" t="s">
        <v>40</v>
      </c>
      <c r="N448" s="8" t="s">
        <v>40</v>
      </c>
      <c r="O448" s="15"/>
      <c r="P448" s="15"/>
      <c r="Q448" s="9" t="s">
        <v>736</v>
      </c>
      <c r="R448" s="9" t="s">
        <v>42</v>
      </c>
      <c r="S448" s="16">
        <v>4000.0</v>
      </c>
      <c r="T448" s="17">
        <v>4000.0</v>
      </c>
      <c r="U448" s="8">
        <v>3000.0</v>
      </c>
      <c r="V448" s="8">
        <v>15.0</v>
      </c>
      <c r="W448" s="8" t="s">
        <v>1629</v>
      </c>
      <c r="X448" s="8" t="s">
        <v>1630</v>
      </c>
      <c r="Y448" s="8" t="s">
        <v>79</v>
      </c>
      <c r="Z448" s="8" t="s">
        <v>80</v>
      </c>
      <c r="AA448" s="8" t="s">
        <v>90</v>
      </c>
      <c r="AB448" s="8" t="s">
        <v>61</v>
      </c>
      <c r="AC448" s="15"/>
      <c r="AD448" s="8">
        <v>3.0</v>
      </c>
      <c r="AE448" s="8">
        <v>4.0</v>
      </c>
      <c r="AF448" s="8">
        <v>0.0</v>
      </c>
      <c r="AG448" s="18">
        <v>3200.0</v>
      </c>
      <c r="AH448" s="13"/>
      <c r="AI448" s="15"/>
      <c r="AJ448" s="15"/>
      <c r="AK448" s="15"/>
      <c r="AL448" s="15"/>
      <c r="AM448" s="15"/>
      <c r="AN448" s="15"/>
    </row>
    <row r="449">
      <c r="A449" s="7">
        <v>44403.903818969906</v>
      </c>
      <c r="B449" s="8">
        <f t="shared" si="1"/>
        <v>2021</v>
      </c>
      <c r="C449" s="9" t="s">
        <v>49</v>
      </c>
      <c r="D449" s="9">
        <v>30.0</v>
      </c>
      <c r="E449" s="9" t="s">
        <v>35</v>
      </c>
      <c r="F449" s="9" t="s">
        <v>36</v>
      </c>
      <c r="G449" s="8" t="s">
        <v>50</v>
      </c>
      <c r="H449" s="8" t="s">
        <v>82</v>
      </c>
      <c r="I449" s="9" t="s">
        <v>38</v>
      </c>
      <c r="J449" s="9" t="s">
        <v>75</v>
      </c>
      <c r="K449" s="9" t="s">
        <v>355</v>
      </c>
      <c r="L449" s="9" t="s">
        <v>39</v>
      </c>
      <c r="M449" s="9" t="s">
        <v>40</v>
      </c>
      <c r="N449" s="9" t="s">
        <v>40</v>
      </c>
      <c r="Q449" s="9" t="s">
        <v>128</v>
      </c>
      <c r="R449" s="9" t="s">
        <v>42</v>
      </c>
      <c r="S449" s="10">
        <v>7000.0</v>
      </c>
      <c r="T449" s="11">
        <v>9000.0</v>
      </c>
      <c r="V449" s="9">
        <v>15.0</v>
      </c>
      <c r="W449" s="9" t="s">
        <v>1631</v>
      </c>
      <c r="X449" s="9" t="s">
        <v>1632</v>
      </c>
      <c r="Y449" s="9" t="s">
        <v>124</v>
      </c>
      <c r="Z449" s="9" t="s">
        <v>1633</v>
      </c>
      <c r="AA449" s="9" t="s">
        <v>81</v>
      </c>
      <c r="AB449" s="9" t="s">
        <v>611</v>
      </c>
      <c r="AC449" s="9" t="s">
        <v>1634</v>
      </c>
      <c r="AD449" s="9">
        <v>10.0</v>
      </c>
      <c r="AE449" s="9">
        <v>6.0</v>
      </c>
      <c r="AF449" s="9">
        <v>1.0</v>
      </c>
      <c r="AG449" s="12">
        <v>3200.0</v>
      </c>
      <c r="AH449" s="13"/>
    </row>
    <row r="450">
      <c r="A450" s="14">
        <v>44403.862067800925</v>
      </c>
      <c r="B450" s="8">
        <f t="shared" si="1"/>
        <v>2021</v>
      </c>
      <c r="C450" s="8" t="s">
        <v>49</v>
      </c>
      <c r="D450" s="8">
        <v>24.0</v>
      </c>
      <c r="E450" s="8" t="s">
        <v>35</v>
      </c>
      <c r="F450" s="8" t="s">
        <v>36</v>
      </c>
      <c r="G450" s="8" t="s">
        <v>50</v>
      </c>
      <c r="H450" s="8" t="s">
        <v>180</v>
      </c>
      <c r="I450" s="8" t="s">
        <v>38</v>
      </c>
      <c r="J450" s="9" t="s">
        <v>75</v>
      </c>
      <c r="K450" s="9" t="s">
        <v>944</v>
      </c>
      <c r="L450" s="8" t="s">
        <v>39</v>
      </c>
      <c r="M450" s="8" t="s">
        <v>40</v>
      </c>
      <c r="N450" s="8" t="s">
        <v>40</v>
      </c>
      <c r="O450" s="15"/>
      <c r="P450" s="15"/>
      <c r="Q450" s="8" t="s">
        <v>293</v>
      </c>
      <c r="R450" s="9" t="s">
        <v>42</v>
      </c>
      <c r="S450" s="16">
        <v>4000.0</v>
      </c>
      <c r="T450" s="17">
        <v>10000.0</v>
      </c>
      <c r="U450" s="8">
        <v>0.0</v>
      </c>
      <c r="V450" s="8">
        <v>16.0</v>
      </c>
      <c r="W450" s="8" t="s">
        <v>1635</v>
      </c>
      <c r="X450" s="8" t="s">
        <v>1636</v>
      </c>
      <c r="Y450" s="8" t="s">
        <v>58</v>
      </c>
      <c r="Z450" s="8" t="s">
        <v>80</v>
      </c>
      <c r="AA450" s="8" t="s">
        <v>81</v>
      </c>
      <c r="AB450" s="8" t="s">
        <v>91</v>
      </c>
      <c r="AC450" s="15"/>
      <c r="AD450" s="8">
        <v>3.0</v>
      </c>
      <c r="AE450" s="8">
        <v>2.0</v>
      </c>
      <c r="AF450" s="8">
        <v>0.0</v>
      </c>
      <c r="AG450" s="18">
        <v>3200.0</v>
      </c>
      <c r="AH450" s="13"/>
      <c r="AI450" s="15"/>
      <c r="AJ450" s="15"/>
      <c r="AK450" s="15"/>
      <c r="AL450" s="15"/>
      <c r="AM450" s="15"/>
      <c r="AN450" s="15"/>
    </row>
    <row r="451">
      <c r="A451" s="14">
        <v>44403.87701273148</v>
      </c>
      <c r="B451" s="8">
        <f t="shared" si="1"/>
        <v>2021</v>
      </c>
      <c r="C451" s="8" t="s">
        <v>49</v>
      </c>
      <c r="D451" s="8">
        <v>25.0</v>
      </c>
      <c r="E451" s="8" t="s">
        <v>35</v>
      </c>
      <c r="F451" s="8" t="s">
        <v>36</v>
      </c>
      <c r="G451" s="8" t="s">
        <v>124</v>
      </c>
      <c r="H451" s="8" t="s">
        <v>298</v>
      </c>
      <c r="I451" s="8" t="s">
        <v>38</v>
      </c>
      <c r="J451" s="9" t="s">
        <v>160</v>
      </c>
      <c r="K451" s="8" t="s">
        <v>161</v>
      </c>
      <c r="L451" s="8" t="s">
        <v>39</v>
      </c>
      <c r="M451" s="8" t="s">
        <v>40</v>
      </c>
      <c r="N451" s="8" t="s">
        <v>40</v>
      </c>
      <c r="O451" s="15"/>
      <c r="P451" s="15"/>
      <c r="Q451" s="9" t="s">
        <v>101</v>
      </c>
      <c r="R451" s="9" t="s">
        <v>42</v>
      </c>
      <c r="S451" s="16">
        <v>8800.0</v>
      </c>
      <c r="T451" s="17">
        <v>0.0</v>
      </c>
      <c r="U451" s="8">
        <v>0.0</v>
      </c>
      <c r="V451" s="8">
        <v>20.0</v>
      </c>
      <c r="W451" s="8" t="s">
        <v>1637</v>
      </c>
      <c r="X451" s="8" t="s">
        <v>1638</v>
      </c>
      <c r="Y451" s="8" t="s">
        <v>58</v>
      </c>
      <c r="Z451" s="8" t="s">
        <v>59</v>
      </c>
      <c r="AA451" s="8" t="s">
        <v>60</v>
      </c>
      <c r="AB451" s="8" t="s">
        <v>133</v>
      </c>
      <c r="AC451" s="15"/>
      <c r="AD451" s="8">
        <v>8.0</v>
      </c>
      <c r="AE451" s="8">
        <v>3.0</v>
      </c>
      <c r="AF451" s="8">
        <v>3.0</v>
      </c>
      <c r="AG451" s="18">
        <v>3200.0</v>
      </c>
      <c r="AH451" s="13"/>
      <c r="AI451" s="15"/>
      <c r="AJ451" s="15"/>
      <c r="AK451" s="15"/>
      <c r="AL451" s="15"/>
      <c r="AM451" s="15"/>
      <c r="AN451" s="15"/>
    </row>
    <row r="452">
      <c r="A452" s="7">
        <v>44404.051533252314</v>
      </c>
      <c r="B452" s="8">
        <f t="shared" si="1"/>
        <v>2021</v>
      </c>
      <c r="C452" s="9" t="s">
        <v>49</v>
      </c>
      <c r="D452" s="9">
        <v>26.0</v>
      </c>
      <c r="E452" s="9" t="s">
        <v>35</v>
      </c>
      <c r="F452" s="9" t="s">
        <v>36</v>
      </c>
      <c r="G452" s="8" t="s">
        <v>50</v>
      </c>
      <c r="H452" s="9" t="s">
        <v>1639</v>
      </c>
      <c r="I452" s="9" t="s">
        <v>38</v>
      </c>
      <c r="J452" s="9" t="s">
        <v>160</v>
      </c>
      <c r="K452" s="9" t="s">
        <v>84</v>
      </c>
      <c r="L452" s="9" t="s">
        <v>39</v>
      </c>
      <c r="M452" s="9" t="s">
        <v>40</v>
      </c>
      <c r="N452" s="9" t="s">
        <v>40</v>
      </c>
      <c r="Q452" s="9" t="s">
        <v>736</v>
      </c>
      <c r="R452" s="9" t="s">
        <v>42</v>
      </c>
      <c r="S452" s="10">
        <v>7200.0</v>
      </c>
      <c r="T452" s="11">
        <v>4000.0</v>
      </c>
      <c r="U452" s="9">
        <v>0.0</v>
      </c>
      <c r="V452" s="9">
        <v>20.0</v>
      </c>
      <c r="W452" s="9" t="s">
        <v>1640</v>
      </c>
      <c r="X452" s="9" t="s">
        <v>1641</v>
      </c>
      <c r="Y452" s="9" t="s">
        <v>124</v>
      </c>
      <c r="Z452" s="9" t="s">
        <v>59</v>
      </c>
      <c r="AA452" s="9" t="s">
        <v>81</v>
      </c>
      <c r="AB452" s="9" t="s">
        <v>133</v>
      </c>
      <c r="AD452" s="9">
        <v>8.0</v>
      </c>
      <c r="AE452" s="9">
        <v>4.0</v>
      </c>
      <c r="AF452" s="9">
        <v>2.0</v>
      </c>
      <c r="AG452" s="12">
        <v>3200.0</v>
      </c>
      <c r="AH452" s="13"/>
    </row>
    <row r="453">
      <c r="A453" s="14">
        <v>44403.86754872685</v>
      </c>
      <c r="B453" s="8">
        <f t="shared" si="1"/>
        <v>2021</v>
      </c>
      <c r="C453" s="8" t="s">
        <v>73</v>
      </c>
      <c r="D453" s="8">
        <v>25.0</v>
      </c>
      <c r="E453" s="8" t="s">
        <v>35</v>
      </c>
      <c r="F453" s="8" t="s">
        <v>36</v>
      </c>
      <c r="G453" s="8" t="s">
        <v>124</v>
      </c>
      <c r="H453" s="8" t="s">
        <v>298</v>
      </c>
      <c r="I453" s="8" t="s">
        <v>38</v>
      </c>
      <c r="J453" s="8" t="s">
        <v>1368</v>
      </c>
      <c r="K453" s="9" t="s">
        <v>959</v>
      </c>
      <c r="L453" s="8" t="s">
        <v>40</v>
      </c>
      <c r="M453" s="8" t="s">
        <v>39</v>
      </c>
      <c r="N453" s="8" t="s">
        <v>40</v>
      </c>
      <c r="O453" s="8" t="s">
        <v>1642</v>
      </c>
      <c r="P453" s="15"/>
      <c r="Q453" s="9" t="s">
        <v>54</v>
      </c>
      <c r="R453" s="9" t="s">
        <v>42</v>
      </c>
      <c r="S453" s="16">
        <v>3200.0</v>
      </c>
      <c r="T453" s="17">
        <v>0.0</v>
      </c>
      <c r="U453" s="8" t="s">
        <v>1643</v>
      </c>
      <c r="V453" s="8">
        <v>20.0</v>
      </c>
      <c r="W453" s="8" t="s">
        <v>884</v>
      </c>
      <c r="X453" s="8" t="s">
        <v>658</v>
      </c>
      <c r="Y453" s="8" t="s">
        <v>131</v>
      </c>
      <c r="Z453" s="8" t="s">
        <v>59</v>
      </c>
      <c r="AA453" s="8" t="s">
        <v>47</v>
      </c>
      <c r="AB453" s="8" t="s">
        <v>61</v>
      </c>
      <c r="AC453" s="15"/>
      <c r="AD453" s="8">
        <v>8.0</v>
      </c>
      <c r="AE453" s="8">
        <v>0.0</v>
      </c>
      <c r="AF453" s="8">
        <v>0.0</v>
      </c>
      <c r="AG453" s="18">
        <v>3200.0</v>
      </c>
      <c r="AH453" s="13"/>
      <c r="AI453" s="15"/>
      <c r="AJ453" s="15"/>
      <c r="AK453" s="15"/>
      <c r="AL453" s="15"/>
      <c r="AM453" s="15"/>
      <c r="AN453" s="15"/>
    </row>
    <row r="454">
      <c r="A454" s="7">
        <v>44404.45557056713</v>
      </c>
      <c r="B454" s="8">
        <f t="shared" si="1"/>
        <v>2021</v>
      </c>
      <c r="C454" s="9" t="s">
        <v>49</v>
      </c>
      <c r="D454" s="9">
        <v>23.0</v>
      </c>
      <c r="E454" s="9" t="s">
        <v>35</v>
      </c>
      <c r="F454" s="9" t="s">
        <v>36</v>
      </c>
      <c r="G454" s="8" t="s">
        <v>164</v>
      </c>
      <c r="H454" s="8" t="s">
        <v>1463</v>
      </c>
      <c r="I454" s="9" t="s">
        <v>247</v>
      </c>
      <c r="J454" s="9" t="s">
        <v>160</v>
      </c>
      <c r="K454" s="9" t="s">
        <v>84</v>
      </c>
      <c r="L454" s="9" t="s">
        <v>39</v>
      </c>
      <c r="M454" s="9" t="s">
        <v>40</v>
      </c>
      <c r="N454" s="9" t="s">
        <v>40</v>
      </c>
      <c r="Q454" s="9" t="s">
        <v>41</v>
      </c>
      <c r="R454" s="9" t="s">
        <v>42</v>
      </c>
      <c r="S454" s="10">
        <v>3400.0</v>
      </c>
      <c r="T454" s="11">
        <v>500.0</v>
      </c>
      <c r="V454" s="9">
        <v>20.0</v>
      </c>
      <c r="W454" s="9" t="s">
        <v>1644</v>
      </c>
      <c r="X454" s="9" t="s">
        <v>224</v>
      </c>
      <c r="Y454" s="9" t="s">
        <v>58</v>
      </c>
      <c r="Z454" s="9" t="s">
        <v>59</v>
      </c>
      <c r="AA454" s="9" t="s">
        <v>132</v>
      </c>
      <c r="AB454" s="9" t="s">
        <v>91</v>
      </c>
      <c r="AD454" s="9">
        <v>7.0</v>
      </c>
      <c r="AE454" s="9">
        <v>1.5</v>
      </c>
      <c r="AF454" s="9">
        <v>1.0</v>
      </c>
      <c r="AG454" s="12">
        <v>3200.0</v>
      </c>
      <c r="AH454" s="13"/>
    </row>
    <row r="455">
      <c r="A455" s="14">
        <v>44403.88131241898</v>
      </c>
      <c r="B455" s="8">
        <f t="shared" si="1"/>
        <v>2021</v>
      </c>
      <c r="C455" s="8" t="s">
        <v>49</v>
      </c>
      <c r="D455" s="8">
        <v>26.0</v>
      </c>
      <c r="E455" s="8" t="s">
        <v>35</v>
      </c>
      <c r="F455" s="8" t="s">
        <v>36</v>
      </c>
      <c r="G455" s="8" t="s">
        <v>50</v>
      </c>
      <c r="H455" s="8" t="s">
        <v>499</v>
      </c>
      <c r="I455" s="8" t="s">
        <v>38</v>
      </c>
      <c r="J455" s="9" t="s">
        <v>75</v>
      </c>
      <c r="K455" s="8" t="s">
        <v>944</v>
      </c>
      <c r="L455" s="8" t="s">
        <v>39</v>
      </c>
      <c r="M455" s="8" t="s">
        <v>40</v>
      </c>
      <c r="N455" s="8" t="s">
        <v>40</v>
      </c>
      <c r="O455" s="15"/>
      <c r="P455" s="15"/>
      <c r="Q455" s="8" t="s">
        <v>746</v>
      </c>
      <c r="R455" s="9" t="s">
        <v>42</v>
      </c>
      <c r="S455" s="16">
        <v>5016.0</v>
      </c>
      <c r="T455" s="17">
        <v>5016.0</v>
      </c>
      <c r="U455" s="8">
        <v>0.0</v>
      </c>
      <c r="V455" s="8">
        <v>21.0</v>
      </c>
      <c r="W455" s="8" t="s">
        <v>1645</v>
      </c>
      <c r="X455" s="8" t="s">
        <v>1646</v>
      </c>
      <c r="Y455" s="8" t="s">
        <v>124</v>
      </c>
      <c r="Z455" s="8" t="s">
        <v>159</v>
      </c>
      <c r="AA455" s="8" t="s">
        <v>60</v>
      </c>
      <c r="AB455" s="8" t="s">
        <v>91</v>
      </c>
      <c r="AC455" s="15"/>
      <c r="AD455" s="8">
        <v>7.0</v>
      </c>
      <c r="AE455" s="8">
        <v>4.0</v>
      </c>
      <c r="AF455" s="8">
        <v>1.0</v>
      </c>
      <c r="AG455" s="18">
        <v>3200.0</v>
      </c>
      <c r="AH455" s="13"/>
      <c r="AI455" s="15"/>
      <c r="AJ455" s="15"/>
      <c r="AK455" s="15"/>
      <c r="AL455" s="15"/>
      <c r="AM455" s="15"/>
      <c r="AN455" s="15"/>
    </row>
    <row r="456">
      <c r="A456" s="14">
        <v>44403.88680515046</v>
      </c>
      <c r="B456" s="8">
        <f t="shared" si="1"/>
        <v>2021</v>
      </c>
      <c r="C456" s="8" t="s">
        <v>49</v>
      </c>
      <c r="D456" s="8">
        <v>27.0</v>
      </c>
      <c r="E456" s="8" t="s">
        <v>35</v>
      </c>
      <c r="F456" s="8" t="s">
        <v>36</v>
      </c>
      <c r="G456" s="8" t="s">
        <v>124</v>
      </c>
      <c r="H456" s="8" t="s">
        <v>773</v>
      </c>
      <c r="I456" s="8" t="s">
        <v>247</v>
      </c>
      <c r="J456" s="9" t="s">
        <v>475</v>
      </c>
      <c r="K456" s="9" t="s">
        <v>234</v>
      </c>
      <c r="L456" s="8" t="s">
        <v>40</v>
      </c>
      <c r="M456" s="8" t="s">
        <v>40</v>
      </c>
      <c r="N456" s="8" t="s">
        <v>40</v>
      </c>
      <c r="O456" s="15"/>
      <c r="P456" s="15"/>
      <c r="Q456" s="8" t="s">
        <v>146</v>
      </c>
      <c r="R456" s="9" t="s">
        <v>42</v>
      </c>
      <c r="S456" s="16">
        <v>5000.0</v>
      </c>
      <c r="T456" s="17">
        <v>0.0</v>
      </c>
      <c r="U456" s="8">
        <v>0.0</v>
      </c>
      <c r="V456" s="8">
        <v>22.0</v>
      </c>
      <c r="W456" s="8" t="s">
        <v>1647</v>
      </c>
      <c r="X456" s="8" t="s">
        <v>224</v>
      </c>
      <c r="Y456" s="8" t="s">
        <v>122</v>
      </c>
      <c r="Z456" s="8" t="s">
        <v>89</v>
      </c>
      <c r="AA456" s="8" t="s">
        <v>60</v>
      </c>
      <c r="AB456" s="8" t="s">
        <v>91</v>
      </c>
      <c r="AC456" s="8" t="s">
        <v>1648</v>
      </c>
      <c r="AD456" s="8">
        <v>7.0</v>
      </c>
      <c r="AE456" s="8">
        <v>3.0</v>
      </c>
      <c r="AF456" s="8">
        <v>1.0</v>
      </c>
      <c r="AG456" s="18">
        <v>3200.0</v>
      </c>
      <c r="AH456" s="13"/>
      <c r="AI456" s="15"/>
      <c r="AJ456" s="15"/>
      <c r="AK456" s="15"/>
      <c r="AL456" s="15"/>
      <c r="AM456" s="15"/>
      <c r="AN456" s="15"/>
    </row>
    <row r="457">
      <c r="A457" s="14">
        <v>44403.85985975694</v>
      </c>
      <c r="B457" s="8">
        <f t="shared" si="1"/>
        <v>2021</v>
      </c>
      <c r="C457" s="8" t="s">
        <v>49</v>
      </c>
      <c r="D457" s="8">
        <v>27.0</v>
      </c>
      <c r="E457" s="8" t="s">
        <v>35</v>
      </c>
      <c r="F457" s="8" t="s">
        <v>36</v>
      </c>
      <c r="G457" s="8" t="s">
        <v>124</v>
      </c>
      <c r="H457" s="8" t="s">
        <v>206</v>
      </c>
      <c r="I457" s="8" t="s">
        <v>38</v>
      </c>
      <c r="J457" s="9" t="s">
        <v>160</v>
      </c>
      <c r="K457" s="9" t="s">
        <v>414</v>
      </c>
      <c r="L457" s="8" t="s">
        <v>39</v>
      </c>
      <c r="M457" s="8" t="s">
        <v>40</v>
      </c>
      <c r="N457" s="8" t="s">
        <v>40</v>
      </c>
      <c r="O457" s="15"/>
      <c r="P457" s="15"/>
      <c r="Q457" s="8" t="s">
        <v>511</v>
      </c>
      <c r="R457" s="9" t="s">
        <v>42</v>
      </c>
      <c r="S457" s="16">
        <v>4500.0</v>
      </c>
      <c r="T457" s="17">
        <v>22500.0</v>
      </c>
      <c r="U457" s="8">
        <v>0.0</v>
      </c>
      <c r="V457" s="8">
        <v>25.0</v>
      </c>
      <c r="W457" s="8" t="s">
        <v>1649</v>
      </c>
      <c r="X457" s="8" t="s">
        <v>1650</v>
      </c>
      <c r="Y457" s="8" t="s">
        <v>124</v>
      </c>
      <c r="Z457" s="8" t="s">
        <v>59</v>
      </c>
      <c r="AA457" s="8" t="s">
        <v>90</v>
      </c>
      <c r="AB457" s="8" t="s">
        <v>133</v>
      </c>
      <c r="AC457" s="8" t="s">
        <v>1651</v>
      </c>
      <c r="AD457" s="8">
        <v>8.0</v>
      </c>
      <c r="AE457" s="8">
        <v>5.0</v>
      </c>
      <c r="AF457" s="8">
        <v>2.0</v>
      </c>
      <c r="AG457" s="18">
        <v>3200.0</v>
      </c>
      <c r="AH457" s="13"/>
      <c r="AI457" s="15"/>
      <c r="AJ457" s="15"/>
      <c r="AK457" s="15"/>
      <c r="AL457" s="15"/>
      <c r="AM457" s="15"/>
      <c r="AN457" s="15"/>
    </row>
    <row r="458">
      <c r="A458" s="14">
        <v>44403.85305821759</v>
      </c>
      <c r="B458" s="8">
        <f t="shared" si="1"/>
        <v>2021</v>
      </c>
      <c r="C458" s="8" t="s">
        <v>49</v>
      </c>
      <c r="D458" s="8">
        <v>31.0</v>
      </c>
      <c r="E458" s="8" t="s">
        <v>35</v>
      </c>
      <c r="F458" s="8" t="s">
        <v>36</v>
      </c>
      <c r="G458" s="8" t="s">
        <v>124</v>
      </c>
      <c r="H458" s="8" t="s">
        <v>298</v>
      </c>
      <c r="I458" s="8" t="s">
        <v>247</v>
      </c>
      <c r="J458" s="9" t="s">
        <v>75</v>
      </c>
      <c r="K458" s="9" t="s">
        <v>161</v>
      </c>
      <c r="L458" s="8" t="s">
        <v>39</v>
      </c>
      <c r="M458" s="8" t="s">
        <v>40</v>
      </c>
      <c r="N458" s="8" t="s">
        <v>40</v>
      </c>
      <c r="O458" s="15"/>
      <c r="P458" s="15"/>
      <c r="Q458" s="8" t="s">
        <v>308</v>
      </c>
      <c r="R458" s="9" t="s">
        <v>42</v>
      </c>
      <c r="S458" s="16">
        <v>7200.0</v>
      </c>
      <c r="T458" s="17">
        <v>0.0</v>
      </c>
      <c r="U458" s="8">
        <v>0.0</v>
      </c>
      <c r="V458" s="8">
        <v>26.0</v>
      </c>
      <c r="W458" s="8" t="s">
        <v>1652</v>
      </c>
      <c r="X458" s="8" t="s">
        <v>1653</v>
      </c>
      <c r="Y458" s="8" t="s">
        <v>300</v>
      </c>
      <c r="Z458" s="8" t="s">
        <v>59</v>
      </c>
      <c r="AA458" s="8" t="s">
        <v>71</v>
      </c>
      <c r="AB458" s="8" t="s">
        <v>61</v>
      </c>
      <c r="AC458" s="15"/>
      <c r="AD458" s="8">
        <v>6.0</v>
      </c>
      <c r="AE458" s="8">
        <v>8.0</v>
      </c>
      <c r="AF458" s="8">
        <v>0.0</v>
      </c>
      <c r="AG458" s="18">
        <v>3200.0</v>
      </c>
      <c r="AH458" s="13"/>
      <c r="AI458" s="15"/>
      <c r="AJ458" s="15"/>
      <c r="AK458" s="15"/>
      <c r="AL458" s="15"/>
      <c r="AM458" s="15"/>
      <c r="AN458" s="15"/>
    </row>
    <row r="459">
      <c r="A459" s="7">
        <v>44404.360610081014</v>
      </c>
      <c r="B459" s="8">
        <f t="shared" si="1"/>
        <v>2021</v>
      </c>
      <c r="C459" s="9" t="s">
        <v>73</v>
      </c>
      <c r="D459" s="9">
        <v>24.0</v>
      </c>
      <c r="E459" s="9" t="s">
        <v>35</v>
      </c>
      <c r="F459" s="9" t="s">
        <v>36</v>
      </c>
      <c r="G459" s="9" t="s">
        <v>1311</v>
      </c>
      <c r="H459" s="9" t="s">
        <v>1654</v>
      </c>
      <c r="I459" s="9" t="s">
        <v>38</v>
      </c>
      <c r="J459" s="9" t="s">
        <v>160</v>
      </c>
      <c r="K459" s="9" t="s">
        <v>134</v>
      </c>
      <c r="L459" s="9" t="s">
        <v>39</v>
      </c>
      <c r="M459" s="9" t="s">
        <v>40</v>
      </c>
      <c r="N459" s="9" t="s">
        <v>40</v>
      </c>
      <c r="Q459" s="9" t="s">
        <v>1655</v>
      </c>
      <c r="R459" s="9" t="s">
        <v>42</v>
      </c>
      <c r="S459" s="10">
        <v>3200.0</v>
      </c>
      <c r="T459" s="11">
        <v>0.0</v>
      </c>
      <c r="V459" s="9">
        <v>38400.0</v>
      </c>
      <c r="W459" s="9" t="s">
        <v>1656</v>
      </c>
      <c r="X459" s="9" t="s">
        <v>87</v>
      </c>
      <c r="Y459" s="9" t="s">
        <v>124</v>
      </c>
      <c r="Z459" s="9" t="s">
        <v>89</v>
      </c>
      <c r="AA459" s="9" t="s">
        <v>60</v>
      </c>
      <c r="AB459" s="9" t="s">
        <v>611</v>
      </c>
      <c r="AD459" s="9">
        <v>7.0</v>
      </c>
      <c r="AE459" s="9" t="s">
        <v>1657</v>
      </c>
      <c r="AF459" s="9">
        <v>0.0</v>
      </c>
      <c r="AG459" s="12">
        <v>3200.0</v>
      </c>
      <c r="AH459" s="13"/>
    </row>
    <row r="460">
      <c r="A460" s="7">
        <v>44463.456947604165</v>
      </c>
      <c r="B460" s="8">
        <f t="shared" si="1"/>
        <v>2021</v>
      </c>
      <c r="C460" s="9" t="s">
        <v>49</v>
      </c>
      <c r="D460" s="9">
        <v>23.0</v>
      </c>
      <c r="E460" s="9" t="s">
        <v>35</v>
      </c>
      <c r="F460" s="9" t="s">
        <v>36</v>
      </c>
      <c r="G460" s="9" t="s">
        <v>186</v>
      </c>
      <c r="H460" s="9" t="s">
        <v>187</v>
      </c>
      <c r="I460" s="9" t="s">
        <v>38</v>
      </c>
      <c r="J460" s="9" t="s">
        <v>160</v>
      </c>
      <c r="K460" s="9" t="s">
        <v>875</v>
      </c>
      <c r="L460" s="9" t="s">
        <v>39</v>
      </c>
      <c r="M460" s="9" t="s">
        <v>40</v>
      </c>
      <c r="N460" s="9" t="s">
        <v>40</v>
      </c>
      <c r="Q460" s="9" t="s">
        <v>1658</v>
      </c>
      <c r="R460" s="9" t="s">
        <v>42</v>
      </c>
      <c r="S460" s="10">
        <v>3250.0</v>
      </c>
      <c r="T460" s="11">
        <v>0.0</v>
      </c>
      <c r="U460" s="9">
        <v>0.0</v>
      </c>
      <c r="V460" s="9">
        <v>24.0</v>
      </c>
      <c r="W460" s="9" t="s">
        <v>1659</v>
      </c>
      <c r="X460" s="9" t="s">
        <v>1660</v>
      </c>
      <c r="Y460" s="9" t="s">
        <v>58</v>
      </c>
      <c r="Z460" s="9" t="s">
        <v>155</v>
      </c>
      <c r="AA460" s="9" t="s">
        <v>60</v>
      </c>
      <c r="AB460" s="9" t="s">
        <v>61</v>
      </c>
      <c r="AD460" s="9">
        <v>5.0</v>
      </c>
      <c r="AE460" s="9">
        <v>0.0</v>
      </c>
      <c r="AF460" s="9">
        <v>1.0</v>
      </c>
      <c r="AG460" s="12">
        <v>3250.0</v>
      </c>
      <c r="AH460" s="13"/>
    </row>
    <row r="461">
      <c r="A461" s="7">
        <v>44522.65859521991</v>
      </c>
      <c r="B461" s="8">
        <f t="shared" si="1"/>
        <v>2021</v>
      </c>
      <c r="C461" s="9" t="s">
        <v>49</v>
      </c>
      <c r="D461" s="9">
        <v>37.0</v>
      </c>
      <c r="E461" s="9" t="s">
        <v>35</v>
      </c>
      <c r="F461" s="9" t="s">
        <v>36</v>
      </c>
      <c r="G461" s="8" t="s">
        <v>63</v>
      </c>
      <c r="H461" s="9" t="s">
        <v>1661</v>
      </c>
      <c r="I461" s="9" t="s">
        <v>247</v>
      </c>
      <c r="J461" s="9" t="s">
        <v>342</v>
      </c>
      <c r="K461" s="9" t="s">
        <v>166</v>
      </c>
      <c r="L461" s="9" t="s">
        <v>39</v>
      </c>
      <c r="M461" s="9" t="s">
        <v>40</v>
      </c>
      <c r="N461" s="9" t="s">
        <v>40</v>
      </c>
      <c r="Q461" s="9" t="s">
        <v>182</v>
      </c>
      <c r="R461" s="9" t="s">
        <v>42</v>
      </c>
      <c r="S461" s="10">
        <v>8800.0</v>
      </c>
      <c r="T461" s="11">
        <v>0.0</v>
      </c>
      <c r="U461" s="9">
        <v>0.0</v>
      </c>
      <c r="V461" s="9">
        <v>0.0</v>
      </c>
      <c r="W461" s="9" t="s">
        <v>1662</v>
      </c>
      <c r="X461" s="9" t="s">
        <v>1663</v>
      </c>
      <c r="Y461" s="9" t="s">
        <v>267</v>
      </c>
      <c r="Z461" s="9" t="s">
        <v>116</v>
      </c>
      <c r="AA461" s="9" t="s">
        <v>71</v>
      </c>
      <c r="AB461" s="9" t="s">
        <v>61</v>
      </c>
      <c r="AD461" s="9">
        <v>7.0</v>
      </c>
      <c r="AE461" s="9">
        <v>13.0</v>
      </c>
      <c r="AF461" s="9">
        <v>2.0</v>
      </c>
      <c r="AG461" s="12">
        <v>3300.0</v>
      </c>
      <c r="AH461" s="9" t="s">
        <v>42</v>
      </c>
    </row>
    <row r="462">
      <c r="A462" s="7">
        <v>44417.68643184028</v>
      </c>
      <c r="B462" s="8">
        <f t="shared" si="1"/>
        <v>2021</v>
      </c>
      <c r="C462" s="9" t="s">
        <v>49</v>
      </c>
      <c r="D462" s="9">
        <v>25.0</v>
      </c>
      <c r="E462" s="9" t="s">
        <v>35</v>
      </c>
      <c r="F462" s="9" t="s">
        <v>36</v>
      </c>
      <c r="G462" s="8" t="s">
        <v>124</v>
      </c>
      <c r="H462" s="9" t="s">
        <v>156</v>
      </c>
      <c r="I462" s="9" t="s">
        <v>38</v>
      </c>
      <c r="J462" s="9" t="s">
        <v>75</v>
      </c>
      <c r="K462" s="9" t="s">
        <v>381</v>
      </c>
      <c r="L462" s="9" t="s">
        <v>39</v>
      </c>
      <c r="M462" s="9" t="s">
        <v>40</v>
      </c>
      <c r="N462" s="9" t="s">
        <v>40</v>
      </c>
      <c r="Q462" s="9" t="s">
        <v>1278</v>
      </c>
      <c r="R462" s="9" t="s">
        <v>42</v>
      </c>
      <c r="S462" s="10">
        <v>3500.0</v>
      </c>
      <c r="T462" s="11">
        <v>0.0</v>
      </c>
      <c r="U462" s="9">
        <v>0.0</v>
      </c>
      <c r="V462" s="9">
        <v>12.0</v>
      </c>
      <c r="W462" s="9" t="s">
        <v>523</v>
      </c>
      <c r="X462" s="9" t="s">
        <v>1664</v>
      </c>
      <c r="Y462" s="9" t="s">
        <v>1665</v>
      </c>
      <c r="Z462" s="9" t="s">
        <v>159</v>
      </c>
      <c r="AA462" s="9" t="s">
        <v>71</v>
      </c>
      <c r="AB462" s="9" t="s">
        <v>61</v>
      </c>
      <c r="AD462" s="9">
        <v>5.0</v>
      </c>
      <c r="AE462" s="9">
        <v>1.0</v>
      </c>
      <c r="AF462" s="9">
        <v>0.0</v>
      </c>
      <c r="AG462" s="12">
        <v>3300.0</v>
      </c>
      <c r="AH462" s="9" t="s">
        <v>42</v>
      </c>
    </row>
    <row r="463">
      <c r="A463" s="7">
        <v>44491.83956743055</v>
      </c>
      <c r="B463" s="8">
        <f t="shared" si="1"/>
        <v>2021</v>
      </c>
      <c r="C463" s="9" t="s">
        <v>49</v>
      </c>
      <c r="D463" s="9">
        <v>25.0</v>
      </c>
      <c r="E463" s="9" t="s">
        <v>35</v>
      </c>
      <c r="F463" s="9" t="s">
        <v>36</v>
      </c>
      <c r="G463" s="8" t="s">
        <v>74</v>
      </c>
      <c r="H463" s="9" t="s">
        <v>527</v>
      </c>
      <c r="I463" s="9" t="s">
        <v>38</v>
      </c>
      <c r="J463" s="9" t="s">
        <v>910</v>
      </c>
      <c r="K463" s="9" t="s">
        <v>875</v>
      </c>
      <c r="L463" s="9" t="s">
        <v>40</v>
      </c>
      <c r="M463" s="9" t="s">
        <v>39</v>
      </c>
      <c r="N463" s="9" t="s">
        <v>40</v>
      </c>
      <c r="O463" s="9" t="s">
        <v>1666</v>
      </c>
      <c r="Q463" s="9" t="s">
        <v>128</v>
      </c>
      <c r="R463" s="9" t="s">
        <v>42</v>
      </c>
      <c r="S463" s="10">
        <v>3500.0</v>
      </c>
      <c r="T463" s="11">
        <v>3500.0</v>
      </c>
      <c r="U463" s="9">
        <v>0.0</v>
      </c>
      <c r="V463" s="9">
        <v>12.0</v>
      </c>
      <c r="W463" s="9" t="s">
        <v>1667</v>
      </c>
      <c r="X463" s="9" t="s">
        <v>1668</v>
      </c>
      <c r="Y463" s="9" t="s">
        <v>1669</v>
      </c>
      <c r="Z463" s="9" t="s">
        <v>155</v>
      </c>
      <c r="AA463" s="9" t="s">
        <v>132</v>
      </c>
      <c r="AB463" s="9" t="s">
        <v>91</v>
      </c>
      <c r="AC463" s="9" t="s">
        <v>1670</v>
      </c>
      <c r="AD463" s="9">
        <v>7.0</v>
      </c>
      <c r="AE463" s="9">
        <v>1.0</v>
      </c>
      <c r="AF463" s="9">
        <v>1.0</v>
      </c>
      <c r="AG463" s="12">
        <v>3300.0</v>
      </c>
      <c r="AH463" s="9" t="s">
        <v>42</v>
      </c>
    </row>
    <row r="464">
      <c r="A464" s="7">
        <v>44614.939306886576</v>
      </c>
      <c r="B464" s="8">
        <f t="shared" si="1"/>
        <v>2022</v>
      </c>
      <c r="C464" s="9" t="s">
        <v>49</v>
      </c>
      <c r="D464" s="9">
        <v>23.0</v>
      </c>
      <c r="E464" s="9" t="s">
        <v>35</v>
      </c>
      <c r="F464" s="9" t="s">
        <v>36</v>
      </c>
      <c r="G464" s="8" t="s">
        <v>74</v>
      </c>
      <c r="H464" s="9" t="s">
        <v>527</v>
      </c>
      <c r="I464" s="9" t="s">
        <v>38</v>
      </c>
      <c r="J464" s="9" t="s">
        <v>263</v>
      </c>
      <c r="K464" s="9" t="s">
        <v>84</v>
      </c>
      <c r="L464" s="9" t="s">
        <v>39</v>
      </c>
      <c r="M464" s="9" t="s">
        <v>40</v>
      </c>
      <c r="N464" s="9" t="s">
        <v>40</v>
      </c>
      <c r="Q464" s="9" t="s">
        <v>128</v>
      </c>
      <c r="R464" s="9" t="s">
        <v>42</v>
      </c>
      <c r="S464" s="10">
        <v>3500.0</v>
      </c>
      <c r="T464" s="11">
        <v>0.0</v>
      </c>
      <c r="U464" s="9">
        <v>0.0</v>
      </c>
      <c r="V464" s="9">
        <v>14.0</v>
      </c>
      <c r="W464" s="9" t="s">
        <v>1671</v>
      </c>
      <c r="X464" s="9" t="s">
        <v>224</v>
      </c>
      <c r="Y464" s="9" t="s">
        <v>79</v>
      </c>
      <c r="Z464" s="9" t="s">
        <v>80</v>
      </c>
      <c r="AA464" s="9" t="s">
        <v>60</v>
      </c>
      <c r="AB464" s="9" t="s">
        <v>61</v>
      </c>
      <c r="AD464" s="9">
        <v>7.0</v>
      </c>
      <c r="AE464" s="9">
        <v>1.0</v>
      </c>
      <c r="AF464" s="9">
        <v>0.0</v>
      </c>
      <c r="AG464" s="12">
        <v>3300.0</v>
      </c>
      <c r="AH464" s="13"/>
    </row>
    <row r="465">
      <c r="A465" s="7">
        <v>44579.56175313657</v>
      </c>
      <c r="B465" s="8">
        <f t="shared" si="1"/>
        <v>2022</v>
      </c>
      <c r="C465" s="9" t="s">
        <v>49</v>
      </c>
      <c r="D465" s="9">
        <v>26.0</v>
      </c>
      <c r="E465" s="9" t="s">
        <v>35</v>
      </c>
      <c r="F465" s="9" t="s">
        <v>36</v>
      </c>
      <c r="G465" s="8" t="s">
        <v>74</v>
      </c>
      <c r="H465" s="9" t="s">
        <v>527</v>
      </c>
      <c r="I465" s="9" t="s">
        <v>38</v>
      </c>
      <c r="J465" s="9" t="s">
        <v>143</v>
      </c>
      <c r="K465" s="9" t="s">
        <v>944</v>
      </c>
      <c r="L465" s="9" t="s">
        <v>39</v>
      </c>
      <c r="M465" s="9" t="s">
        <v>39</v>
      </c>
      <c r="N465" s="9" t="s">
        <v>40</v>
      </c>
      <c r="O465" s="9" t="s">
        <v>475</v>
      </c>
      <c r="Q465" s="9" t="s">
        <v>1672</v>
      </c>
      <c r="R465" s="9" t="s">
        <v>42</v>
      </c>
      <c r="S465" s="10">
        <v>4000.0</v>
      </c>
      <c r="T465" s="11">
        <v>0.0</v>
      </c>
      <c r="U465" s="9">
        <v>0.0</v>
      </c>
      <c r="V465" s="9">
        <v>14.0</v>
      </c>
      <c r="W465" s="9" t="s">
        <v>1673</v>
      </c>
      <c r="X465" s="9" t="s">
        <v>1674</v>
      </c>
      <c r="Y465" s="9" t="s">
        <v>79</v>
      </c>
      <c r="Z465" s="9" t="s">
        <v>1675</v>
      </c>
      <c r="AA465" s="9" t="s">
        <v>90</v>
      </c>
      <c r="AB465" s="9" t="s">
        <v>61</v>
      </c>
      <c r="AD465" s="9">
        <v>8.0</v>
      </c>
      <c r="AE465" s="9">
        <v>1.0</v>
      </c>
      <c r="AF465" s="9">
        <v>1.0</v>
      </c>
      <c r="AG465" s="12">
        <v>3300.0</v>
      </c>
      <c r="AH465" s="13"/>
    </row>
    <row r="466">
      <c r="A466" s="7">
        <v>44420.11103177084</v>
      </c>
      <c r="B466" s="8">
        <f t="shared" si="1"/>
        <v>2021</v>
      </c>
      <c r="C466" s="9" t="s">
        <v>49</v>
      </c>
      <c r="D466" s="9">
        <v>30.0</v>
      </c>
      <c r="E466" s="9" t="s">
        <v>35</v>
      </c>
      <c r="F466" s="9" t="s">
        <v>36</v>
      </c>
      <c r="G466" s="8" t="s">
        <v>50</v>
      </c>
      <c r="H466" s="8" t="s">
        <v>493</v>
      </c>
      <c r="I466" s="9" t="s">
        <v>38</v>
      </c>
      <c r="J466" s="9" t="s">
        <v>207</v>
      </c>
      <c r="K466" s="9" t="s">
        <v>166</v>
      </c>
      <c r="L466" s="9" t="s">
        <v>39</v>
      </c>
      <c r="M466" s="9" t="s">
        <v>40</v>
      </c>
      <c r="N466" s="9" t="s">
        <v>40</v>
      </c>
      <c r="Q466" s="9" t="s">
        <v>146</v>
      </c>
      <c r="R466" s="9" t="s">
        <v>42</v>
      </c>
      <c r="S466" s="10">
        <v>8200.0</v>
      </c>
      <c r="T466" s="11">
        <v>0.0</v>
      </c>
      <c r="U466" s="9">
        <v>0.0</v>
      </c>
      <c r="V466" s="9">
        <v>14.0</v>
      </c>
      <c r="W466" s="9" t="s">
        <v>1676</v>
      </c>
      <c r="X466" s="9" t="s">
        <v>731</v>
      </c>
      <c r="Y466" s="9" t="s">
        <v>122</v>
      </c>
      <c r="Z466" s="9" t="s">
        <v>1677</v>
      </c>
      <c r="AA466" s="9" t="s">
        <v>90</v>
      </c>
      <c r="AB466" s="9" t="s">
        <v>611</v>
      </c>
      <c r="AC466" s="9" t="s">
        <v>1678</v>
      </c>
      <c r="AD466" s="9">
        <v>7.0</v>
      </c>
      <c r="AE466" s="9">
        <v>7.0</v>
      </c>
      <c r="AF466" s="9">
        <v>5.0</v>
      </c>
      <c r="AG466" s="12">
        <v>3300.0</v>
      </c>
      <c r="AH466" s="13"/>
    </row>
    <row r="467">
      <c r="A467" s="7">
        <v>44405.00313075232</v>
      </c>
      <c r="B467" s="8">
        <f t="shared" si="1"/>
        <v>2021</v>
      </c>
      <c r="C467" s="9" t="s">
        <v>73</v>
      </c>
      <c r="D467" s="9">
        <v>24.0</v>
      </c>
      <c r="E467" s="9" t="s">
        <v>35</v>
      </c>
      <c r="F467" s="9" t="s">
        <v>36</v>
      </c>
      <c r="G467" s="8" t="s">
        <v>124</v>
      </c>
      <c r="H467" s="9" t="s">
        <v>206</v>
      </c>
      <c r="I467" s="9" t="s">
        <v>38</v>
      </c>
      <c r="J467" s="9" t="s">
        <v>160</v>
      </c>
      <c r="K467" s="9" t="s">
        <v>161</v>
      </c>
      <c r="L467" s="9" t="s">
        <v>39</v>
      </c>
      <c r="M467" s="9" t="s">
        <v>40</v>
      </c>
      <c r="N467" s="9" t="s">
        <v>40</v>
      </c>
      <c r="Q467" s="9" t="s">
        <v>146</v>
      </c>
      <c r="R467" s="9" t="s">
        <v>42</v>
      </c>
      <c r="S467" s="10">
        <v>3600.0</v>
      </c>
      <c r="T467" s="11">
        <v>3300.0</v>
      </c>
      <c r="U467" s="9">
        <v>0.0</v>
      </c>
      <c r="V467" s="9">
        <v>14.0</v>
      </c>
      <c r="W467" s="9" t="s">
        <v>1679</v>
      </c>
      <c r="X467" s="9" t="s">
        <v>1680</v>
      </c>
      <c r="Y467" s="9" t="s">
        <v>349</v>
      </c>
      <c r="Z467" s="9" t="s">
        <v>159</v>
      </c>
      <c r="AA467" s="9" t="s">
        <v>60</v>
      </c>
      <c r="AB467" s="9" t="s">
        <v>91</v>
      </c>
      <c r="AD467" s="9">
        <v>5.0</v>
      </c>
      <c r="AE467" s="9" t="s">
        <v>1681</v>
      </c>
      <c r="AF467" s="9">
        <v>1.0</v>
      </c>
      <c r="AG467" s="12">
        <v>3300.0</v>
      </c>
      <c r="AH467" s="13"/>
    </row>
    <row r="468">
      <c r="A468" s="7">
        <v>44632.99000726852</v>
      </c>
      <c r="B468" s="8">
        <f t="shared" si="1"/>
        <v>2022</v>
      </c>
      <c r="C468" s="9" t="s">
        <v>49</v>
      </c>
      <c r="D468" s="9">
        <v>24.0</v>
      </c>
      <c r="E468" s="9" t="s">
        <v>35</v>
      </c>
      <c r="F468" s="9" t="s">
        <v>36</v>
      </c>
      <c r="G468" s="8" t="s">
        <v>124</v>
      </c>
      <c r="H468" s="9" t="s">
        <v>206</v>
      </c>
      <c r="I468" s="9" t="s">
        <v>38</v>
      </c>
      <c r="J468" s="9" t="s">
        <v>239</v>
      </c>
      <c r="K468" s="9" t="s">
        <v>84</v>
      </c>
      <c r="L468" s="9" t="s">
        <v>39</v>
      </c>
      <c r="M468" s="9" t="s">
        <v>40</v>
      </c>
      <c r="N468" s="9" t="s">
        <v>40</v>
      </c>
      <c r="Q468" s="9" t="s">
        <v>146</v>
      </c>
      <c r="R468" s="9" t="s">
        <v>42</v>
      </c>
      <c r="S468" s="10">
        <v>4200.0</v>
      </c>
      <c r="T468" s="11">
        <v>4200.0</v>
      </c>
      <c r="V468" s="9">
        <v>14.0</v>
      </c>
      <c r="W468" s="9" t="s">
        <v>67</v>
      </c>
      <c r="X468" s="23" t="s">
        <v>1350</v>
      </c>
      <c r="Y468" s="9" t="s">
        <v>58</v>
      </c>
      <c r="Z468" s="9" t="s">
        <v>297</v>
      </c>
      <c r="AA468" s="9" t="s">
        <v>71</v>
      </c>
      <c r="AB468" s="9" t="s">
        <v>91</v>
      </c>
      <c r="AD468" s="9">
        <v>8.0</v>
      </c>
      <c r="AE468" s="9">
        <v>1.0</v>
      </c>
      <c r="AF468" s="9">
        <v>1.0</v>
      </c>
      <c r="AG468" s="12">
        <v>3300.0</v>
      </c>
      <c r="AH468" s="13"/>
    </row>
    <row r="469">
      <c r="A469" s="7">
        <v>44404.95983091435</v>
      </c>
      <c r="B469" s="8">
        <f t="shared" si="1"/>
        <v>2021</v>
      </c>
      <c r="C469" s="9" t="s">
        <v>73</v>
      </c>
      <c r="D469" s="9">
        <v>24.0</v>
      </c>
      <c r="E469" s="9" t="s">
        <v>35</v>
      </c>
      <c r="F469" s="9" t="s">
        <v>36</v>
      </c>
      <c r="G469" s="8" t="s">
        <v>74</v>
      </c>
      <c r="H469" s="8" t="s">
        <v>527</v>
      </c>
      <c r="I469" s="9" t="s">
        <v>38</v>
      </c>
      <c r="J469" s="9" t="s">
        <v>342</v>
      </c>
      <c r="K469" s="9" t="s">
        <v>221</v>
      </c>
      <c r="L469" s="9" t="s">
        <v>39</v>
      </c>
      <c r="M469" s="9" t="s">
        <v>39</v>
      </c>
      <c r="N469" s="9" t="s">
        <v>40</v>
      </c>
      <c r="O469" s="9" t="s">
        <v>1682</v>
      </c>
      <c r="Q469" s="9" t="s">
        <v>293</v>
      </c>
      <c r="R469" s="9" t="s">
        <v>42</v>
      </c>
      <c r="S469" s="10">
        <v>3500.0</v>
      </c>
      <c r="T469" s="11">
        <v>6500.0</v>
      </c>
      <c r="V469" s="9">
        <v>14.0</v>
      </c>
      <c r="W469" s="9" t="s">
        <v>1683</v>
      </c>
      <c r="X469" s="9" t="s">
        <v>1684</v>
      </c>
      <c r="Y469" s="9" t="s">
        <v>79</v>
      </c>
      <c r="Z469" s="9" t="s">
        <v>80</v>
      </c>
      <c r="AA469" s="9" t="s">
        <v>90</v>
      </c>
      <c r="AB469" s="9" t="s">
        <v>61</v>
      </c>
      <c r="AD469" s="9">
        <v>6.0</v>
      </c>
      <c r="AE469" s="9">
        <v>1.5</v>
      </c>
      <c r="AF469" s="9">
        <v>0.0</v>
      </c>
      <c r="AG469" s="12">
        <v>3300.0</v>
      </c>
      <c r="AH469" s="13"/>
    </row>
    <row r="470">
      <c r="A470" s="7">
        <v>44517.684892708334</v>
      </c>
      <c r="B470" s="8">
        <f t="shared" si="1"/>
        <v>2021</v>
      </c>
      <c r="C470" s="9" t="s">
        <v>49</v>
      </c>
      <c r="D470" s="9">
        <v>22.0</v>
      </c>
      <c r="E470" s="9" t="s">
        <v>35</v>
      </c>
      <c r="F470" s="9" t="s">
        <v>36</v>
      </c>
      <c r="G470" s="9" t="s">
        <v>186</v>
      </c>
      <c r="H470" s="9" t="s">
        <v>187</v>
      </c>
      <c r="I470" s="9" t="s">
        <v>38</v>
      </c>
      <c r="J470" s="9" t="s">
        <v>160</v>
      </c>
      <c r="L470" s="9" t="s">
        <v>39</v>
      </c>
      <c r="M470" s="9" t="s">
        <v>40</v>
      </c>
      <c r="N470" s="9" t="s">
        <v>40</v>
      </c>
      <c r="Q470" s="9" t="s">
        <v>1685</v>
      </c>
      <c r="R470" s="9" t="s">
        <v>42</v>
      </c>
      <c r="S470" s="10">
        <v>3300.0</v>
      </c>
      <c r="T470" s="11" t="s">
        <v>37</v>
      </c>
      <c r="V470" s="9">
        <v>14.0</v>
      </c>
      <c r="W470" s="9" t="s">
        <v>1686</v>
      </c>
      <c r="X470" s="9" t="s">
        <v>1687</v>
      </c>
      <c r="Y470" s="9" t="s">
        <v>79</v>
      </c>
      <c r="Z470" s="9" t="s">
        <v>80</v>
      </c>
      <c r="AA470" s="9" t="s">
        <v>90</v>
      </c>
      <c r="AB470" s="9" t="s">
        <v>91</v>
      </c>
      <c r="AD470" s="9">
        <v>7.0</v>
      </c>
      <c r="AE470" s="9">
        <v>1.0</v>
      </c>
      <c r="AF470" s="9">
        <v>2.0</v>
      </c>
      <c r="AG470" s="12">
        <v>3300.0</v>
      </c>
      <c r="AH470" s="13"/>
    </row>
    <row r="471">
      <c r="A471" s="7">
        <v>44413.636767627315</v>
      </c>
      <c r="B471" s="8">
        <f t="shared" si="1"/>
        <v>2021</v>
      </c>
      <c r="C471" s="9" t="s">
        <v>49</v>
      </c>
      <c r="D471" s="9">
        <v>25.0</v>
      </c>
      <c r="E471" s="9" t="s">
        <v>35</v>
      </c>
      <c r="F471" s="9" t="s">
        <v>36</v>
      </c>
      <c r="G471" s="8" t="s">
        <v>50</v>
      </c>
      <c r="H471" s="9" t="s">
        <v>206</v>
      </c>
      <c r="I471" s="9" t="s">
        <v>38</v>
      </c>
      <c r="J471" s="9" t="s">
        <v>220</v>
      </c>
      <c r="K471" s="9" t="s">
        <v>84</v>
      </c>
      <c r="L471" s="9" t="s">
        <v>40</v>
      </c>
      <c r="M471" s="9" t="s">
        <v>40</v>
      </c>
      <c r="N471" s="9" t="s">
        <v>40</v>
      </c>
      <c r="Q471" s="9" t="s">
        <v>272</v>
      </c>
      <c r="R471" s="9" t="s">
        <v>42</v>
      </c>
      <c r="S471" s="10">
        <v>4300.0</v>
      </c>
      <c r="T471" s="11">
        <v>0.0</v>
      </c>
      <c r="U471" s="9">
        <v>0.0</v>
      </c>
      <c r="V471" s="9">
        <v>15.0</v>
      </c>
      <c r="W471" s="9" t="s">
        <v>1688</v>
      </c>
      <c r="X471" s="9" t="s">
        <v>1689</v>
      </c>
      <c r="Y471" s="9" t="s">
        <v>1690</v>
      </c>
      <c r="Z471" s="9" t="s">
        <v>59</v>
      </c>
      <c r="AA471" s="9" t="s">
        <v>132</v>
      </c>
      <c r="AB471" s="9" t="s">
        <v>91</v>
      </c>
      <c r="AC471" s="9" t="s">
        <v>1691</v>
      </c>
      <c r="AD471" s="9">
        <v>6.0</v>
      </c>
      <c r="AE471" s="9">
        <v>2.0</v>
      </c>
      <c r="AF471" s="9">
        <v>1.0</v>
      </c>
      <c r="AG471" s="12">
        <v>3300.0</v>
      </c>
      <c r="AH471" s="13"/>
    </row>
    <row r="472">
      <c r="A472" s="7">
        <v>44421.97171603009</v>
      </c>
      <c r="B472" s="8">
        <f t="shared" si="1"/>
        <v>2021</v>
      </c>
      <c r="C472" s="9" t="s">
        <v>49</v>
      </c>
      <c r="D472" s="9">
        <v>29.0</v>
      </c>
      <c r="E472" s="9" t="s">
        <v>35</v>
      </c>
      <c r="F472" s="9" t="s">
        <v>36</v>
      </c>
      <c r="G472" s="8" t="s">
        <v>50</v>
      </c>
      <c r="H472" s="8" t="s">
        <v>493</v>
      </c>
      <c r="I472" s="9" t="s">
        <v>38</v>
      </c>
      <c r="J472" s="9" t="s">
        <v>342</v>
      </c>
      <c r="K472" s="9" t="s">
        <v>1692</v>
      </c>
      <c r="L472" s="9" t="s">
        <v>39</v>
      </c>
      <c r="M472" s="9" t="s">
        <v>40</v>
      </c>
      <c r="N472" s="9" t="s">
        <v>39</v>
      </c>
      <c r="P472" s="9" t="s">
        <v>1693</v>
      </c>
      <c r="Q472" s="9" t="s">
        <v>146</v>
      </c>
      <c r="R472" s="9" t="s">
        <v>250</v>
      </c>
      <c r="S472" s="10">
        <v>6400.0</v>
      </c>
      <c r="T472" s="11">
        <v>0.0</v>
      </c>
      <c r="U472" s="9">
        <v>0.0</v>
      </c>
      <c r="V472" s="9">
        <v>15.0</v>
      </c>
      <c r="W472" s="9" t="s">
        <v>1694</v>
      </c>
      <c r="X472" s="9" t="s">
        <v>1695</v>
      </c>
      <c r="Y472" s="9" t="s">
        <v>246</v>
      </c>
      <c r="Z472" s="9" t="s">
        <v>1696</v>
      </c>
      <c r="AA472" s="9" t="s">
        <v>60</v>
      </c>
      <c r="AB472" s="9" t="s">
        <v>61</v>
      </c>
      <c r="AD472" s="9">
        <v>8.0</v>
      </c>
      <c r="AE472" s="9">
        <v>4.0</v>
      </c>
      <c r="AF472" s="9">
        <v>3.0</v>
      </c>
      <c r="AG472" s="12">
        <v>3300.0</v>
      </c>
      <c r="AH472" s="13"/>
    </row>
    <row r="473">
      <c r="A473" s="7">
        <v>44405.42379916667</v>
      </c>
      <c r="B473" s="8">
        <f t="shared" si="1"/>
        <v>2021</v>
      </c>
      <c r="C473" s="9" t="s">
        <v>49</v>
      </c>
      <c r="D473" s="9">
        <v>26.0</v>
      </c>
      <c r="E473" s="9" t="s">
        <v>35</v>
      </c>
      <c r="F473" s="9" t="s">
        <v>36</v>
      </c>
      <c r="G473" s="8" t="s">
        <v>74</v>
      </c>
      <c r="H473" s="8" t="s">
        <v>527</v>
      </c>
      <c r="I473" s="9" t="s">
        <v>38</v>
      </c>
      <c r="J473" s="9" t="s">
        <v>75</v>
      </c>
      <c r="K473" s="8" t="s">
        <v>188</v>
      </c>
      <c r="L473" s="9" t="s">
        <v>39</v>
      </c>
      <c r="M473" s="9" t="s">
        <v>40</v>
      </c>
      <c r="N473" s="9" t="s">
        <v>40</v>
      </c>
      <c r="Q473" s="9" t="s">
        <v>128</v>
      </c>
      <c r="R473" s="9" t="s">
        <v>42</v>
      </c>
      <c r="S473" s="10">
        <v>3700.0</v>
      </c>
      <c r="T473" s="11">
        <v>6000.0</v>
      </c>
      <c r="U473" s="9">
        <v>0.0</v>
      </c>
      <c r="V473" s="9">
        <v>15.0</v>
      </c>
      <c r="W473" s="9" t="s">
        <v>1697</v>
      </c>
      <c r="X473" s="9" t="s">
        <v>1698</v>
      </c>
      <c r="Y473" s="9" t="s">
        <v>79</v>
      </c>
      <c r="Z473" s="9" t="s">
        <v>80</v>
      </c>
      <c r="AA473" s="9" t="s">
        <v>90</v>
      </c>
      <c r="AB473" s="9" t="s">
        <v>61</v>
      </c>
      <c r="AD473" s="9">
        <v>8.0</v>
      </c>
      <c r="AE473" s="9">
        <v>2.0</v>
      </c>
      <c r="AF473" s="9">
        <v>0.0</v>
      </c>
      <c r="AG473" s="12">
        <v>3300.0</v>
      </c>
      <c r="AH473" s="13"/>
    </row>
    <row r="474">
      <c r="A474" s="7">
        <v>44618.753236296296</v>
      </c>
      <c r="B474" s="8">
        <f t="shared" si="1"/>
        <v>2022</v>
      </c>
      <c r="C474" s="9" t="s">
        <v>49</v>
      </c>
      <c r="D474" s="9">
        <v>25.0</v>
      </c>
      <c r="E474" s="9" t="s">
        <v>35</v>
      </c>
      <c r="F474" s="9" t="s">
        <v>36</v>
      </c>
      <c r="G474" s="8" t="s">
        <v>74</v>
      </c>
      <c r="H474" s="8" t="s">
        <v>74</v>
      </c>
      <c r="I474" s="9" t="s">
        <v>38</v>
      </c>
      <c r="J474" s="9" t="s">
        <v>326</v>
      </c>
      <c r="K474" s="9" t="s">
        <v>1039</v>
      </c>
      <c r="L474" s="9" t="s">
        <v>39</v>
      </c>
      <c r="M474" s="9" t="s">
        <v>40</v>
      </c>
      <c r="N474" s="9" t="s">
        <v>40</v>
      </c>
      <c r="Q474" s="9" t="s">
        <v>1699</v>
      </c>
      <c r="R474" s="9" t="s">
        <v>42</v>
      </c>
      <c r="S474" s="10">
        <v>4400.0</v>
      </c>
      <c r="T474" s="11">
        <v>8000.0</v>
      </c>
      <c r="U474" s="9">
        <v>0.0</v>
      </c>
      <c r="V474" s="9">
        <v>15.0</v>
      </c>
      <c r="W474" s="9" t="s">
        <v>1700</v>
      </c>
      <c r="X474" s="9" t="s">
        <v>809</v>
      </c>
      <c r="Y474" s="9" t="s">
        <v>363</v>
      </c>
      <c r="Z474" s="9" t="s">
        <v>80</v>
      </c>
      <c r="AA474" s="9" t="s">
        <v>81</v>
      </c>
      <c r="AB474" s="9" t="s">
        <v>91</v>
      </c>
      <c r="AD474" s="9">
        <v>8.0</v>
      </c>
      <c r="AE474" s="9">
        <v>1.0</v>
      </c>
      <c r="AF474" s="9">
        <v>0.0</v>
      </c>
      <c r="AG474" s="12">
        <v>3300.0</v>
      </c>
      <c r="AH474" s="13"/>
    </row>
    <row r="475">
      <c r="A475" s="7">
        <v>44577.389644930554</v>
      </c>
      <c r="B475" s="8">
        <f t="shared" si="1"/>
        <v>2022</v>
      </c>
      <c r="C475" s="9" t="s">
        <v>49</v>
      </c>
      <c r="D475" s="9">
        <v>25.0</v>
      </c>
      <c r="E475" s="9" t="s">
        <v>35</v>
      </c>
      <c r="F475" s="9" t="s">
        <v>36</v>
      </c>
      <c r="G475" s="8" t="s">
        <v>50</v>
      </c>
      <c r="H475" s="8" t="s">
        <v>493</v>
      </c>
      <c r="I475" s="9" t="s">
        <v>38</v>
      </c>
      <c r="J475" s="9" t="s">
        <v>160</v>
      </c>
      <c r="K475" s="9" t="s">
        <v>414</v>
      </c>
      <c r="L475" s="9" t="s">
        <v>39</v>
      </c>
      <c r="M475" s="9" t="s">
        <v>40</v>
      </c>
      <c r="N475" s="9" t="s">
        <v>40</v>
      </c>
      <c r="Q475" s="9" t="s">
        <v>1701</v>
      </c>
      <c r="R475" s="9" t="s">
        <v>42</v>
      </c>
      <c r="S475" s="10">
        <v>3300.0</v>
      </c>
      <c r="T475" s="11">
        <v>0.0</v>
      </c>
      <c r="U475" s="9">
        <v>0.0</v>
      </c>
      <c r="V475" s="9">
        <v>18.0</v>
      </c>
      <c r="W475" s="9" t="s">
        <v>1702</v>
      </c>
      <c r="X475" s="9" t="s">
        <v>1703</v>
      </c>
      <c r="Y475" s="9" t="s">
        <v>1704</v>
      </c>
      <c r="Z475" s="9" t="s">
        <v>89</v>
      </c>
      <c r="AA475" s="9" t="s">
        <v>132</v>
      </c>
      <c r="AB475" s="9" t="s">
        <v>91</v>
      </c>
      <c r="AD475" s="9">
        <v>6.0</v>
      </c>
      <c r="AE475" s="9">
        <v>2.0</v>
      </c>
      <c r="AF475" s="9">
        <v>3.0</v>
      </c>
      <c r="AG475" s="12">
        <v>3300.0</v>
      </c>
      <c r="AH475" s="13"/>
    </row>
    <row r="476">
      <c r="A476" s="7">
        <v>44614.94015253472</v>
      </c>
      <c r="B476" s="8">
        <f t="shared" si="1"/>
        <v>2022</v>
      </c>
      <c r="C476" s="9" t="s">
        <v>49</v>
      </c>
      <c r="D476" s="9">
        <v>35.0</v>
      </c>
      <c r="E476" s="9" t="s">
        <v>35</v>
      </c>
      <c r="F476" s="9" t="s">
        <v>36</v>
      </c>
      <c r="G476" s="8" t="s">
        <v>124</v>
      </c>
      <c r="H476" s="9" t="s">
        <v>156</v>
      </c>
      <c r="I476" s="9" t="s">
        <v>38</v>
      </c>
      <c r="J476" s="9" t="s">
        <v>220</v>
      </c>
      <c r="K476" s="9" t="s">
        <v>1705</v>
      </c>
      <c r="L476" s="9" t="s">
        <v>39</v>
      </c>
      <c r="M476" s="9" t="s">
        <v>40</v>
      </c>
      <c r="N476" s="9" t="s">
        <v>40</v>
      </c>
      <c r="Q476" s="9" t="s">
        <v>675</v>
      </c>
      <c r="R476" s="9" t="s">
        <v>42</v>
      </c>
      <c r="S476" s="10">
        <v>20000.0</v>
      </c>
      <c r="T476" s="11">
        <v>0.0</v>
      </c>
      <c r="U476" s="9">
        <v>0.0</v>
      </c>
      <c r="V476" s="9">
        <v>20.0</v>
      </c>
      <c r="W476" s="9" t="s">
        <v>1706</v>
      </c>
      <c r="X476" s="9" t="s">
        <v>1707</v>
      </c>
      <c r="Y476" s="9" t="s">
        <v>225</v>
      </c>
      <c r="Z476" s="9" t="s">
        <v>97</v>
      </c>
      <c r="AA476" s="9" t="s">
        <v>81</v>
      </c>
      <c r="AB476" s="9" t="s">
        <v>91</v>
      </c>
      <c r="AD476" s="9">
        <v>8.0</v>
      </c>
      <c r="AE476" s="9">
        <v>13.0</v>
      </c>
      <c r="AF476" s="9">
        <v>3.0</v>
      </c>
      <c r="AG476" s="12">
        <v>3300.0</v>
      </c>
      <c r="AH476" s="13"/>
    </row>
    <row r="477">
      <c r="A477" s="7">
        <v>44414.92224980324</v>
      </c>
      <c r="B477" s="8">
        <f t="shared" si="1"/>
        <v>2021</v>
      </c>
      <c r="C477" s="9" t="s">
        <v>49</v>
      </c>
      <c r="D477" s="9">
        <v>28.0</v>
      </c>
      <c r="E477" s="9" t="s">
        <v>35</v>
      </c>
      <c r="F477" s="9" t="s">
        <v>36</v>
      </c>
      <c r="G477" s="8" t="s">
        <v>50</v>
      </c>
      <c r="H477" s="8" t="s">
        <v>539</v>
      </c>
      <c r="I477" s="9" t="s">
        <v>38</v>
      </c>
      <c r="J477" s="9" t="s">
        <v>75</v>
      </c>
      <c r="K477" s="9" t="s">
        <v>84</v>
      </c>
      <c r="L477" s="9" t="s">
        <v>39</v>
      </c>
      <c r="M477" s="9" t="s">
        <v>40</v>
      </c>
      <c r="N477" s="9" t="s">
        <v>40</v>
      </c>
      <c r="Q477" s="9" t="s">
        <v>146</v>
      </c>
      <c r="R477" s="9" t="s">
        <v>42</v>
      </c>
      <c r="S477" s="10">
        <v>4850.0</v>
      </c>
      <c r="T477" s="11">
        <v>4850.0</v>
      </c>
      <c r="U477" s="9">
        <v>0.0</v>
      </c>
      <c r="V477" s="9">
        <v>20.0</v>
      </c>
      <c r="W477" s="9" t="s">
        <v>1708</v>
      </c>
      <c r="X477" s="9" t="s">
        <v>1709</v>
      </c>
      <c r="Y477" s="9" t="s">
        <v>122</v>
      </c>
      <c r="Z477" s="9" t="s">
        <v>59</v>
      </c>
      <c r="AA477" s="9" t="s">
        <v>60</v>
      </c>
      <c r="AB477" s="9" t="s">
        <v>91</v>
      </c>
      <c r="AD477" s="9">
        <v>10.0</v>
      </c>
      <c r="AE477" s="9">
        <v>3.0</v>
      </c>
      <c r="AF477" s="9">
        <v>1.0</v>
      </c>
      <c r="AG477" s="12">
        <v>3300.0</v>
      </c>
      <c r="AH477" s="13"/>
    </row>
    <row r="478">
      <c r="A478" s="7">
        <v>44408.79006672454</v>
      </c>
      <c r="B478" s="8">
        <f t="shared" si="1"/>
        <v>2021</v>
      </c>
      <c r="C478" s="9" t="s">
        <v>73</v>
      </c>
      <c r="D478" s="9">
        <v>25.0</v>
      </c>
      <c r="E478" s="9" t="s">
        <v>35</v>
      </c>
      <c r="F478" s="9" t="s">
        <v>36</v>
      </c>
      <c r="G478" s="8" t="s">
        <v>124</v>
      </c>
      <c r="H478" s="9" t="s">
        <v>606</v>
      </c>
      <c r="I478" s="9" t="s">
        <v>38</v>
      </c>
      <c r="J478" s="9" t="s">
        <v>826</v>
      </c>
      <c r="K478" s="9" t="s">
        <v>1710</v>
      </c>
      <c r="L478" s="9" t="s">
        <v>40</v>
      </c>
      <c r="M478" s="9" t="s">
        <v>40</v>
      </c>
      <c r="N478" s="9" t="s">
        <v>40</v>
      </c>
      <c r="Q478" s="9" t="s">
        <v>1711</v>
      </c>
      <c r="R478" s="9" t="s">
        <v>42</v>
      </c>
      <c r="S478" s="10">
        <v>4300.0</v>
      </c>
      <c r="T478" s="11">
        <v>10000.0</v>
      </c>
      <c r="V478" s="9">
        <v>23.0</v>
      </c>
      <c r="W478" s="9" t="s">
        <v>1712</v>
      </c>
      <c r="X478" s="9" t="s">
        <v>1713</v>
      </c>
      <c r="Y478" s="9" t="s">
        <v>131</v>
      </c>
      <c r="Z478" s="9" t="s">
        <v>59</v>
      </c>
      <c r="AA478" s="9" t="s">
        <v>81</v>
      </c>
      <c r="AB478" s="9" t="s">
        <v>61</v>
      </c>
      <c r="AD478" s="9">
        <v>5.0</v>
      </c>
      <c r="AE478" s="9">
        <v>0.0</v>
      </c>
      <c r="AF478" s="9">
        <v>0.0</v>
      </c>
      <c r="AG478" s="12">
        <v>3300.0</v>
      </c>
      <c r="AH478" s="13"/>
    </row>
    <row r="479">
      <c r="A479" s="14">
        <v>44403.85207469907</v>
      </c>
      <c r="B479" s="8">
        <f t="shared" si="1"/>
        <v>2021</v>
      </c>
      <c r="C479" s="8" t="s">
        <v>49</v>
      </c>
      <c r="D479" s="8">
        <v>26.0</v>
      </c>
      <c r="E479" s="8" t="s">
        <v>35</v>
      </c>
      <c r="F479" s="8" t="s">
        <v>36</v>
      </c>
      <c r="G479" s="8" t="s">
        <v>50</v>
      </c>
      <c r="H479" s="8" t="s">
        <v>82</v>
      </c>
      <c r="I479" s="8" t="s">
        <v>38</v>
      </c>
      <c r="J479" s="9" t="s">
        <v>75</v>
      </c>
      <c r="K479" s="9" t="s">
        <v>84</v>
      </c>
      <c r="L479" s="8" t="s">
        <v>39</v>
      </c>
      <c r="M479" s="8" t="s">
        <v>40</v>
      </c>
      <c r="N479" s="8" t="s">
        <v>40</v>
      </c>
      <c r="O479" s="15"/>
      <c r="P479" s="15"/>
      <c r="Q479" s="8" t="s">
        <v>312</v>
      </c>
      <c r="R479" s="9" t="s">
        <v>42</v>
      </c>
      <c r="S479" s="16">
        <v>3500.0</v>
      </c>
      <c r="T479" s="17">
        <v>0.0</v>
      </c>
      <c r="U479" s="8">
        <v>0.0</v>
      </c>
      <c r="V479" s="8">
        <v>8.0</v>
      </c>
      <c r="W479" s="8" t="s">
        <v>1714</v>
      </c>
      <c r="X479" s="8" t="s">
        <v>1009</v>
      </c>
      <c r="Y479" s="8" t="s">
        <v>58</v>
      </c>
      <c r="Z479" s="8" t="s">
        <v>1715</v>
      </c>
      <c r="AA479" s="8" t="s">
        <v>71</v>
      </c>
      <c r="AB479" s="8" t="s">
        <v>48</v>
      </c>
      <c r="AC479" s="15"/>
      <c r="AD479" s="8">
        <v>7.0</v>
      </c>
      <c r="AE479" s="8" t="s">
        <v>1716</v>
      </c>
      <c r="AF479" s="8">
        <v>1.0</v>
      </c>
      <c r="AG479" s="18">
        <v>3300.0</v>
      </c>
      <c r="AH479" s="13"/>
      <c r="AI479" s="15"/>
      <c r="AJ479" s="15"/>
      <c r="AK479" s="15"/>
      <c r="AL479" s="15"/>
      <c r="AM479" s="15"/>
      <c r="AN479" s="15"/>
    </row>
    <row r="480">
      <c r="A480" s="14">
        <v>44403.86662886574</v>
      </c>
      <c r="B480" s="8">
        <f t="shared" si="1"/>
        <v>2021</v>
      </c>
      <c r="C480" s="8" t="s">
        <v>49</v>
      </c>
      <c r="D480" s="8">
        <v>24.0</v>
      </c>
      <c r="E480" s="8" t="s">
        <v>35</v>
      </c>
      <c r="F480" s="8" t="s">
        <v>36</v>
      </c>
      <c r="G480" s="8" t="s">
        <v>50</v>
      </c>
      <c r="H480" s="8" t="s">
        <v>812</v>
      </c>
      <c r="I480" s="8" t="s">
        <v>38</v>
      </c>
      <c r="J480" s="9" t="s">
        <v>75</v>
      </c>
      <c r="K480" s="9" t="s">
        <v>327</v>
      </c>
      <c r="L480" s="8" t="s">
        <v>39</v>
      </c>
      <c r="M480" s="8" t="s">
        <v>40</v>
      </c>
      <c r="N480" s="8" t="s">
        <v>39</v>
      </c>
      <c r="O480" s="15"/>
      <c r="P480" s="8" t="s">
        <v>398</v>
      </c>
      <c r="Q480" s="9" t="s">
        <v>54</v>
      </c>
      <c r="R480" s="9" t="s">
        <v>42</v>
      </c>
      <c r="S480" s="16">
        <v>3300.0</v>
      </c>
      <c r="T480" s="17">
        <v>0.0</v>
      </c>
      <c r="U480" s="8">
        <v>0.0</v>
      </c>
      <c r="V480" s="8">
        <v>14.0</v>
      </c>
      <c r="W480" s="8" t="s">
        <v>1717</v>
      </c>
      <c r="X480" s="8" t="s">
        <v>1718</v>
      </c>
      <c r="Y480" s="8" t="s">
        <v>812</v>
      </c>
      <c r="Z480" s="8" t="s">
        <v>70</v>
      </c>
      <c r="AA480" s="8" t="s">
        <v>71</v>
      </c>
      <c r="AB480" s="8" t="s">
        <v>61</v>
      </c>
      <c r="AC480" s="15"/>
      <c r="AD480" s="8">
        <v>7.0</v>
      </c>
      <c r="AE480" s="8">
        <v>1.0</v>
      </c>
      <c r="AF480" s="8">
        <v>3.0</v>
      </c>
      <c r="AG480" s="18">
        <v>3300.0</v>
      </c>
      <c r="AH480" s="13"/>
      <c r="AI480" s="15"/>
      <c r="AJ480" s="15"/>
      <c r="AK480" s="15"/>
      <c r="AL480" s="15"/>
      <c r="AM480" s="15"/>
      <c r="AN480" s="15"/>
    </row>
    <row r="481">
      <c r="A481" s="14">
        <v>44403.83856109953</v>
      </c>
      <c r="B481" s="8">
        <f t="shared" si="1"/>
        <v>2021</v>
      </c>
      <c r="C481" s="8" t="s">
        <v>49</v>
      </c>
      <c r="D481" s="8">
        <v>27.0</v>
      </c>
      <c r="E481" s="8" t="s">
        <v>35</v>
      </c>
      <c r="F481" s="8" t="s">
        <v>36</v>
      </c>
      <c r="G481" s="8" t="s">
        <v>74</v>
      </c>
      <c r="H481" s="8" t="s">
        <v>527</v>
      </c>
      <c r="I481" s="8" t="s">
        <v>247</v>
      </c>
      <c r="J481" s="8" t="s">
        <v>326</v>
      </c>
      <c r="K481" s="9" t="s">
        <v>234</v>
      </c>
      <c r="L481" s="8" t="s">
        <v>39</v>
      </c>
      <c r="M481" s="8" t="s">
        <v>40</v>
      </c>
      <c r="N481" s="8" t="s">
        <v>40</v>
      </c>
      <c r="O481" s="15"/>
      <c r="P481" s="15"/>
      <c r="Q481" s="9" t="s">
        <v>736</v>
      </c>
      <c r="R481" s="9" t="s">
        <v>42</v>
      </c>
      <c r="S481" s="16">
        <v>5500.0</v>
      </c>
      <c r="T481" s="17">
        <v>5500.0</v>
      </c>
      <c r="U481" s="8">
        <v>0.0</v>
      </c>
      <c r="V481" s="8">
        <v>14.0</v>
      </c>
      <c r="W481" s="8" t="s">
        <v>1719</v>
      </c>
      <c r="X481" s="8" t="s">
        <v>1720</v>
      </c>
      <c r="Y481" s="8" t="s">
        <v>79</v>
      </c>
      <c r="Z481" s="8" t="s">
        <v>80</v>
      </c>
      <c r="AA481" s="8" t="s">
        <v>71</v>
      </c>
      <c r="AB481" s="8" t="s">
        <v>61</v>
      </c>
      <c r="AC481" s="15"/>
      <c r="AD481" s="8">
        <v>5.0</v>
      </c>
      <c r="AE481" s="8">
        <v>4.0</v>
      </c>
      <c r="AF481" s="8">
        <v>1.0</v>
      </c>
      <c r="AG481" s="18">
        <v>3300.0</v>
      </c>
      <c r="AH481" s="13"/>
      <c r="AI481" s="15"/>
      <c r="AJ481" s="15"/>
      <c r="AK481" s="15"/>
      <c r="AL481" s="15"/>
      <c r="AM481" s="15"/>
      <c r="AN481" s="15"/>
    </row>
    <row r="482">
      <c r="A482" s="7">
        <v>44403.9574478125</v>
      </c>
      <c r="B482" s="8">
        <f t="shared" si="1"/>
        <v>2021</v>
      </c>
      <c r="C482" s="9" t="s">
        <v>49</v>
      </c>
      <c r="D482" s="9">
        <v>30.0</v>
      </c>
      <c r="E482" s="9" t="s">
        <v>35</v>
      </c>
      <c r="F482" s="9" t="s">
        <v>36</v>
      </c>
      <c r="G482" s="8" t="s">
        <v>50</v>
      </c>
      <c r="H482" s="8" t="s">
        <v>180</v>
      </c>
      <c r="I482" s="9" t="s">
        <v>38</v>
      </c>
      <c r="J482" s="9" t="s">
        <v>75</v>
      </c>
      <c r="K482" s="9" t="s">
        <v>337</v>
      </c>
      <c r="L482" s="9" t="s">
        <v>39</v>
      </c>
      <c r="M482" s="9" t="s">
        <v>40</v>
      </c>
      <c r="N482" s="9" t="s">
        <v>39</v>
      </c>
      <c r="P482" s="9" t="s">
        <v>1721</v>
      </c>
      <c r="Q482" s="9" t="s">
        <v>128</v>
      </c>
      <c r="R482" s="9" t="s">
        <v>42</v>
      </c>
      <c r="S482" s="10">
        <v>8000.0</v>
      </c>
      <c r="T482" s="11">
        <v>10400.0</v>
      </c>
      <c r="U482" s="9">
        <v>0.0</v>
      </c>
      <c r="V482" s="9">
        <v>14.0</v>
      </c>
      <c r="W482" s="9" t="s">
        <v>1722</v>
      </c>
      <c r="X482" s="9" t="s">
        <v>1723</v>
      </c>
      <c r="Y482" s="9" t="s">
        <v>122</v>
      </c>
      <c r="Z482" s="9" t="s">
        <v>185</v>
      </c>
      <c r="AA482" s="9" t="s">
        <v>60</v>
      </c>
      <c r="AB482" s="9" t="s">
        <v>61</v>
      </c>
      <c r="AD482" s="9">
        <v>7.0</v>
      </c>
      <c r="AE482" s="9">
        <v>6.0</v>
      </c>
      <c r="AF482" s="9">
        <v>1.0</v>
      </c>
      <c r="AG482" s="12">
        <v>3300.0</v>
      </c>
      <c r="AH482" s="13"/>
    </row>
    <row r="483">
      <c r="A483" s="7">
        <v>44403.954835752316</v>
      </c>
      <c r="B483" s="8">
        <f t="shared" si="1"/>
        <v>2021</v>
      </c>
      <c r="C483" s="9" t="s">
        <v>49</v>
      </c>
      <c r="D483" s="9">
        <v>30.0</v>
      </c>
      <c r="E483" s="9" t="s">
        <v>35</v>
      </c>
      <c r="F483" s="9" t="s">
        <v>36</v>
      </c>
      <c r="G483" s="8" t="s">
        <v>124</v>
      </c>
      <c r="H483" s="9" t="s">
        <v>156</v>
      </c>
      <c r="I483" s="9" t="s">
        <v>93</v>
      </c>
      <c r="J483" s="9" t="s">
        <v>1724</v>
      </c>
      <c r="K483" s="9" t="s">
        <v>1725</v>
      </c>
      <c r="L483" s="9" t="s">
        <v>40</v>
      </c>
      <c r="M483" s="9" t="s">
        <v>40</v>
      </c>
      <c r="N483" s="9" t="s">
        <v>40</v>
      </c>
      <c r="Q483" s="9" t="s">
        <v>119</v>
      </c>
      <c r="R483" s="9" t="s">
        <v>42</v>
      </c>
      <c r="S483" s="10">
        <v>10000.0</v>
      </c>
      <c r="T483" s="11">
        <v>0.0</v>
      </c>
      <c r="U483" s="25">
        <v>0.0025</v>
      </c>
      <c r="V483" s="9">
        <v>14.0</v>
      </c>
      <c r="W483" s="9" t="s">
        <v>1726</v>
      </c>
      <c r="X483" s="9" t="s">
        <v>1727</v>
      </c>
      <c r="Y483" s="9" t="s">
        <v>246</v>
      </c>
      <c r="Z483" s="9" t="s">
        <v>1728</v>
      </c>
      <c r="AA483" s="9" t="s">
        <v>71</v>
      </c>
      <c r="AB483" s="9" t="s">
        <v>61</v>
      </c>
      <c r="AC483" s="9" t="s">
        <v>1729</v>
      </c>
      <c r="AD483" s="9">
        <v>10.0</v>
      </c>
      <c r="AE483" s="9">
        <v>4.0</v>
      </c>
      <c r="AF483" s="9">
        <v>3.0</v>
      </c>
      <c r="AG483" s="12">
        <v>3300.0</v>
      </c>
      <c r="AH483" s="13"/>
    </row>
    <row r="484">
      <c r="A484" s="14">
        <v>44403.88982347222</v>
      </c>
      <c r="B484" s="8">
        <f t="shared" si="1"/>
        <v>2021</v>
      </c>
      <c r="C484" s="8" t="s">
        <v>49</v>
      </c>
      <c r="D484" s="8">
        <v>26.0</v>
      </c>
      <c r="E484" s="8" t="s">
        <v>35</v>
      </c>
      <c r="F484" s="8" t="s">
        <v>36</v>
      </c>
      <c r="G484" s="8" t="s">
        <v>50</v>
      </c>
      <c r="H484" s="8" t="s">
        <v>51</v>
      </c>
      <c r="I484" s="8" t="s">
        <v>38</v>
      </c>
      <c r="J484" s="9" t="s">
        <v>160</v>
      </c>
      <c r="K484" s="9" t="s">
        <v>84</v>
      </c>
      <c r="L484" s="8" t="s">
        <v>39</v>
      </c>
      <c r="M484" s="8" t="s">
        <v>40</v>
      </c>
      <c r="N484" s="8" t="s">
        <v>40</v>
      </c>
      <c r="O484" s="15"/>
      <c r="P484" s="15"/>
      <c r="Q484" s="9" t="s">
        <v>146</v>
      </c>
      <c r="R484" s="9" t="s">
        <v>42</v>
      </c>
      <c r="S484" s="16">
        <v>3900.0</v>
      </c>
      <c r="T484" s="17">
        <v>7800.0</v>
      </c>
      <c r="U484" s="8">
        <v>10000.0</v>
      </c>
      <c r="V484" s="8">
        <v>14.0</v>
      </c>
      <c r="W484" s="8" t="s">
        <v>1730</v>
      </c>
      <c r="X484" s="8" t="s">
        <v>1731</v>
      </c>
      <c r="Y484" s="8" t="s">
        <v>58</v>
      </c>
      <c r="Z484" s="8" t="s">
        <v>70</v>
      </c>
      <c r="AA484" s="8" t="s">
        <v>132</v>
      </c>
      <c r="AB484" s="8" t="s">
        <v>91</v>
      </c>
      <c r="AC484" s="15"/>
      <c r="AD484" s="8">
        <v>3.0</v>
      </c>
      <c r="AE484" s="8">
        <v>2.5</v>
      </c>
      <c r="AF484" s="8">
        <v>1.0</v>
      </c>
      <c r="AG484" s="18">
        <v>3300.0</v>
      </c>
      <c r="AH484" s="13"/>
      <c r="AI484" s="15"/>
      <c r="AJ484" s="15"/>
      <c r="AK484" s="15"/>
      <c r="AL484" s="15"/>
      <c r="AM484" s="15"/>
      <c r="AN484" s="15"/>
    </row>
    <row r="485">
      <c r="A485" s="7">
        <v>44404.42671783565</v>
      </c>
      <c r="B485" s="8">
        <f t="shared" si="1"/>
        <v>2021</v>
      </c>
      <c r="C485" s="9" t="s">
        <v>49</v>
      </c>
      <c r="D485" s="9">
        <v>26.0</v>
      </c>
      <c r="E485" s="9" t="s">
        <v>35</v>
      </c>
      <c r="F485" s="9" t="s">
        <v>36</v>
      </c>
      <c r="G485" s="8" t="s">
        <v>74</v>
      </c>
      <c r="H485" s="8" t="s">
        <v>527</v>
      </c>
      <c r="I485" s="9" t="s">
        <v>38</v>
      </c>
      <c r="J485" s="9" t="s">
        <v>326</v>
      </c>
      <c r="K485" s="9" t="s">
        <v>66</v>
      </c>
      <c r="L485" s="9" t="s">
        <v>39</v>
      </c>
      <c r="M485" s="9" t="s">
        <v>40</v>
      </c>
      <c r="N485" s="9" t="s">
        <v>40</v>
      </c>
      <c r="Q485" s="9" t="s">
        <v>128</v>
      </c>
      <c r="R485" s="9" t="s">
        <v>42</v>
      </c>
      <c r="S485" s="10">
        <v>3750.0</v>
      </c>
      <c r="T485" s="11">
        <v>5500.0</v>
      </c>
      <c r="U485" s="9">
        <v>0.0</v>
      </c>
      <c r="V485" s="9">
        <v>15.0</v>
      </c>
      <c r="W485" s="9" t="s">
        <v>1732</v>
      </c>
      <c r="X485" s="9" t="s">
        <v>1733</v>
      </c>
      <c r="Y485" s="9" t="s">
        <v>79</v>
      </c>
      <c r="Z485" s="9" t="s">
        <v>1675</v>
      </c>
      <c r="AA485" s="9" t="s">
        <v>60</v>
      </c>
      <c r="AB485" s="9" t="s">
        <v>61</v>
      </c>
      <c r="AD485" s="9">
        <v>6.0</v>
      </c>
      <c r="AE485" s="9">
        <v>2.0</v>
      </c>
      <c r="AF485" s="9">
        <v>0.0</v>
      </c>
      <c r="AG485" s="12">
        <v>3300.0</v>
      </c>
      <c r="AH485" s="13"/>
    </row>
    <row r="486">
      <c r="A486" s="7">
        <v>44404.08483439815</v>
      </c>
      <c r="B486" s="8">
        <f t="shared" si="1"/>
        <v>2021</v>
      </c>
      <c r="C486" s="9" t="s">
        <v>49</v>
      </c>
      <c r="D486" s="9">
        <v>34.0</v>
      </c>
      <c r="E486" s="9" t="s">
        <v>35</v>
      </c>
      <c r="F486" s="9" t="s">
        <v>36</v>
      </c>
      <c r="G486" s="8" t="s">
        <v>124</v>
      </c>
      <c r="H486" s="9" t="s">
        <v>156</v>
      </c>
      <c r="I486" s="9" t="s">
        <v>247</v>
      </c>
      <c r="J486" s="9" t="s">
        <v>126</v>
      </c>
      <c r="K486" s="9" t="s">
        <v>1734</v>
      </c>
      <c r="L486" s="9" t="s">
        <v>40</v>
      </c>
      <c r="M486" s="9" t="s">
        <v>40</v>
      </c>
      <c r="N486" s="9" t="s">
        <v>40</v>
      </c>
      <c r="Q486" s="9" t="s">
        <v>128</v>
      </c>
      <c r="R486" s="9" t="s">
        <v>42</v>
      </c>
      <c r="S486" s="10">
        <v>13000.0</v>
      </c>
      <c r="T486" s="11">
        <v>13000.0</v>
      </c>
      <c r="U486" s="9">
        <v>0.0</v>
      </c>
      <c r="V486" s="9">
        <v>15.0</v>
      </c>
      <c r="W486" s="9" t="s">
        <v>1735</v>
      </c>
      <c r="X486" s="9" t="s">
        <v>1736</v>
      </c>
      <c r="Y486" s="9" t="s">
        <v>122</v>
      </c>
      <c r="Z486" s="9" t="s">
        <v>59</v>
      </c>
      <c r="AA486" s="9" t="s">
        <v>60</v>
      </c>
      <c r="AB486" s="9" t="s">
        <v>91</v>
      </c>
      <c r="AD486" s="9">
        <v>8.0</v>
      </c>
      <c r="AE486" s="9">
        <v>8.0</v>
      </c>
      <c r="AF486" s="9">
        <v>4.0</v>
      </c>
      <c r="AG486" s="12">
        <v>3300.0</v>
      </c>
      <c r="AH486" s="13"/>
    </row>
    <row r="487">
      <c r="A487" s="7">
        <v>44404.70036027778</v>
      </c>
      <c r="B487" s="8">
        <f t="shared" si="1"/>
        <v>2021</v>
      </c>
      <c r="C487" s="9" t="s">
        <v>49</v>
      </c>
      <c r="D487" s="9">
        <v>25.0</v>
      </c>
      <c r="E487" s="9" t="s">
        <v>35</v>
      </c>
      <c r="F487" s="9" t="s">
        <v>36</v>
      </c>
      <c r="G487" s="8" t="s">
        <v>50</v>
      </c>
      <c r="H487" s="9" t="s">
        <v>106</v>
      </c>
      <c r="I487" s="9" t="s">
        <v>38</v>
      </c>
      <c r="J487" s="9" t="s">
        <v>910</v>
      </c>
      <c r="K487" s="9" t="s">
        <v>66</v>
      </c>
      <c r="L487" s="9" t="s">
        <v>39</v>
      </c>
      <c r="M487" s="9" t="s">
        <v>39</v>
      </c>
      <c r="N487" s="9" t="s">
        <v>40</v>
      </c>
      <c r="O487" s="9" t="s">
        <v>717</v>
      </c>
      <c r="Q487" s="9" t="s">
        <v>736</v>
      </c>
      <c r="R487" s="9" t="s">
        <v>42</v>
      </c>
      <c r="S487" s="10">
        <v>3380.0</v>
      </c>
      <c r="T487" s="11">
        <v>0.0</v>
      </c>
      <c r="U487" s="9">
        <v>0.0</v>
      </c>
      <c r="V487" s="9">
        <v>16.0</v>
      </c>
      <c r="W487" s="9" t="s">
        <v>1737</v>
      </c>
      <c r="X487" s="9" t="s">
        <v>1738</v>
      </c>
      <c r="Y487" s="9" t="s">
        <v>50</v>
      </c>
      <c r="Z487" s="9" t="s">
        <v>80</v>
      </c>
      <c r="AA487" s="9" t="s">
        <v>60</v>
      </c>
      <c r="AB487" s="9" t="s">
        <v>61</v>
      </c>
      <c r="AD487" s="9">
        <v>8.0</v>
      </c>
      <c r="AE487" s="9">
        <v>2.0</v>
      </c>
      <c r="AF487" s="9">
        <v>1.0</v>
      </c>
      <c r="AG487" s="12">
        <v>3300.0</v>
      </c>
      <c r="AH487" s="13"/>
    </row>
    <row r="488">
      <c r="A488" s="7">
        <v>44404.78503142361</v>
      </c>
      <c r="B488" s="8">
        <f t="shared" si="1"/>
        <v>2021</v>
      </c>
      <c r="C488" s="9" t="s">
        <v>49</v>
      </c>
      <c r="D488" s="9">
        <v>28.0</v>
      </c>
      <c r="E488" s="9" t="s">
        <v>35</v>
      </c>
      <c r="F488" s="9" t="s">
        <v>246</v>
      </c>
      <c r="G488" s="9" t="s">
        <v>246</v>
      </c>
      <c r="H488" s="9" t="s">
        <v>246</v>
      </c>
      <c r="I488" s="9" t="s">
        <v>38</v>
      </c>
      <c r="J488" s="9" t="s">
        <v>126</v>
      </c>
      <c r="K488" s="9" t="s">
        <v>84</v>
      </c>
      <c r="L488" s="9" t="s">
        <v>39</v>
      </c>
      <c r="M488" s="9" t="s">
        <v>40</v>
      </c>
      <c r="N488" s="9" t="s">
        <v>39</v>
      </c>
      <c r="Q488" s="9" t="s">
        <v>119</v>
      </c>
      <c r="R488" s="9" t="s">
        <v>250</v>
      </c>
      <c r="S488" s="10">
        <v>5000.0</v>
      </c>
      <c r="T488" s="11">
        <v>15000.0</v>
      </c>
      <c r="V488" s="9">
        <v>20.0</v>
      </c>
      <c r="W488" s="9" t="s">
        <v>1739</v>
      </c>
      <c r="X488" s="9" t="s">
        <v>1740</v>
      </c>
      <c r="Y488" s="9" t="s">
        <v>820</v>
      </c>
      <c r="Z488" s="9" t="s">
        <v>80</v>
      </c>
      <c r="AA488" s="9" t="s">
        <v>60</v>
      </c>
      <c r="AB488" s="9" t="s">
        <v>91</v>
      </c>
      <c r="AD488" s="9">
        <v>6.0</v>
      </c>
      <c r="AE488" s="9">
        <v>5.0</v>
      </c>
      <c r="AF488" s="9">
        <v>2.0</v>
      </c>
      <c r="AG488" s="12">
        <v>3300.0</v>
      </c>
      <c r="AH488" s="13"/>
    </row>
    <row r="489">
      <c r="A489" s="7">
        <v>44404.72294815972</v>
      </c>
      <c r="B489" s="8">
        <f t="shared" si="1"/>
        <v>2021</v>
      </c>
      <c r="C489" s="9" t="s">
        <v>49</v>
      </c>
      <c r="D489" s="9">
        <v>22.0</v>
      </c>
      <c r="E489" s="9" t="s">
        <v>35</v>
      </c>
      <c r="F489" s="9" t="s">
        <v>36</v>
      </c>
      <c r="G489" s="8" t="s">
        <v>50</v>
      </c>
      <c r="H489" s="9" t="s">
        <v>106</v>
      </c>
      <c r="I489" s="9" t="s">
        <v>38</v>
      </c>
      <c r="J489" s="9" t="s">
        <v>75</v>
      </c>
      <c r="K489" s="9" t="s">
        <v>534</v>
      </c>
      <c r="L489" s="9" t="s">
        <v>39</v>
      </c>
      <c r="M489" s="9" t="s">
        <v>40</v>
      </c>
      <c r="N489" s="9" t="s">
        <v>40</v>
      </c>
      <c r="Q489" s="9" t="s">
        <v>1741</v>
      </c>
      <c r="R489" s="9" t="s">
        <v>42</v>
      </c>
      <c r="S489" s="10">
        <v>3300.0</v>
      </c>
      <c r="T489" s="11" t="s">
        <v>37</v>
      </c>
      <c r="V489" s="9">
        <v>22.0</v>
      </c>
      <c r="W489" s="9" t="s">
        <v>1742</v>
      </c>
      <c r="X489" s="9" t="s">
        <v>1743</v>
      </c>
      <c r="Y489" s="9" t="s">
        <v>58</v>
      </c>
      <c r="Z489" s="9" t="s">
        <v>59</v>
      </c>
      <c r="AA489" s="9" t="s">
        <v>90</v>
      </c>
      <c r="AB489" s="9" t="s">
        <v>91</v>
      </c>
      <c r="AD489" s="9">
        <v>6.0</v>
      </c>
      <c r="AE489" s="9">
        <v>0.0</v>
      </c>
      <c r="AF489" s="9">
        <v>0.0</v>
      </c>
      <c r="AG489" s="12">
        <v>3300.0</v>
      </c>
      <c r="AH489" s="13"/>
    </row>
    <row r="490">
      <c r="A490" s="7">
        <v>44403.93420238426</v>
      </c>
      <c r="B490" s="8">
        <f t="shared" si="1"/>
        <v>2021</v>
      </c>
      <c r="C490" s="9" t="s">
        <v>49</v>
      </c>
      <c r="D490" s="9">
        <v>30.0</v>
      </c>
      <c r="E490" s="9" t="s">
        <v>35</v>
      </c>
      <c r="F490" s="9" t="s">
        <v>36</v>
      </c>
      <c r="G490" s="8" t="s">
        <v>50</v>
      </c>
      <c r="H490" s="9" t="s">
        <v>106</v>
      </c>
      <c r="I490" s="9" t="s">
        <v>38</v>
      </c>
      <c r="J490" s="9" t="s">
        <v>1325</v>
      </c>
      <c r="K490" s="9" t="s">
        <v>1744</v>
      </c>
      <c r="L490" s="9" t="s">
        <v>40</v>
      </c>
      <c r="M490" s="9" t="s">
        <v>39</v>
      </c>
      <c r="N490" s="9" t="s">
        <v>40</v>
      </c>
      <c r="O490" s="9" t="s">
        <v>1745</v>
      </c>
      <c r="Q490" s="9" t="s">
        <v>152</v>
      </c>
      <c r="R490" s="9" t="s">
        <v>42</v>
      </c>
      <c r="S490" s="10">
        <v>4700.0</v>
      </c>
      <c r="T490" s="11">
        <v>0.0</v>
      </c>
      <c r="U490" s="9">
        <v>0.0</v>
      </c>
      <c r="V490" s="9">
        <v>9999.0</v>
      </c>
      <c r="W490" s="9" t="s">
        <v>67</v>
      </c>
      <c r="X490" s="9" t="s">
        <v>1746</v>
      </c>
      <c r="Y490" s="9" t="s">
        <v>1747</v>
      </c>
      <c r="Z490" s="9" t="s">
        <v>70</v>
      </c>
      <c r="AA490" s="9" t="s">
        <v>71</v>
      </c>
      <c r="AB490" s="9" t="s">
        <v>61</v>
      </c>
      <c r="AD490" s="9">
        <v>8.0</v>
      </c>
      <c r="AE490" s="9">
        <v>4.0</v>
      </c>
      <c r="AF490" s="9">
        <v>1.0</v>
      </c>
      <c r="AG490" s="12">
        <v>3300.0</v>
      </c>
      <c r="AH490" s="13"/>
    </row>
    <row r="491">
      <c r="A491" s="7">
        <v>44405.598225787035</v>
      </c>
      <c r="B491" s="8">
        <f t="shared" si="1"/>
        <v>2021</v>
      </c>
      <c r="C491" s="9" t="s">
        <v>49</v>
      </c>
      <c r="D491" s="9">
        <v>27.0</v>
      </c>
      <c r="E491" s="9" t="s">
        <v>35</v>
      </c>
      <c r="F491" s="9" t="s">
        <v>36</v>
      </c>
      <c r="G491" s="9" t="s">
        <v>124</v>
      </c>
      <c r="H491" s="9" t="s">
        <v>106</v>
      </c>
      <c r="I491" s="9" t="s">
        <v>247</v>
      </c>
      <c r="J491" s="9" t="s">
        <v>1748</v>
      </c>
      <c r="K491" s="9" t="s">
        <v>1749</v>
      </c>
      <c r="L491" s="9" t="s">
        <v>40</v>
      </c>
      <c r="M491" s="9" t="s">
        <v>39</v>
      </c>
      <c r="N491" s="9" t="s">
        <v>40</v>
      </c>
      <c r="O491" s="9" t="s">
        <v>642</v>
      </c>
      <c r="Q491" s="9" t="s">
        <v>146</v>
      </c>
      <c r="R491" s="9" t="s">
        <v>42</v>
      </c>
      <c r="S491" s="10">
        <v>6300.0</v>
      </c>
      <c r="T491" s="11">
        <v>7500.0</v>
      </c>
      <c r="U491" s="9">
        <v>0.0</v>
      </c>
      <c r="V491" s="9">
        <v>12.0</v>
      </c>
      <c r="W491" s="9" t="s">
        <v>1750</v>
      </c>
      <c r="X491" s="9" t="s">
        <v>712</v>
      </c>
      <c r="Y491" s="9" t="s">
        <v>131</v>
      </c>
      <c r="Z491" s="9" t="s">
        <v>159</v>
      </c>
      <c r="AA491" s="9" t="s">
        <v>71</v>
      </c>
      <c r="AB491" s="9" t="s">
        <v>61</v>
      </c>
      <c r="AD491" s="9">
        <v>6.0</v>
      </c>
      <c r="AE491" s="9">
        <v>2.0</v>
      </c>
      <c r="AF491" s="9">
        <v>2.0</v>
      </c>
      <c r="AG491" s="12">
        <v>3350.0</v>
      </c>
      <c r="AH491" s="9" t="s">
        <v>42</v>
      </c>
    </row>
    <row r="492">
      <c r="A492" s="7">
        <v>44416.66001306713</v>
      </c>
      <c r="B492" s="8">
        <f t="shared" si="1"/>
        <v>2021</v>
      </c>
      <c r="C492" s="9" t="s">
        <v>49</v>
      </c>
      <c r="D492" s="9">
        <v>24.0</v>
      </c>
      <c r="E492" s="9" t="s">
        <v>35</v>
      </c>
      <c r="F492" s="9" t="s">
        <v>36</v>
      </c>
      <c r="G492" s="9" t="s">
        <v>1751</v>
      </c>
      <c r="H492" s="8" t="s">
        <v>37</v>
      </c>
      <c r="I492" s="9" t="s">
        <v>38</v>
      </c>
      <c r="J492" s="9" t="s">
        <v>75</v>
      </c>
      <c r="K492" s="9" t="s">
        <v>100</v>
      </c>
      <c r="L492" s="9" t="s">
        <v>39</v>
      </c>
      <c r="M492" s="9" t="s">
        <v>40</v>
      </c>
      <c r="N492" s="9" t="s">
        <v>40</v>
      </c>
      <c r="Q492" s="9" t="s">
        <v>119</v>
      </c>
      <c r="R492" s="9" t="s">
        <v>112</v>
      </c>
      <c r="S492" s="10">
        <v>15000.0</v>
      </c>
      <c r="T492" s="11" t="s">
        <v>37</v>
      </c>
      <c r="V492" s="9">
        <v>0.0</v>
      </c>
      <c r="W492" s="9" t="s">
        <v>1752</v>
      </c>
      <c r="X492" s="9" t="s">
        <v>1753</v>
      </c>
      <c r="Y492" s="9" t="s">
        <v>1754</v>
      </c>
      <c r="Z492" s="9" t="s">
        <v>105</v>
      </c>
      <c r="AA492" s="9" t="s">
        <v>71</v>
      </c>
      <c r="AB492" s="9" t="s">
        <v>61</v>
      </c>
      <c r="AD492" s="9">
        <v>10.0</v>
      </c>
      <c r="AE492" s="9">
        <v>5.0</v>
      </c>
      <c r="AF492" s="9">
        <v>3.0</v>
      </c>
      <c r="AG492" s="12">
        <v>3400.0</v>
      </c>
      <c r="AH492" s="9" t="s">
        <v>42</v>
      </c>
    </row>
    <row r="493">
      <c r="A493" s="7">
        <v>44536.83192939815</v>
      </c>
      <c r="B493" s="8">
        <f t="shared" si="1"/>
        <v>2021</v>
      </c>
      <c r="C493" s="9" t="s">
        <v>49</v>
      </c>
      <c r="D493" s="9">
        <v>22.0</v>
      </c>
      <c r="E493" s="9" t="s">
        <v>35</v>
      </c>
      <c r="F493" s="9" t="s">
        <v>36</v>
      </c>
      <c r="G493" s="8" t="s">
        <v>74</v>
      </c>
      <c r="H493" s="9" t="s">
        <v>527</v>
      </c>
      <c r="I493" s="9" t="s">
        <v>38</v>
      </c>
      <c r="J493" s="8" t="s">
        <v>75</v>
      </c>
      <c r="K493" s="9" t="s">
        <v>959</v>
      </c>
      <c r="L493" s="9" t="s">
        <v>39</v>
      </c>
      <c r="M493" s="9" t="s">
        <v>40</v>
      </c>
      <c r="N493" s="9" t="s">
        <v>40</v>
      </c>
      <c r="Q493" s="9" t="s">
        <v>128</v>
      </c>
      <c r="R493" s="9" t="s">
        <v>42</v>
      </c>
      <c r="S493" s="10">
        <v>3400.0</v>
      </c>
      <c r="T493" s="11">
        <v>0.0</v>
      </c>
      <c r="U493" s="9">
        <v>0.0</v>
      </c>
      <c r="V493" s="9">
        <v>14.0</v>
      </c>
      <c r="W493" s="9" t="s">
        <v>1755</v>
      </c>
      <c r="X493" s="9" t="s">
        <v>1756</v>
      </c>
      <c r="Y493" s="9" t="s">
        <v>79</v>
      </c>
      <c r="Z493" s="9" t="s">
        <v>347</v>
      </c>
      <c r="AA493" s="9" t="s">
        <v>81</v>
      </c>
      <c r="AB493" s="9" t="s">
        <v>91</v>
      </c>
      <c r="AD493" s="9">
        <v>8.0</v>
      </c>
      <c r="AE493" s="9" t="s">
        <v>1757</v>
      </c>
      <c r="AF493" s="9">
        <v>0.0</v>
      </c>
      <c r="AG493" s="12">
        <v>3400.0</v>
      </c>
      <c r="AH493" s="13"/>
    </row>
    <row r="494">
      <c r="A494" s="7">
        <v>44527.43112775463</v>
      </c>
      <c r="B494" s="8">
        <f t="shared" si="1"/>
        <v>2021</v>
      </c>
      <c r="C494" s="9" t="s">
        <v>49</v>
      </c>
      <c r="D494" s="9">
        <v>24.0</v>
      </c>
      <c r="E494" s="9" t="s">
        <v>35</v>
      </c>
      <c r="F494" s="9" t="s">
        <v>36</v>
      </c>
      <c r="G494" s="8" t="s">
        <v>124</v>
      </c>
      <c r="H494" s="9" t="s">
        <v>206</v>
      </c>
      <c r="I494" s="9" t="s">
        <v>38</v>
      </c>
      <c r="J494" s="9" t="s">
        <v>75</v>
      </c>
      <c r="K494" s="9" t="s">
        <v>166</v>
      </c>
      <c r="L494" s="9" t="s">
        <v>39</v>
      </c>
      <c r="M494" s="9" t="s">
        <v>40</v>
      </c>
      <c r="N494" s="9" t="s">
        <v>40</v>
      </c>
      <c r="Q494" s="9" t="s">
        <v>146</v>
      </c>
      <c r="R494" s="9" t="s">
        <v>42</v>
      </c>
      <c r="S494" s="10">
        <v>4500.0</v>
      </c>
      <c r="T494" s="11">
        <v>0.0</v>
      </c>
      <c r="U494" s="9">
        <v>0.0</v>
      </c>
      <c r="V494" s="9">
        <v>14.0</v>
      </c>
      <c r="W494" s="9" t="s">
        <v>1758</v>
      </c>
      <c r="X494" s="9" t="s">
        <v>321</v>
      </c>
      <c r="Y494" s="9" t="s">
        <v>349</v>
      </c>
      <c r="Z494" s="9" t="s">
        <v>59</v>
      </c>
      <c r="AA494" s="9" t="s">
        <v>81</v>
      </c>
      <c r="AB494" s="9" t="s">
        <v>91</v>
      </c>
      <c r="AD494" s="9">
        <v>8.0</v>
      </c>
      <c r="AE494" s="9">
        <v>2.0</v>
      </c>
      <c r="AF494" s="9">
        <v>0.0</v>
      </c>
      <c r="AG494" s="12">
        <v>3400.0</v>
      </c>
      <c r="AH494" s="13"/>
    </row>
    <row r="495">
      <c r="A495" s="14">
        <v>44403.8614624537</v>
      </c>
      <c r="B495" s="8">
        <f t="shared" si="1"/>
        <v>2021</v>
      </c>
      <c r="C495" s="8" t="s">
        <v>49</v>
      </c>
      <c r="D495" s="8">
        <v>24.0</v>
      </c>
      <c r="E495" s="8" t="s">
        <v>35</v>
      </c>
      <c r="F495" s="8" t="s">
        <v>36</v>
      </c>
      <c r="G495" s="8" t="s">
        <v>50</v>
      </c>
      <c r="H495" s="8" t="s">
        <v>1338</v>
      </c>
      <c r="I495" s="8" t="s">
        <v>38</v>
      </c>
      <c r="J495" s="9" t="s">
        <v>75</v>
      </c>
      <c r="K495" s="9" t="s">
        <v>166</v>
      </c>
      <c r="L495" s="8" t="s">
        <v>39</v>
      </c>
      <c r="M495" s="8" t="s">
        <v>40</v>
      </c>
      <c r="N495" s="8" t="s">
        <v>40</v>
      </c>
      <c r="O495" s="15"/>
      <c r="P495" s="15"/>
      <c r="Q495" s="8" t="s">
        <v>293</v>
      </c>
      <c r="R495" s="9" t="s">
        <v>42</v>
      </c>
      <c r="S495" s="16">
        <v>3640.0</v>
      </c>
      <c r="T495" s="17">
        <v>0.0</v>
      </c>
      <c r="U495" s="8">
        <v>0.0</v>
      </c>
      <c r="V495" s="8">
        <v>14.0</v>
      </c>
      <c r="W495" s="8" t="s">
        <v>1759</v>
      </c>
      <c r="X495" s="8" t="s">
        <v>1760</v>
      </c>
      <c r="Y495" s="8" t="s">
        <v>36</v>
      </c>
      <c r="Z495" s="8" t="s">
        <v>80</v>
      </c>
      <c r="AA495" s="8" t="s">
        <v>90</v>
      </c>
      <c r="AB495" s="8" t="s">
        <v>91</v>
      </c>
      <c r="AC495" s="15"/>
      <c r="AD495" s="8">
        <v>3.0</v>
      </c>
      <c r="AE495" s="8">
        <v>1.0</v>
      </c>
      <c r="AF495" s="8">
        <v>0.0</v>
      </c>
      <c r="AG495" s="18">
        <v>3400.0</v>
      </c>
      <c r="AH495" s="13"/>
      <c r="AI495" s="15"/>
      <c r="AJ495" s="15"/>
      <c r="AK495" s="15"/>
      <c r="AL495" s="15"/>
      <c r="AM495" s="15"/>
      <c r="AN495" s="15"/>
    </row>
    <row r="496">
      <c r="A496" s="7">
        <v>44403.9259791088</v>
      </c>
      <c r="B496" s="8">
        <f t="shared" si="1"/>
        <v>2021</v>
      </c>
      <c r="C496" s="9" t="s">
        <v>49</v>
      </c>
      <c r="D496" s="9">
        <v>23.0</v>
      </c>
      <c r="E496" s="9" t="s">
        <v>35</v>
      </c>
      <c r="F496" s="9" t="s">
        <v>36</v>
      </c>
      <c r="G496" s="8" t="s">
        <v>63</v>
      </c>
      <c r="H496" s="9" t="s">
        <v>1241</v>
      </c>
      <c r="I496" s="9" t="s">
        <v>38</v>
      </c>
      <c r="J496" s="9" t="s">
        <v>75</v>
      </c>
      <c r="K496" s="9" t="s">
        <v>161</v>
      </c>
      <c r="L496" s="9" t="s">
        <v>39</v>
      </c>
      <c r="M496" s="9" t="s">
        <v>40</v>
      </c>
      <c r="N496" s="9" t="s">
        <v>40</v>
      </c>
      <c r="Q496" s="9" t="s">
        <v>548</v>
      </c>
      <c r="R496" s="9" t="s">
        <v>42</v>
      </c>
      <c r="S496" s="10">
        <v>3800.0</v>
      </c>
      <c r="T496" s="11">
        <v>0.0</v>
      </c>
      <c r="U496" s="9">
        <v>0.0</v>
      </c>
      <c r="V496" s="9">
        <v>14.0</v>
      </c>
      <c r="W496" s="9" t="s">
        <v>1761</v>
      </c>
      <c r="X496" s="9" t="s">
        <v>1762</v>
      </c>
      <c r="Y496" s="9" t="s">
        <v>50</v>
      </c>
      <c r="Z496" s="9" t="s">
        <v>1763</v>
      </c>
      <c r="AA496" s="9" t="s">
        <v>60</v>
      </c>
      <c r="AB496" s="9" t="s">
        <v>91</v>
      </c>
      <c r="AD496" s="9">
        <v>8.0</v>
      </c>
      <c r="AE496" s="9">
        <v>1.0</v>
      </c>
      <c r="AF496" s="9">
        <v>1.0</v>
      </c>
      <c r="AG496" s="12">
        <v>3400.0</v>
      </c>
      <c r="AH496" s="13"/>
    </row>
    <row r="497">
      <c r="A497" s="14">
        <v>44403.86879903935</v>
      </c>
      <c r="B497" s="8">
        <f t="shared" si="1"/>
        <v>2021</v>
      </c>
      <c r="C497" s="8" t="s">
        <v>73</v>
      </c>
      <c r="D497" s="8">
        <v>24.0</v>
      </c>
      <c r="E497" s="8" t="s">
        <v>35</v>
      </c>
      <c r="F497" s="8" t="s">
        <v>36</v>
      </c>
      <c r="G497" s="8" t="s">
        <v>50</v>
      </c>
      <c r="H497" s="8" t="s">
        <v>99</v>
      </c>
      <c r="I497" s="8" t="s">
        <v>38</v>
      </c>
      <c r="J497" s="9" t="s">
        <v>75</v>
      </c>
      <c r="K497" s="9" t="s">
        <v>166</v>
      </c>
      <c r="L497" s="8" t="s">
        <v>39</v>
      </c>
      <c r="M497" s="8" t="s">
        <v>40</v>
      </c>
      <c r="N497" s="8" t="s">
        <v>40</v>
      </c>
      <c r="O497" s="15"/>
      <c r="P497" s="15"/>
      <c r="Q497" s="8" t="s">
        <v>293</v>
      </c>
      <c r="R497" s="9" t="s">
        <v>42</v>
      </c>
      <c r="S497" s="16">
        <v>3640.0</v>
      </c>
      <c r="T497" s="17">
        <v>0.0</v>
      </c>
      <c r="U497" s="8">
        <v>2000.0</v>
      </c>
      <c r="V497" s="8">
        <v>14.0</v>
      </c>
      <c r="W497" s="8" t="s">
        <v>1764</v>
      </c>
      <c r="X497" s="8" t="s">
        <v>1765</v>
      </c>
      <c r="Y497" s="8" t="s">
        <v>58</v>
      </c>
      <c r="Z497" s="8" t="s">
        <v>80</v>
      </c>
      <c r="AA497" s="8" t="s">
        <v>90</v>
      </c>
      <c r="AB497" s="8" t="s">
        <v>91</v>
      </c>
      <c r="AC497" s="15"/>
      <c r="AD497" s="8">
        <v>2.0</v>
      </c>
      <c r="AE497" s="8">
        <v>1.0</v>
      </c>
      <c r="AF497" s="8">
        <v>1.0</v>
      </c>
      <c r="AG497" s="18">
        <v>3400.0</v>
      </c>
      <c r="AH497" s="13"/>
      <c r="AI497" s="15"/>
      <c r="AJ497" s="15"/>
      <c r="AK497" s="15"/>
      <c r="AL497" s="15"/>
      <c r="AM497" s="15"/>
      <c r="AN497" s="15"/>
    </row>
    <row r="498">
      <c r="A498" s="7">
        <v>44403.91227576389</v>
      </c>
      <c r="B498" s="8">
        <f t="shared" si="1"/>
        <v>2021</v>
      </c>
      <c r="C498" s="9" t="s">
        <v>73</v>
      </c>
      <c r="D498" s="9">
        <v>24.0</v>
      </c>
      <c r="E498" s="9" t="s">
        <v>35</v>
      </c>
      <c r="F498" s="9" t="s">
        <v>36</v>
      </c>
      <c r="G498" s="8" t="s">
        <v>50</v>
      </c>
      <c r="H498" s="9" t="s">
        <v>82</v>
      </c>
      <c r="I498" s="9" t="s">
        <v>247</v>
      </c>
      <c r="J498" s="9" t="s">
        <v>83</v>
      </c>
      <c r="K498" s="9" t="s">
        <v>1766</v>
      </c>
      <c r="L498" s="9" t="s">
        <v>39</v>
      </c>
      <c r="M498" s="9" t="s">
        <v>40</v>
      </c>
      <c r="N498" s="9" t="s">
        <v>39</v>
      </c>
      <c r="P498" s="9" t="s">
        <v>1767</v>
      </c>
      <c r="Q498" s="9" t="s">
        <v>736</v>
      </c>
      <c r="R498" s="9" t="s">
        <v>42</v>
      </c>
      <c r="S498" s="10">
        <v>3480.0</v>
      </c>
      <c r="T498" s="11">
        <v>0.0</v>
      </c>
      <c r="U498" s="9">
        <v>0.0</v>
      </c>
      <c r="V498" s="9">
        <v>18.0</v>
      </c>
      <c r="W498" s="9" t="s">
        <v>1768</v>
      </c>
      <c r="X498" s="9" t="s">
        <v>1769</v>
      </c>
      <c r="Y498" s="9" t="s">
        <v>58</v>
      </c>
      <c r="Z498" s="9" t="s">
        <v>80</v>
      </c>
      <c r="AA498" s="9" t="s">
        <v>81</v>
      </c>
      <c r="AB498" s="9" t="s">
        <v>61</v>
      </c>
      <c r="AD498" s="9">
        <v>2.0</v>
      </c>
      <c r="AE498" s="9">
        <v>2.0</v>
      </c>
      <c r="AF498" s="9">
        <v>1.0</v>
      </c>
      <c r="AG498" s="12">
        <v>3400.0</v>
      </c>
      <c r="AH498" s="13"/>
    </row>
    <row r="499">
      <c r="A499" s="7">
        <v>44505.70735430556</v>
      </c>
      <c r="B499" s="8">
        <f t="shared" si="1"/>
        <v>2021</v>
      </c>
      <c r="C499" s="9" t="s">
        <v>49</v>
      </c>
      <c r="D499" s="9">
        <v>22.0</v>
      </c>
      <c r="E499" s="9" t="s">
        <v>35</v>
      </c>
      <c r="F499" s="9" t="s">
        <v>36</v>
      </c>
      <c r="G499" s="8" t="s">
        <v>50</v>
      </c>
      <c r="H499" s="8" t="s">
        <v>51</v>
      </c>
      <c r="I499" s="9" t="s">
        <v>38</v>
      </c>
      <c r="J499" s="9" t="s">
        <v>75</v>
      </c>
      <c r="K499" s="9" t="s">
        <v>944</v>
      </c>
      <c r="L499" s="9" t="s">
        <v>39</v>
      </c>
      <c r="M499" s="9" t="s">
        <v>40</v>
      </c>
      <c r="N499" s="9" t="s">
        <v>40</v>
      </c>
      <c r="Q499" s="8" t="s">
        <v>255</v>
      </c>
      <c r="R499" s="9" t="s">
        <v>42</v>
      </c>
      <c r="S499" s="10">
        <v>5000.0</v>
      </c>
      <c r="T499" s="11">
        <v>0.0</v>
      </c>
      <c r="U499" s="9">
        <v>0.0</v>
      </c>
      <c r="V499" s="9">
        <v>12.0</v>
      </c>
      <c r="W499" s="9" t="s">
        <v>1770</v>
      </c>
      <c r="X499" s="9" t="s">
        <v>1771</v>
      </c>
      <c r="Y499" s="9" t="s">
        <v>58</v>
      </c>
      <c r="Z499" s="9" t="s">
        <v>140</v>
      </c>
      <c r="AA499" s="9" t="s">
        <v>71</v>
      </c>
      <c r="AB499" s="9" t="s">
        <v>91</v>
      </c>
      <c r="AD499" s="9">
        <v>7.0</v>
      </c>
      <c r="AE499" s="9">
        <v>2.0</v>
      </c>
      <c r="AF499" s="9">
        <v>0.0</v>
      </c>
      <c r="AG499" s="12">
        <v>3500.0</v>
      </c>
      <c r="AH499" s="9" t="s">
        <v>42</v>
      </c>
    </row>
    <row r="500">
      <c r="A500" s="7">
        <v>44476.94699877314</v>
      </c>
      <c r="B500" s="8">
        <f t="shared" si="1"/>
        <v>2021</v>
      </c>
      <c r="C500" s="9" t="s">
        <v>49</v>
      </c>
      <c r="D500" s="9">
        <v>23.0</v>
      </c>
      <c r="E500" s="9" t="s">
        <v>35</v>
      </c>
      <c r="F500" s="9" t="s">
        <v>36</v>
      </c>
      <c r="G500" s="8" t="s">
        <v>124</v>
      </c>
      <c r="H500" s="9" t="s">
        <v>296</v>
      </c>
      <c r="I500" s="9" t="s">
        <v>38</v>
      </c>
      <c r="J500" s="9" t="s">
        <v>220</v>
      </c>
      <c r="K500" s="9" t="s">
        <v>234</v>
      </c>
      <c r="L500" s="9" t="s">
        <v>39</v>
      </c>
      <c r="M500" s="9" t="s">
        <v>40</v>
      </c>
      <c r="N500" s="9" t="s">
        <v>40</v>
      </c>
      <c r="Q500" s="9" t="s">
        <v>146</v>
      </c>
      <c r="R500" s="9" t="s">
        <v>42</v>
      </c>
      <c r="S500" s="10">
        <v>4000.0</v>
      </c>
      <c r="T500" s="11">
        <v>4000.0</v>
      </c>
      <c r="U500" s="9">
        <v>0.0</v>
      </c>
      <c r="V500" s="9">
        <v>12.0</v>
      </c>
      <c r="W500" s="9" t="s">
        <v>1772</v>
      </c>
      <c r="X500" s="9" t="s">
        <v>1378</v>
      </c>
      <c r="Y500" s="9" t="s">
        <v>300</v>
      </c>
      <c r="Z500" s="9" t="s">
        <v>59</v>
      </c>
      <c r="AA500" s="9" t="s">
        <v>71</v>
      </c>
      <c r="AB500" s="9" t="s">
        <v>61</v>
      </c>
      <c r="AD500" s="9">
        <v>6.0</v>
      </c>
      <c r="AE500" s="9">
        <v>1.0</v>
      </c>
      <c r="AF500" s="9">
        <v>0.0</v>
      </c>
      <c r="AG500" s="12">
        <v>3500.0</v>
      </c>
      <c r="AH500" s="9" t="s">
        <v>42</v>
      </c>
    </row>
    <row r="501">
      <c r="A501" s="7">
        <v>44404.97518178241</v>
      </c>
      <c r="B501" s="8">
        <f t="shared" si="1"/>
        <v>2021</v>
      </c>
      <c r="C501" s="9" t="s">
        <v>49</v>
      </c>
      <c r="D501" s="9">
        <v>31.0</v>
      </c>
      <c r="E501" s="9" t="s">
        <v>35</v>
      </c>
      <c r="F501" s="9" t="s">
        <v>36</v>
      </c>
      <c r="G501" s="8" t="s">
        <v>50</v>
      </c>
      <c r="H501" s="8" t="s">
        <v>180</v>
      </c>
      <c r="I501" s="9" t="s">
        <v>38</v>
      </c>
      <c r="J501" s="9" t="s">
        <v>143</v>
      </c>
      <c r="K501" s="9" t="s">
        <v>414</v>
      </c>
      <c r="L501" s="9" t="s">
        <v>39</v>
      </c>
      <c r="M501" s="9" t="s">
        <v>40</v>
      </c>
      <c r="N501" s="9" t="s">
        <v>40</v>
      </c>
      <c r="Q501" s="9" t="s">
        <v>128</v>
      </c>
      <c r="R501" s="9" t="s">
        <v>42</v>
      </c>
      <c r="S501" s="10">
        <v>6500.0</v>
      </c>
      <c r="T501" s="11">
        <v>6500.0</v>
      </c>
      <c r="U501" s="9">
        <v>0.0</v>
      </c>
      <c r="V501" s="9">
        <v>12.0</v>
      </c>
      <c r="W501" s="9" t="s">
        <v>1773</v>
      </c>
      <c r="X501" s="9" t="s">
        <v>1774</v>
      </c>
      <c r="Y501" s="9" t="s">
        <v>50</v>
      </c>
      <c r="Z501" s="9" t="s">
        <v>228</v>
      </c>
      <c r="AA501" s="9" t="s">
        <v>132</v>
      </c>
      <c r="AB501" s="9" t="s">
        <v>91</v>
      </c>
      <c r="AD501" s="9">
        <v>7.0</v>
      </c>
      <c r="AE501" s="9">
        <v>7.0</v>
      </c>
      <c r="AF501" s="9">
        <v>1.0</v>
      </c>
      <c r="AG501" s="12">
        <v>3500.0</v>
      </c>
      <c r="AH501" s="9" t="s">
        <v>42</v>
      </c>
    </row>
    <row r="502">
      <c r="A502" s="7">
        <v>44634.82789652778</v>
      </c>
      <c r="B502" s="8">
        <f t="shared" si="1"/>
        <v>2022</v>
      </c>
      <c r="C502" s="9" t="s">
        <v>49</v>
      </c>
      <c r="D502" s="9">
        <v>22.0</v>
      </c>
      <c r="E502" s="9" t="s">
        <v>35</v>
      </c>
      <c r="F502" s="9" t="s">
        <v>36</v>
      </c>
      <c r="G502" s="8" t="s">
        <v>50</v>
      </c>
      <c r="H502" s="9" t="s">
        <v>82</v>
      </c>
      <c r="I502" s="9" t="s">
        <v>38</v>
      </c>
      <c r="J502" s="9" t="s">
        <v>160</v>
      </c>
      <c r="K502" s="9" t="s">
        <v>221</v>
      </c>
      <c r="L502" s="9" t="s">
        <v>39</v>
      </c>
      <c r="M502" s="9" t="s">
        <v>40</v>
      </c>
      <c r="N502" s="9" t="s">
        <v>40</v>
      </c>
      <c r="Q502" s="9" t="s">
        <v>128</v>
      </c>
      <c r="R502" s="9" t="s">
        <v>42</v>
      </c>
      <c r="S502" s="10">
        <v>3500.0</v>
      </c>
      <c r="T502" s="11">
        <v>7000.0</v>
      </c>
      <c r="U502" s="9">
        <v>0.0</v>
      </c>
      <c r="V502" s="9">
        <v>12.0</v>
      </c>
      <c r="W502" s="9" t="s">
        <v>1775</v>
      </c>
      <c r="X502" s="9" t="s">
        <v>1776</v>
      </c>
      <c r="Y502" s="9" t="s">
        <v>58</v>
      </c>
      <c r="Z502" s="9" t="s">
        <v>1238</v>
      </c>
      <c r="AA502" s="9" t="s">
        <v>71</v>
      </c>
      <c r="AB502" s="9" t="s">
        <v>61</v>
      </c>
      <c r="AC502" s="9" t="s">
        <v>1777</v>
      </c>
      <c r="AD502" s="9">
        <v>7.0</v>
      </c>
      <c r="AE502" s="9" t="s">
        <v>1778</v>
      </c>
      <c r="AF502" s="9">
        <v>0.0</v>
      </c>
      <c r="AG502" s="12">
        <v>3500.0</v>
      </c>
      <c r="AH502" s="9" t="s">
        <v>42</v>
      </c>
    </row>
    <row r="503">
      <c r="A503" s="7">
        <v>44430.349001608796</v>
      </c>
      <c r="B503" s="8">
        <f t="shared" si="1"/>
        <v>2021</v>
      </c>
      <c r="C503" s="9" t="s">
        <v>49</v>
      </c>
      <c r="D503" s="9">
        <v>23.0</v>
      </c>
      <c r="E503" s="9" t="s">
        <v>35</v>
      </c>
      <c r="F503" s="9" t="s">
        <v>36</v>
      </c>
      <c r="G503" s="8" t="s">
        <v>50</v>
      </c>
      <c r="H503" s="9" t="s">
        <v>106</v>
      </c>
      <c r="I503" s="9" t="s">
        <v>38</v>
      </c>
      <c r="J503" s="9" t="s">
        <v>220</v>
      </c>
      <c r="K503" s="9" t="s">
        <v>234</v>
      </c>
      <c r="L503" s="9" t="s">
        <v>39</v>
      </c>
      <c r="M503" s="9" t="s">
        <v>40</v>
      </c>
      <c r="N503" s="9" t="s">
        <v>40</v>
      </c>
      <c r="Q503" s="9" t="s">
        <v>146</v>
      </c>
      <c r="R503" s="9" t="s">
        <v>42</v>
      </c>
      <c r="S503" s="10">
        <v>3500.0</v>
      </c>
      <c r="T503" s="11">
        <v>3500.0</v>
      </c>
      <c r="V503" s="9">
        <v>12.0</v>
      </c>
      <c r="W503" s="9" t="s">
        <v>223</v>
      </c>
      <c r="X503" s="9" t="s">
        <v>809</v>
      </c>
      <c r="Y503" s="9" t="s">
        <v>300</v>
      </c>
      <c r="Z503" s="9" t="s">
        <v>159</v>
      </c>
      <c r="AA503" s="9" t="s">
        <v>71</v>
      </c>
      <c r="AB503" s="9" t="s">
        <v>61</v>
      </c>
      <c r="AD503" s="9">
        <v>6.0</v>
      </c>
      <c r="AE503" s="9">
        <v>1.0</v>
      </c>
      <c r="AF503" s="9">
        <v>0.0</v>
      </c>
      <c r="AG503" s="12">
        <v>3500.0</v>
      </c>
      <c r="AH503" s="9" t="s">
        <v>42</v>
      </c>
    </row>
    <row r="504">
      <c r="A504" s="7">
        <v>44408.85683207176</v>
      </c>
      <c r="B504" s="8">
        <f t="shared" si="1"/>
        <v>2021</v>
      </c>
      <c r="C504" s="9" t="s">
        <v>49</v>
      </c>
      <c r="D504" s="9">
        <v>23.0</v>
      </c>
      <c r="E504" s="9" t="s">
        <v>35</v>
      </c>
      <c r="F504" s="9" t="s">
        <v>36</v>
      </c>
      <c r="G504" s="9" t="s">
        <v>172</v>
      </c>
      <c r="H504" s="9" t="s">
        <v>173</v>
      </c>
      <c r="I504" s="9" t="s">
        <v>38</v>
      </c>
      <c r="J504" s="9" t="s">
        <v>160</v>
      </c>
      <c r="K504" s="9" t="s">
        <v>161</v>
      </c>
      <c r="L504" s="9" t="s">
        <v>39</v>
      </c>
      <c r="M504" s="9" t="s">
        <v>40</v>
      </c>
      <c r="N504" s="9" t="s">
        <v>40</v>
      </c>
      <c r="Q504" s="9" t="s">
        <v>1779</v>
      </c>
      <c r="R504" s="9" t="s">
        <v>42</v>
      </c>
      <c r="S504" s="10">
        <v>3500.0</v>
      </c>
      <c r="T504" s="11">
        <v>0.0</v>
      </c>
      <c r="U504" s="9">
        <v>0.0</v>
      </c>
      <c r="V504" s="9">
        <v>14.0</v>
      </c>
      <c r="W504" s="9" t="s">
        <v>223</v>
      </c>
      <c r="X504" s="9" t="s">
        <v>1780</v>
      </c>
      <c r="Y504" s="9" t="s">
        <v>1781</v>
      </c>
      <c r="Z504" s="9" t="s">
        <v>80</v>
      </c>
      <c r="AA504" s="9" t="s">
        <v>47</v>
      </c>
      <c r="AB504" s="9" t="s">
        <v>48</v>
      </c>
      <c r="AD504" s="9">
        <v>9.0</v>
      </c>
      <c r="AE504" s="9" t="s">
        <v>1782</v>
      </c>
      <c r="AF504" s="9">
        <v>1.0</v>
      </c>
      <c r="AG504" s="12">
        <v>3500.0</v>
      </c>
      <c r="AH504" s="13"/>
    </row>
    <row r="505">
      <c r="A505" s="7">
        <v>44404.966212326384</v>
      </c>
      <c r="B505" s="8">
        <f t="shared" si="1"/>
        <v>2021</v>
      </c>
      <c r="C505" s="9" t="s">
        <v>49</v>
      </c>
      <c r="D505" s="9">
        <v>23.0</v>
      </c>
      <c r="E505" s="9" t="s">
        <v>35</v>
      </c>
      <c r="F505" s="9" t="s">
        <v>36</v>
      </c>
      <c r="G505" s="8" t="s">
        <v>124</v>
      </c>
      <c r="H505" s="9" t="s">
        <v>532</v>
      </c>
      <c r="I505" s="9" t="s">
        <v>38</v>
      </c>
      <c r="J505" s="9" t="s">
        <v>75</v>
      </c>
      <c r="K505" s="9" t="s">
        <v>200</v>
      </c>
      <c r="L505" s="9" t="s">
        <v>39</v>
      </c>
      <c r="M505" s="9" t="s">
        <v>40</v>
      </c>
      <c r="N505" s="9" t="s">
        <v>39</v>
      </c>
      <c r="P505" s="9" t="s">
        <v>1233</v>
      </c>
      <c r="Q505" s="9" t="s">
        <v>303</v>
      </c>
      <c r="R505" s="9" t="s">
        <v>42</v>
      </c>
      <c r="S505" s="10">
        <v>3500.0</v>
      </c>
      <c r="T505" s="11">
        <v>0.0</v>
      </c>
      <c r="U505" s="9">
        <v>0.0</v>
      </c>
      <c r="V505" s="9">
        <v>14.0</v>
      </c>
      <c r="W505" s="9" t="s">
        <v>1783</v>
      </c>
      <c r="X505" s="9" t="s">
        <v>1784</v>
      </c>
      <c r="Y505" s="9" t="s">
        <v>1785</v>
      </c>
      <c r="Z505" s="9" t="s">
        <v>350</v>
      </c>
      <c r="AA505" s="9" t="s">
        <v>71</v>
      </c>
      <c r="AB505" s="9" t="s">
        <v>91</v>
      </c>
      <c r="AD505" s="9">
        <v>9.0</v>
      </c>
      <c r="AE505" s="9">
        <v>1.0</v>
      </c>
      <c r="AF505" s="9">
        <v>1.0</v>
      </c>
      <c r="AG505" s="12">
        <v>3500.0</v>
      </c>
      <c r="AH505" s="13"/>
    </row>
    <row r="506">
      <c r="A506" s="7">
        <v>44422.32936546297</v>
      </c>
      <c r="B506" s="8">
        <f t="shared" si="1"/>
        <v>2021</v>
      </c>
      <c r="C506" s="9" t="s">
        <v>49</v>
      </c>
      <c r="D506" s="9">
        <v>25.0</v>
      </c>
      <c r="E506" s="9" t="s">
        <v>35</v>
      </c>
      <c r="F506" s="9" t="s">
        <v>36</v>
      </c>
      <c r="G506" s="8" t="s">
        <v>50</v>
      </c>
      <c r="H506" s="8" t="s">
        <v>99</v>
      </c>
      <c r="I506" s="9" t="s">
        <v>38</v>
      </c>
      <c r="J506" s="9" t="s">
        <v>143</v>
      </c>
      <c r="K506" s="9" t="s">
        <v>407</v>
      </c>
      <c r="L506" s="9" t="s">
        <v>39</v>
      </c>
      <c r="M506" s="9" t="s">
        <v>40</v>
      </c>
      <c r="N506" s="9" t="s">
        <v>40</v>
      </c>
      <c r="Q506" s="9" t="s">
        <v>128</v>
      </c>
      <c r="R506" s="9" t="s">
        <v>42</v>
      </c>
      <c r="S506" s="10">
        <v>3500.0</v>
      </c>
      <c r="T506" s="11">
        <v>0.0</v>
      </c>
      <c r="U506" s="9">
        <v>0.0</v>
      </c>
      <c r="V506" s="9">
        <v>14.0</v>
      </c>
      <c r="W506" s="9" t="s">
        <v>320</v>
      </c>
      <c r="X506" s="9" t="s">
        <v>1786</v>
      </c>
      <c r="Y506" s="9" t="s">
        <v>122</v>
      </c>
      <c r="Z506" s="9" t="s">
        <v>59</v>
      </c>
      <c r="AA506" s="9" t="s">
        <v>71</v>
      </c>
      <c r="AB506" s="9" t="s">
        <v>61</v>
      </c>
      <c r="AD506" s="9">
        <v>8.0</v>
      </c>
      <c r="AE506" s="9" t="s">
        <v>1716</v>
      </c>
      <c r="AF506" s="9">
        <v>0.0</v>
      </c>
      <c r="AG506" s="12">
        <v>3500.0</v>
      </c>
      <c r="AH506" s="13"/>
    </row>
    <row r="507">
      <c r="A507" s="7">
        <v>44578.94050768518</v>
      </c>
      <c r="B507" s="8">
        <f t="shared" si="1"/>
        <v>2022</v>
      </c>
      <c r="C507" s="9" t="s">
        <v>49</v>
      </c>
      <c r="D507" s="9">
        <v>24.0</v>
      </c>
      <c r="E507" s="9" t="s">
        <v>35</v>
      </c>
      <c r="F507" s="9" t="s">
        <v>36</v>
      </c>
      <c r="G507" s="8" t="s">
        <v>124</v>
      </c>
      <c r="H507" s="8" t="s">
        <v>773</v>
      </c>
      <c r="I507" s="9" t="s">
        <v>38</v>
      </c>
      <c r="J507" s="9" t="s">
        <v>160</v>
      </c>
      <c r="K507" s="9" t="s">
        <v>490</v>
      </c>
      <c r="L507" s="9" t="s">
        <v>39</v>
      </c>
      <c r="M507" s="9" t="s">
        <v>40</v>
      </c>
      <c r="N507" s="9" t="s">
        <v>40</v>
      </c>
      <c r="Q507" s="9" t="s">
        <v>146</v>
      </c>
      <c r="R507" s="9" t="s">
        <v>42</v>
      </c>
      <c r="S507" s="10">
        <v>3800.0</v>
      </c>
      <c r="T507" s="11">
        <v>0.0</v>
      </c>
      <c r="U507" s="9">
        <v>0.0</v>
      </c>
      <c r="V507" s="9">
        <v>14.0</v>
      </c>
      <c r="W507" s="9" t="s">
        <v>1787</v>
      </c>
      <c r="X507" s="9" t="s">
        <v>1788</v>
      </c>
      <c r="Y507" s="9" t="s">
        <v>122</v>
      </c>
      <c r="Z507" s="9" t="s">
        <v>70</v>
      </c>
      <c r="AA507" s="9" t="s">
        <v>71</v>
      </c>
      <c r="AB507" s="9" t="s">
        <v>61</v>
      </c>
      <c r="AD507" s="9">
        <v>7.0</v>
      </c>
      <c r="AE507" s="9">
        <v>2.0</v>
      </c>
      <c r="AF507" s="9">
        <v>2.0</v>
      </c>
      <c r="AG507" s="12">
        <v>3500.0</v>
      </c>
      <c r="AH507" s="13"/>
    </row>
    <row r="508">
      <c r="A508" s="7">
        <v>44404.93824130787</v>
      </c>
      <c r="B508" s="8">
        <f t="shared" si="1"/>
        <v>2021</v>
      </c>
      <c r="C508" s="9" t="s">
        <v>49</v>
      </c>
      <c r="D508" s="9">
        <v>23.0</v>
      </c>
      <c r="E508" s="9" t="s">
        <v>35</v>
      </c>
      <c r="F508" s="9" t="s">
        <v>36</v>
      </c>
      <c r="G508" s="8" t="s">
        <v>74</v>
      </c>
      <c r="H508" s="9" t="s">
        <v>437</v>
      </c>
      <c r="I508" s="9" t="s">
        <v>38</v>
      </c>
      <c r="J508" s="9" t="s">
        <v>75</v>
      </c>
      <c r="K508" s="9" t="s">
        <v>84</v>
      </c>
      <c r="L508" s="9" t="s">
        <v>39</v>
      </c>
      <c r="M508" s="9" t="s">
        <v>40</v>
      </c>
      <c r="N508" s="9" t="s">
        <v>40</v>
      </c>
      <c r="Q508" s="9" t="s">
        <v>128</v>
      </c>
      <c r="R508" s="9" t="s">
        <v>42</v>
      </c>
      <c r="S508" s="10">
        <v>4000.0</v>
      </c>
      <c r="T508" s="11">
        <v>0.0</v>
      </c>
      <c r="U508" s="9">
        <v>0.0</v>
      </c>
      <c r="V508" s="9">
        <v>14.0</v>
      </c>
      <c r="W508" s="9" t="s">
        <v>1789</v>
      </c>
      <c r="X508" s="9" t="s">
        <v>1790</v>
      </c>
      <c r="Y508" s="9" t="s">
        <v>79</v>
      </c>
      <c r="Z508" s="9" t="s">
        <v>80</v>
      </c>
      <c r="AA508" s="9" t="s">
        <v>90</v>
      </c>
      <c r="AB508" s="9" t="s">
        <v>91</v>
      </c>
      <c r="AD508" s="9">
        <v>8.0</v>
      </c>
      <c r="AE508" s="9">
        <v>1.0</v>
      </c>
      <c r="AF508" s="9">
        <v>0.0</v>
      </c>
      <c r="AG508" s="12">
        <v>3500.0</v>
      </c>
      <c r="AH508" s="13"/>
    </row>
    <row r="509">
      <c r="A509" s="7">
        <v>44408.579461875</v>
      </c>
      <c r="B509" s="8">
        <f t="shared" si="1"/>
        <v>2021</v>
      </c>
      <c r="C509" s="9" t="s">
        <v>49</v>
      </c>
      <c r="D509" s="9">
        <v>28.0</v>
      </c>
      <c r="E509" s="9" t="s">
        <v>35</v>
      </c>
      <c r="F509" s="9" t="s">
        <v>36</v>
      </c>
      <c r="G509" s="8" t="s">
        <v>50</v>
      </c>
      <c r="H509" s="9" t="s">
        <v>570</v>
      </c>
      <c r="I509" s="9" t="s">
        <v>38</v>
      </c>
      <c r="J509" s="9" t="s">
        <v>160</v>
      </c>
      <c r="K509" s="9" t="s">
        <v>166</v>
      </c>
      <c r="L509" s="9" t="s">
        <v>39</v>
      </c>
      <c r="M509" s="9" t="s">
        <v>40</v>
      </c>
      <c r="N509" s="9" t="s">
        <v>40</v>
      </c>
      <c r="Q509" s="9" t="s">
        <v>146</v>
      </c>
      <c r="R509" s="9" t="s">
        <v>42</v>
      </c>
      <c r="S509" s="10">
        <v>4400.0</v>
      </c>
      <c r="T509" s="11">
        <v>0.0</v>
      </c>
      <c r="U509" s="9">
        <v>0.0</v>
      </c>
      <c r="V509" s="9">
        <v>14.0</v>
      </c>
      <c r="W509" s="9" t="s">
        <v>223</v>
      </c>
      <c r="X509" s="9" t="s">
        <v>712</v>
      </c>
      <c r="Y509" s="9" t="s">
        <v>131</v>
      </c>
      <c r="Z509" s="9" t="s">
        <v>350</v>
      </c>
      <c r="AA509" s="9" t="s">
        <v>71</v>
      </c>
      <c r="AB509" s="9" t="s">
        <v>61</v>
      </c>
      <c r="AD509" s="9">
        <v>8.0</v>
      </c>
      <c r="AE509" s="9">
        <v>4.0</v>
      </c>
      <c r="AF509" s="9">
        <v>1.0</v>
      </c>
      <c r="AG509" s="12">
        <v>3500.0</v>
      </c>
      <c r="AH509" s="13"/>
    </row>
    <row r="510">
      <c r="A510" s="7">
        <v>44414.00200638889</v>
      </c>
      <c r="B510" s="8">
        <f t="shared" si="1"/>
        <v>2021</v>
      </c>
      <c r="C510" s="9" t="s">
        <v>49</v>
      </c>
      <c r="D510" s="9">
        <v>26.0</v>
      </c>
      <c r="E510" s="9" t="s">
        <v>35</v>
      </c>
      <c r="F510" s="9" t="s">
        <v>36</v>
      </c>
      <c r="G510" s="8" t="s">
        <v>50</v>
      </c>
      <c r="H510" s="8" t="s">
        <v>493</v>
      </c>
      <c r="I510" s="9" t="s">
        <v>38</v>
      </c>
      <c r="J510" s="9" t="s">
        <v>75</v>
      </c>
      <c r="K510" s="9" t="s">
        <v>84</v>
      </c>
      <c r="L510" s="9" t="s">
        <v>39</v>
      </c>
      <c r="M510" s="9" t="s">
        <v>40</v>
      </c>
      <c r="N510" s="9" t="s">
        <v>40</v>
      </c>
      <c r="Q510" s="9" t="s">
        <v>1791</v>
      </c>
      <c r="R510" s="9" t="s">
        <v>42</v>
      </c>
      <c r="S510" s="10">
        <v>5660.0</v>
      </c>
      <c r="T510" s="11">
        <v>0.0</v>
      </c>
      <c r="U510" s="9">
        <v>0.0</v>
      </c>
      <c r="V510" s="9">
        <v>14.0</v>
      </c>
      <c r="W510" s="9" t="s">
        <v>1792</v>
      </c>
      <c r="X510" s="9" t="s">
        <v>1793</v>
      </c>
      <c r="Y510" s="9" t="s">
        <v>58</v>
      </c>
      <c r="Z510" s="9" t="s">
        <v>97</v>
      </c>
      <c r="AA510" s="9" t="s">
        <v>60</v>
      </c>
      <c r="AB510" s="9" t="s">
        <v>91</v>
      </c>
      <c r="AD510" s="9">
        <v>9.0</v>
      </c>
      <c r="AE510" s="9">
        <v>4.0</v>
      </c>
      <c r="AF510" s="9">
        <v>1.0</v>
      </c>
      <c r="AG510" s="12">
        <v>3500.0</v>
      </c>
      <c r="AH510" s="13"/>
    </row>
    <row r="511">
      <c r="A511" s="7">
        <v>44545.948067986115</v>
      </c>
      <c r="B511" s="8">
        <f t="shared" si="1"/>
        <v>2021</v>
      </c>
      <c r="C511" s="9" t="s">
        <v>49</v>
      </c>
      <c r="D511" s="9">
        <v>40.0</v>
      </c>
      <c r="E511" s="9" t="s">
        <v>35</v>
      </c>
      <c r="F511" s="9" t="s">
        <v>36</v>
      </c>
      <c r="G511" s="8" t="s">
        <v>50</v>
      </c>
      <c r="H511" s="9" t="s">
        <v>298</v>
      </c>
      <c r="I511" s="9" t="s">
        <v>38</v>
      </c>
      <c r="J511" s="9" t="s">
        <v>75</v>
      </c>
      <c r="K511" s="9" t="s">
        <v>166</v>
      </c>
      <c r="L511" s="9" t="s">
        <v>39</v>
      </c>
      <c r="M511" s="9" t="s">
        <v>40</v>
      </c>
      <c r="N511" s="9" t="s">
        <v>39</v>
      </c>
      <c r="P511" s="9" t="s">
        <v>1794</v>
      </c>
      <c r="Q511" s="9" t="s">
        <v>1795</v>
      </c>
      <c r="R511" s="9" t="s">
        <v>42</v>
      </c>
      <c r="S511" s="10">
        <v>6000.0</v>
      </c>
      <c r="T511" s="11">
        <v>0.0</v>
      </c>
      <c r="U511" s="9">
        <v>0.0</v>
      </c>
      <c r="V511" s="9">
        <v>14.0</v>
      </c>
      <c r="W511" s="9" t="s">
        <v>1796</v>
      </c>
      <c r="X511" s="9" t="s">
        <v>1797</v>
      </c>
      <c r="Y511" s="9" t="s">
        <v>1798</v>
      </c>
      <c r="Z511" s="9" t="s">
        <v>116</v>
      </c>
      <c r="AA511" s="9" t="s">
        <v>47</v>
      </c>
      <c r="AB511" s="9" t="s">
        <v>61</v>
      </c>
      <c r="AD511" s="9">
        <v>8.0</v>
      </c>
      <c r="AE511" s="9">
        <v>10.0</v>
      </c>
      <c r="AF511" s="9">
        <v>3.0</v>
      </c>
      <c r="AG511" s="12">
        <v>3500.0</v>
      </c>
      <c r="AH511" s="13"/>
    </row>
    <row r="512">
      <c r="A512" s="7">
        <v>44502.954843009255</v>
      </c>
      <c r="B512" s="8">
        <f t="shared" si="1"/>
        <v>2021</v>
      </c>
      <c r="C512" s="9" t="s">
        <v>49</v>
      </c>
      <c r="D512" s="9">
        <v>23.0</v>
      </c>
      <c r="E512" s="9" t="s">
        <v>35</v>
      </c>
      <c r="F512" s="9" t="s">
        <v>36</v>
      </c>
      <c r="G512" s="8" t="s">
        <v>50</v>
      </c>
      <c r="H512" s="9" t="s">
        <v>354</v>
      </c>
      <c r="I512" s="9" t="s">
        <v>38</v>
      </c>
      <c r="J512" s="9" t="s">
        <v>160</v>
      </c>
      <c r="K512" s="9" t="s">
        <v>229</v>
      </c>
      <c r="L512" s="9" t="s">
        <v>39</v>
      </c>
      <c r="M512" s="9" t="s">
        <v>40</v>
      </c>
      <c r="N512" s="9" t="s">
        <v>40</v>
      </c>
      <c r="Q512" s="9" t="s">
        <v>146</v>
      </c>
      <c r="R512" s="9" t="s">
        <v>42</v>
      </c>
      <c r="S512" s="10">
        <v>6000.0</v>
      </c>
      <c r="T512" s="11">
        <v>0.0</v>
      </c>
      <c r="U512" s="9">
        <v>0.0</v>
      </c>
      <c r="V512" s="9">
        <v>14.0</v>
      </c>
      <c r="W512" s="9" t="s">
        <v>1799</v>
      </c>
      <c r="X512" s="9" t="s">
        <v>457</v>
      </c>
      <c r="Y512" s="9" t="s">
        <v>122</v>
      </c>
      <c r="Z512" s="9" t="s">
        <v>116</v>
      </c>
      <c r="AA512" s="9" t="s">
        <v>81</v>
      </c>
      <c r="AB512" s="9" t="s">
        <v>91</v>
      </c>
      <c r="AD512" s="9">
        <v>9.0</v>
      </c>
      <c r="AE512" s="9">
        <v>1.0</v>
      </c>
      <c r="AF512" s="9">
        <v>2.0</v>
      </c>
      <c r="AG512" s="12">
        <v>3500.0</v>
      </c>
      <c r="AH512" s="13"/>
    </row>
    <row r="513">
      <c r="A513" s="7">
        <v>44579.89085241898</v>
      </c>
      <c r="B513" s="8">
        <f t="shared" si="1"/>
        <v>2022</v>
      </c>
      <c r="C513" s="9" t="s">
        <v>49</v>
      </c>
      <c r="D513" s="9">
        <v>30.0</v>
      </c>
      <c r="E513" s="9" t="s">
        <v>35</v>
      </c>
      <c r="F513" s="9" t="s">
        <v>36</v>
      </c>
      <c r="G513" s="8" t="s">
        <v>50</v>
      </c>
      <c r="H513" s="8" t="s">
        <v>99</v>
      </c>
      <c r="I513" s="9" t="s">
        <v>93</v>
      </c>
      <c r="J513" s="9" t="s">
        <v>263</v>
      </c>
      <c r="K513" s="9" t="s">
        <v>84</v>
      </c>
      <c r="L513" s="9" t="s">
        <v>39</v>
      </c>
      <c r="M513" s="9" t="s">
        <v>40</v>
      </c>
      <c r="N513" s="9" t="s">
        <v>40</v>
      </c>
      <c r="Q513" s="9" t="s">
        <v>128</v>
      </c>
      <c r="R513" s="9" t="s">
        <v>42</v>
      </c>
      <c r="S513" s="10">
        <v>7500.0</v>
      </c>
      <c r="T513" s="11">
        <v>0.0</v>
      </c>
      <c r="U513" s="9">
        <v>0.0</v>
      </c>
      <c r="V513" s="9">
        <v>14.0</v>
      </c>
      <c r="W513" s="9" t="s">
        <v>1800</v>
      </c>
      <c r="X513" s="9" t="s">
        <v>321</v>
      </c>
      <c r="Y513" s="9" t="s">
        <v>1801</v>
      </c>
      <c r="Z513" s="9" t="s">
        <v>350</v>
      </c>
      <c r="AA513" s="9" t="s">
        <v>71</v>
      </c>
      <c r="AB513" s="9" t="s">
        <v>61</v>
      </c>
      <c r="AD513" s="9">
        <v>8.0</v>
      </c>
      <c r="AE513" s="9">
        <v>8.0</v>
      </c>
      <c r="AF513" s="9">
        <v>2.0</v>
      </c>
      <c r="AG513" s="12">
        <v>3500.0</v>
      </c>
      <c r="AH513" s="13"/>
    </row>
    <row r="514">
      <c r="A514" s="7">
        <v>44404.97039293982</v>
      </c>
      <c r="B514" s="8">
        <f t="shared" si="1"/>
        <v>2021</v>
      </c>
      <c r="C514" s="9" t="s">
        <v>73</v>
      </c>
      <c r="D514" s="9">
        <v>29.0</v>
      </c>
      <c r="E514" s="9" t="s">
        <v>1802</v>
      </c>
      <c r="F514" s="9" t="s">
        <v>36</v>
      </c>
      <c r="G514" s="8" t="s">
        <v>124</v>
      </c>
      <c r="H514" s="9" t="s">
        <v>156</v>
      </c>
      <c r="I514" s="9" t="s">
        <v>38</v>
      </c>
      <c r="J514" s="9" t="s">
        <v>239</v>
      </c>
      <c r="L514" s="9" t="s">
        <v>39</v>
      </c>
      <c r="M514" s="9" t="s">
        <v>40</v>
      </c>
      <c r="N514" s="9" t="s">
        <v>40</v>
      </c>
      <c r="Q514" s="9" t="s">
        <v>128</v>
      </c>
      <c r="R514" s="9" t="s">
        <v>42</v>
      </c>
      <c r="S514" s="10">
        <v>8000.0</v>
      </c>
      <c r="T514" s="11">
        <v>0.0</v>
      </c>
      <c r="U514" s="9">
        <v>0.0</v>
      </c>
      <c r="V514" s="9">
        <v>14.0</v>
      </c>
      <c r="W514" s="9" t="s">
        <v>1803</v>
      </c>
      <c r="X514" s="9" t="s">
        <v>1804</v>
      </c>
      <c r="Y514" s="9" t="s">
        <v>122</v>
      </c>
      <c r="Z514" s="9" t="s">
        <v>1805</v>
      </c>
      <c r="AA514" s="9" t="s">
        <v>71</v>
      </c>
      <c r="AB514" s="9" t="s">
        <v>61</v>
      </c>
      <c r="AD514" s="9">
        <v>7.0</v>
      </c>
      <c r="AE514" s="9">
        <v>5.0</v>
      </c>
      <c r="AF514" s="9">
        <v>3.0</v>
      </c>
      <c r="AG514" s="12">
        <v>3500.0</v>
      </c>
      <c r="AH514" s="13"/>
    </row>
    <row r="515">
      <c r="A515" s="7">
        <v>44549.568231990736</v>
      </c>
      <c r="B515" s="8">
        <f t="shared" si="1"/>
        <v>2021</v>
      </c>
      <c r="C515" s="9" t="s">
        <v>49</v>
      </c>
      <c r="D515" s="9">
        <v>35.0</v>
      </c>
      <c r="E515" s="9" t="s">
        <v>35</v>
      </c>
      <c r="F515" s="9" t="s">
        <v>36</v>
      </c>
      <c r="G515" s="8" t="s">
        <v>50</v>
      </c>
      <c r="H515" s="9" t="s">
        <v>117</v>
      </c>
      <c r="I515" s="9" t="s">
        <v>247</v>
      </c>
      <c r="J515" s="9" t="s">
        <v>108</v>
      </c>
      <c r="K515" s="9" t="s">
        <v>1806</v>
      </c>
      <c r="L515" s="9" t="s">
        <v>40</v>
      </c>
      <c r="M515" s="9" t="s">
        <v>39</v>
      </c>
      <c r="N515" s="9" t="s">
        <v>40</v>
      </c>
      <c r="O515" s="9" t="s">
        <v>1807</v>
      </c>
      <c r="P515" s="9" t="s">
        <v>1808</v>
      </c>
      <c r="Q515" s="9" t="s">
        <v>548</v>
      </c>
      <c r="R515" s="9" t="s">
        <v>42</v>
      </c>
      <c r="S515" s="10">
        <v>3500.0</v>
      </c>
      <c r="T515" s="11" t="s">
        <v>37</v>
      </c>
      <c r="U515" s="9">
        <v>0.0</v>
      </c>
      <c r="V515" s="9">
        <v>14.0</v>
      </c>
      <c r="W515" s="9" t="s">
        <v>459</v>
      </c>
      <c r="X515" s="9" t="s">
        <v>1809</v>
      </c>
      <c r="Y515" s="9" t="s">
        <v>124</v>
      </c>
      <c r="Z515" s="9" t="s">
        <v>59</v>
      </c>
      <c r="AA515" s="9" t="s">
        <v>71</v>
      </c>
      <c r="AB515" s="9" t="s">
        <v>61</v>
      </c>
      <c r="AD515" s="9">
        <v>10.0</v>
      </c>
      <c r="AE515" s="9">
        <v>1.0</v>
      </c>
      <c r="AF515" s="9">
        <v>4.0</v>
      </c>
      <c r="AG515" s="12">
        <v>3500.0</v>
      </c>
      <c r="AH515" s="13"/>
    </row>
    <row r="516">
      <c r="A516" s="7">
        <v>44426.4138519213</v>
      </c>
      <c r="B516" s="8">
        <f t="shared" si="1"/>
        <v>2021</v>
      </c>
      <c r="C516" s="9" t="s">
        <v>49</v>
      </c>
      <c r="D516" s="9">
        <v>26.0</v>
      </c>
      <c r="E516" s="9" t="s">
        <v>35</v>
      </c>
      <c r="F516" s="9" t="s">
        <v>36</v>
      </c>
      <c r="G516" s="8" t="s">
        <v>50</v>
      </c>
      <c r="H516" s="9" t="s">
        <v>106</v>
      </c>
      <c r="I516" s="9" t="s">
        <v>38</v>
      </c>
      <c r="J516" s="9" t="s">
        <v>160</v>
      </c>
      <c r="K516" s="9" t="s">
        <v>84</v>
      </c>
      <c r="L516" s="9" t="s">
        <v>39</v>
      </c>
      <c r="M516" s="9" t="s">
        <v>40</v>
      </c>
      <c r="N516" s="9" t="s">
        <v>39</v>
      </c>
      <c r="P516" s="9" t="s">
        <v>398</v>
      </c>
      <c r="Q516" s="9" t="s">
        <v>128</v>
      </c>
      <c r="R516" s="9" t="s">
        <v>42</v>
      </c>
      <c r="S516" s="10">
        <v>6500.0</v>
      </c>
      <c r="T516" s="11">
        <v>0.0</v>
      </c>
      <c r="U516" s="9">
        <v>0.0</v>
      </c>
      <c r="V516" s="9">
        <v>15.0</v>
      </c>
      <c r="W516" s="9" t="s">
        <v>157</v>
      </c>
      <c r="X516" s="9" t="s">
        <v>1810</v>
      </c>
      <c r="Y516" s="9" t="s">
        <v>122</v>
      </c>
      <c r="Z516" s="9" t="s">
        <v>159</v>
      </c>
      <c r="AA516" s="9" t="s">
        <v>71</v>
      </c>
      <c r="AB516" s="9" t="s">
        <v>61</v>
      </c>
      <c r="AD516" s="9">
        <v>5.0</v>
      </c>
      <c r="AE516" s="9">
        <v>4.0</v>
      </c>
      <c r="AF516" s="9">
        <v>2.0</v>
      </c>
      <c r="AG516" s="12">
        <v>3500.0</v>
      </c>
      <c r="AH516" s="13"/>
    </row>
    <row r="517">
      <c r="A517" s="7">
        <v>44437.94642238426</v>
      </c>
      <c r="B517" s="8">
        <f t="shared" si="1"/>
        <v>2021</v>
      </c>
      <c r="C517" s="9" t="s">
        <v>49</v>
      </c>
      <c r="D517" s="9">
        <v>33.0</v>
      </c>
      <c r="E517" s="9" t="s">
        <v>35</v>
      </c>
      <c r="F517" s="9" t="s">
        <v>36</v>
      </c>
      <c r="G517" s="8" t="s">
        <v>50</v>
      </c>
      <c r="H517" s="8" t="s">
        <v>82</v>
      </c>
      <c r="I517" s="9" t="s">
        <v>38</v>
      </c>
      <c r="J517" s="9" t="s">
        <v>510</v>
      </c>
      <c r="K517" s="8" t="s">
        <v>476</v>
      </c>
      <c r="L517" s="9" t="s">
        <v>39</v>
      </c>
      <c r="M517" s="9" t="s">
        <v>40</v>
      </c>
      <c r="N517" s="9" t="s">
        <v>40</v>
      </c>
      <c r="Q517" s="9" t="s">
        <v>333</v>
      </c>
      <c r="R517" s="9" t="s">
        <v>42</v>
      </c>
      <c r="S517" s="10">
        <v>8000.0</v>
      </c>
      <c r="T517" s="11">
        <v>0.0</v>
      </c>
      <c r="U517" s="9">
        <v>0.0</v>
      </c>
      <c r="V517" s="9">
        <v>16.0</v>
      </c>
      <c r="W517" s="9" t="s">
        <v>393</v>
      </c>
      <c r="X517" s="9" t="s">
        <v>1811</v>
      </c>
      <c r="Y517" s="9" t="s">
        <v>1129</v>
      </c>
      <c r="Z517" s="9" t="s">
        <v>185</v>
      </c>
      <c r="AA517" s="9" t="s">
        <v>60</v>
      </c>
      <c r="AB517" s="9" t="s">
        <v>91</v>
      </c>
      <c r="AD517" s="9">
        <v>10.0</v>
      </c>
      <c r="AE517" s="9">
        <v>13.0</v>
      </c>
      <c r="AF517" s="9">
        <v>5.0</v>
      </c>
      <c r="AG517" s="12">
        <v>3500.0</v>
      </c>
      <c r="AH517" s="13"/>
    </row>
    <row r="518">
      <c r="A518" s="7">
        <v>44421.820334131946</v>
      </c>
      <c r="B518" s="8">
        <f t="shared" si="1"/>
        <v>2021</v>
      </c>
      <c r="C518" s="9" t="s">
        <v>49</v>
      </c>
      <c r="D518" s="9">
        <v>26.0</v>
      </c>
      <c r="E518" s="9" t="s">
        <v>35</v>
      </c>
      <c r="F518" s="9" t="s">
        <v>36</v>
      </c>
      <c r="G518" s="8" t="s">
        <v>74</v>
      </c>
      <c r="H518" s="9" t="s">
        <v>1812</v>
      </c>
      <c r="I518" s="9" t="s">
        <v>38</v>
      </c>
      <c r="J518" s="9" t="s">
        <v>75</v>
      </c>
      <c r="K518" s="8" t="s">
        <v>188</v>
      </c>
      <c r="L518" s="9" t="s">
        <v>39</v>
      </c>
      <c r="M518" s="9" t="s">
        <v>40</v>
      </c>
      <c r="N518" s="9" t="s">
        <v>40</v>
      </c>
      <c r="Q518" s="9" t="s">
        <v>736</v>
      </c>
      <c r="R518" s="9" t="s">
        <v>42</v>
      </c>
      <c r="S518" s="10">
        <v>4200.0</v>
      </c>
      <c r="T518" s="11">
        <v>8000.0</v>
      </c>
      <c r="U518" s="9">
        <v>0.0</v>
      </c>
      <c r="V518" s="9">
        <v>16.0</v>
      </c>
      <c r="W518" s="9" t="s">
        <v>1813</v>
      </c>
      <c r="X518" s="9" t="s">
        <v>1814</v>
      </c>
      <c r="Y518" s="9" t="s">
        <v>79</v>
      </c>
      <c r="Z518" s="9" t="s">
        <v>80</v>
      </c>
      <c r="AA518" s="9" t="s">
        <v>60</v>
      </c>
      <c r="AB518" s="9" t="s">
        <v>61</v>
      </c>
      <c r="AD518" s="9">
        <v>7.0</v>
      </c>
      <c r="AE518" s="9">
        <v>2.0</v>
      </c>
      <c r="AF518" s="9">
        <v>0.0</v>
      </c>
      <c r="AG518" s="12">
        <v>3500.0</v>
      </c>
      <c r="AH518" s="13"/>
    </row>
    <row r="519">
      <c r="A519" s="7">
        <v>44405.80510966435</v>
      </c>
      <c r="B519" s="8">
        <f t="shared" si="1"/>
        <v>2021</v>
      </c>
      <c r="C519" s="9" t="s">
        <v>49</v>
      </c>
      <c r="D519" s="9">
        <v>32.0</v>
      </c>
      <c r="E519" s="9" t="s">
        <v>35</v>
      </c>
      <c r="F519" s="9" t="s">
        <v>36</v>
      </c>
      <c r="G519" s="8" t="s">
        <v>124</v>
      </c>
      <c r="H519" s="8" t="s">
        <v>773</v>
      </c>
      <c r="I519" s="9" t="s">
        <v>38</v>
      </c>
      <c r="J519" s="9" t="s">
        <v>75</v>
      </c>
      <c r="K519" s="9" t="s">
        <v>84</v>
      </c>
      <c r="L519" s="9" t="s">
        <v>39</v>
      </c>
      <c r="M519" s="9" t="s">
        <v>40</v>
      </c>
      <c r="N519" s="9" t="s">
        <v>40</v>
      </c>
      <c r="Q519" s="9" t="s">
        <v>272</v>
      </c>
      <c r="R519" s="9" t="s">
        <v>42</v>
      </c>
      <c r="S519" s="10">
        <v>11000.0</v>
      </c>
      <c r="T519" s="11">
        <v>0.0</v>
      </c>
      <c r="U519" s="9">
        <v>0.0</v>
      </c>
      <c r="V519" s="9">
        <v>18.0</v>
      </c>
      <c r="W519" s="9" t="s">
        <v>1815</v>
      </c>
      <c r="X519" s="9" t="s">
        <v>1816</v>
      </c>
      <c r="Y519" s="9" t="s">
        <v>131</v>
      </c>
      <c r="Z519" s="9" t="s">
        <v>59</v>
      </c>
      <c r="AA519" s="9" t="s">
        <v>132</v>
      </c>
      <c r="AB519" s="9" t="s">
        <v>91</v>
      </c>
      <c r="AD519" s="9">
        <v>9.0</v>
      </c>
      <c r="AE519" s="9">
        <v>8.0</v>
      </c>
      <c r="AF519" s="9">
        <v>4.0</v>
      </c>
      <c r="AG519" s="12">
        <v>3500.0</v>
      </c>
      <c r="AH519" s="13"/>
    </row>
    <row r="520">
      <c r="A520" s="7">
        <v>44601.45311981482</v>
      </c>
      <c r="B520" s="8">
        <f t="shared" si="1"/>
        <v>2022</v>
      </c>
      <c r="C520" s="9" t="s">
        <v>49</v>
      </c>
      <c r="D520" s="9">
        <v>25.0</v>
      </c>
      <c r="E520" s="9" t="s">
        <v>35</v>
      </c>
      <c r="F520" s="9" t="s">
        <v>36</v>
      </c>
      <c r="G520" s="8" t="s">
        <v>515</v>
      </c>
      <c r="H520" s="9" t="s">
        <v>515</v>
      </c>
      <c r="I520" s="9" t="s">
        <v>38</v>
      </c>
      <c r="J520" s="9" t="s">
        <v>160</v>
      </c>
      <c r="K520" s="9" t="s">
        <v>166</v>
      </c>
      <c r="L520" s="9" t="s">
        <v>39</v>
      </c>
      <c r="M520" s="9" t="s">
        <v>40</v>
      </c>
      <c r="N520" s="9" t="s">
        <v>40</v>
      </c>
      <c r="Q520" s="9" t="s">
        <v>128</v>
      </c>
      <c r="R520" s="9" t="s">
        <v>42</v>
      </c>
      <c r="S520" s="10">
        <v>6300.0</v>
      </c>
      <c r="T520" s="11">
        <v>0.0</v>
      </c>
      <c r="U520" s="9">
        <v>0.0</v>
      </c>
      <c r="V520" s="9">
        <v>20.0</v>
      </c>
      <c r="W520" s="9" t="s">
        <v>1817</v>
      </c>
      <c r="X520" s="9" t="s">
        <v>1818</v>
      </c>
      <c r="Y520" s="9" t="s">
        <v>1819</v>
      </c>
      <c r="Z520" s="9" t="s">
        <v>297</v>
      </c>
      <c r="AA520" s="9" t="s">
        <v>90</v>
      </c>
      <c r="AB520" s="9" t="s">
        <v>91</v>
      </c>
      <c r="AD520" s="9">
        <v>7.0</v>
      </c>
      <c r="AE520" s="9">
        <v>2.0</v>
      </c>
      <c r="AF520" s="9">
        <v>2.0</v>
      </c>
      <c r="AG520" s="12">
        <v>3500.0</v>
      </c>
      <c r="AH520" s="13"/>
    </row>
    <row r="521">
      <c r="A521" s="7">
        <v>44405.05849278935</v>
      </c>
      <c r="B521" s="8">
        <f t="shared" si="1"/>
        <v>2021</v>
      </c>
      <c r="C521" s="9" t="s">
        <v>73</v>
      </c>
      <c r="D521" s="9">
        <v>24.0</v>
      </c>
      <c r="E521" s="9" t="s">
        <v>35</v>
      </c>
      <c r="F521" s="9" t="s">
        <v>36</v>
      </c>
      <c r="G521" s="8" t="s">
        <v>124</v>
      </c>
      <c r="H521" s="9" t="s">
        <v>156</v>
      </c>
      <c r="I521" s="9" t="s">
        <v>247</v>
      </c>
      <c r="J521" s="9" t="s">
        <v>160</v>
      </c>
      <c r="K521" s="9" t="s">
        <v>221</v>
      </c>
      <c r="L521" s="9" t="s">
        <v>39</v>
      </c>
      <c r="M521" s="9" t="s">
        <v>40</v>
      </c>
      <c r="N521" s="9" t="s">
        <v>39</v>
      </c>
      <c r="P521" s="9" t="s">
        <v>1820</v>
      </c>
      <c r="Q521" s="9" t="s">
        <v>1821</v>
      </c>
      <c r="R521" s="9" t="s">
        <v>42</v>
      </c>
      <c r="S521" s="10">
        <v>4300.0</v>
      </c>
      <c r="T521" s="11">
        <v>4128.0</v>
      </c>
      <c r="U521" s="9">
        <v>0.0</v>
      </c>
      <c r="V521" s="9">
        <v>20.0</v>
      </c>
      <c r="W521" s="9" t="s">
        <v>1822</v>
      </c>
      <c r="X521" s="9" t="s">
        <v>1823</v>
      </c>
      <c r="Y521" s="9" t="s">
        <v>122</v>
      </c>
      <c r="Z521" s="9" t="s">
        <v>1824</v>
      </c>
      <c r="AA521" s="9" t="s">
        <v>60</v>
      </c>
      <c r="AB521" s="9" t="s">
        <v>61</v>
      </c>
      <c r="AC521" s="9" t="s">
        <v>1825</v>
      </c>
      <c r="AD521" s="9">
        <v>8.0</v>
      </c>
      <c r="AE521" s="9">
        <v>1.0</v>
      </c>
      <c r="AF521" s="9">
        <v>0.0</v>
      </c>
      <c r="AG521" s="12">
        <v>3500.0</v>
      </c>
      <c r="AH521" s="13"/>
    </row>
    <row r="522">
      <c r="A522" s="7">
        <v>44407.50271184028</v>
      </c>
      <c r="B522" s="8">
        <f t="shared" si="1"/>
        <v>2021</v>
      </c>
      <c r="C522" s="9" t="s">
        <v>49</v>
      </c>
      <c r="D522" s="9">
        <v>26.0</v>
      </c>
      <c r="E522" s="9" t="s">
        <v>35</v>
      </c>
      <c r="F522" s="9" t="s">
        <v>36</v>
      </c>
      <c r="G522" s="8" t="s">
        <v>50</v>
      </c>
      <c r="H522" s="8" t="s">
        <v>99</v>
      </c>
      <c r="I522" s="9" t="s">
        <v>38</v>
      </c>
      <c r="J522" s="9" t="s">
        <v>143</v>
      </c>
      <c r="K522" s="9" t="s">
        <v>343</v>
      </c>
      <c r="L522" s="9" t="s">
        <v>39</v>
      </c>
      <c r="M522" s="9" t="s">
        <v>40</v>
      </c>
      <c r="N522" s="9" t="s">
        <v>40</v>
      </c>
      <c r="Q522" s="9" t="s">
        <v>1028</v>
      </c>
      <c r="R522" s="9" t="s">
        <v>42</v>
      </c>
      <c r="S522" s="10">
        <v>7500.0</v>
      </c>
      <c r="T522" s="11">
        <v>0.0</v>
      </c>
      <c r="U522" s="9">
        <v>0.0</v>
      </c>
      <c r="V522" s="9">
        <v>21.0</v>
      </c>
      <c r="W522" s="9" t="s">
        <v>1826</v>
      </c>
      <c r="X522" s="9" t="s">
        <v>1827</v>
      </c>
      <c r="Y522" s="9" t="s">
        <v>1828</v>
      </c>
      <c r="Z522" s="9" t="s">
        <v>268</v>
      </c>
      <c r="AA522" s="9" t="s">
        <v>90</v>
      </c>
      <c r="AB522" s="9" t="s">
        <v>61</v>
      </c>
      <c r="AD522" s="9">
        <v>10.0</v>
      </c>
      <c r="AE522" s="9">
        <v>3.0</v>
      </c>
      <c r="AF522" s="9">
        <v>7.0</v>
      </c>
      <c r="AG522" s="12">
        <v>3500.0</v>
      </c>
      <c r="AH522" s="13"/>
    </row>
    <row r="523">
      <c r="A523" s="7">
        <v>44435.50002365741</v>
      </c>
      <c r="B523" s="8">
        <f t="shared" si="1"/>
        <v>2021</v>
      </c>
      <c r="C523" s="9" t="s">
        <v>49</v>
      </c>
      <c r="D523" s="9">
        <v>26.0</v>
      </c>
      <c r="E523" s="9" t="s">
        <v>35</v>
      </c>
      <c r="F523" s="9" t="s">
        <v>36</v>
      </c>
      <c r="G523" s="8" t="s">
        <v>50</v>
      </c>
      <c r="H523" s="9" t="s">
        <v>180</v>
      </c>
      <c r="I523" s="9" t="s">
        <v>38</v>
      </c>
      <c r="J523" s="9" t="s">
        <v>263</v>
      </c>
      <c r="K523" s="9" t="s">
        <v>1829</v>
      </c>
      <c r="L523" s="9" t="s">
        <v>39</v>
      </c>
      <c r="M523" s="9" t="s">
        <v>40</v>
      </c>
      <c r="N523" s="9" t="s">
        <v>40</v>
      </c>
      <c r="Q523" s="9" t="s">
        <v>128</v>
      </c>
      <c r="R523" s="9" t="s">
        <v>42</v>
      </c>
      <c r="S523" s="10">
        <v>6750.0</v>
      </c>
      <c r="T523" s="11" t="s">
        <v>37</v>
      </c>
      <c r="V523" s="9">
        <v>18.0</v>
      </c>
      <c r="W523" s="9" t="s">
        <v>1830</v>
      </c>
      <c r="X523" s="9" t="s">
        <v>1831</v>
      </c>
      <c r="Y523" s="9" t="s">
        <v>69</v>
      </c>
      <c r="Z523" s="9" t="s">
        <v>347</v>
      </c>
      <c r="AA523" s="9" t="s">
        <v>60</v>
      </c>
      <c r="AB523" s="9" t="s">
        <v>61</v>
      </c>
      <c r="AC523" s="9" t="s">
        <v>1832</v>
      </c>
      <c r="AD523" s="9">
        <v>8.0</v>
      </c>
      <c r="AE523" s="9">
        <v>3.0</v>
      </c>
      <c r="AF523" s="9">
        <v>2.0</v>
      </c>
      <c r="AG523" s="12">
        <v>3500.0</v>
      </c>
      <c r="AH523" s="13"/>
    </row>
    <row r="524">
      <c r="A524" s="14">
        <v>44403.864171863424</v>
      </c>
      <c r="B524" s="8">
        <f t="shared" si="1"/>
        <v>2021</v>
      </c>
      <c r="C524" s="8" t="s">
        <v>49</v>
      </c>
      <c r="D524" s="8">
        <v>29.0</v>
      </c>
      <c r="E524" s="8" t="s">
        <v>35</v>
      </c>
      <c r="F524" s="8" t="s">
        <v>36</v>
      </c>
      <c r="G524" s="8" t="s">
        <v>50</v>
      </c>
      <c r="H524" s="8" t="s">
        <v>570</v>
      </c>
      <c r="I524" s="8" t="s">
        <v>247</v>
      </c>
      <c r="J524" s="8" t="s">
        <v>742</v>
      </c>
      <c r="K524" s="9" t="s">
        <v>959</v>
      </c>
      <c r="L524" s="8" t="s">
        <v>40</v>
      </c>
      <c r="M524" s="8" t="s">
        <v>40</v>
      </c>
      <c r="N524" s="8" t="s">
        <v>40</v>
      </c>
      <c r="O524" s="15"/>
      <c r="P524" s="8" t="s">
        <v>1833</v>
      </c>
      <c r="Q524" s="8" t="s">
        <v>255</v>
      </c>
      <c r="R524" s="9" t="s">
        <v>42</v>
      </c>
      <c r="S524" s="16">
        <v>5500.0</v>
      </c>
      <c r="T524" s="17">
        <v>0.0</v>
      </c>
      <c r="U524" s="8">
        <v>0.0</v>
      </c>
      <c r="V524" s="8">
        <v>10.0</v>
      </c>
      <c r="W524" s="8" t="s">
        <v>1834</v>
      </c>
      <c r="X524" s="8" t="s">
        <v>1835</v>
      </c>
      <c r="Y524" s="8" t="s">
        <v>58</v>
      </c>
      <c r="Z524" s="8" t="s">
        <v>1343</v>
      </c>
      <c r="AA524" s="8" t="s">
        <v>132</v>
      </c>
      <c r="AB524" s="8" t="s">
        <v>61</v>
      </c>
      <c r="AC524" s="24" t="s">
        <v>1836</v>
      </c>
      <c r="AD524" s="8">
        <v>3.0</v>
      </c>
      <c r="AE524" s="8">
        <v>5.0</v>
      </c>
      <c r="AF524" s="8">
        <v>1.0</v>
      </c>
      <c r="AG524" s="18">
        <v>3500.0</v>
      </c>
      <c r="AH524" s="13"/>
      <c r="AI524" s="15"/>
      <c r="AJ524" s="15"/>
      <c r="AK524" s="15"/>
      <c r="AL524" s="15"/>
      <c r="AM524" s="15"/>
      <c r="AN524" s="15"/>
    </row>
    <row r="525">
      <c r="A525" s="7">
        <v>44403.960005243054</v>
      </c>
      <c r="B525" s="8">
        <f t="shared" si="1"/>
        <v>2021</v>
      </c>
      <c r="C525" s="9" t="s">
        <v>49</v>
      </c>
      <c r="D525" s="9">
        <v>38.0</v>
      </c>
      <c r="E525" s="9" t="s">
        <v>35</v>
      </c>
      <c r="F525" s="9" t="s">
        <v>36</v>
      </c>
      <c r="G525" s="9" t="s">
        <v>124</v>
      </c>
      <c r="H525" s="8" t="s">
        <v>37</v>
      </c>
      <c r="I525" s="9" t="s">
        <v>247</v>
      </c>
      <c r="L525" s="9" t="s">
        <v>39</v>
      </c>
      <c r="M525" s="9" t="s">
        <v>40</v>
      </c>
      <c r="N525" s="9" t="s">
        <v>40</v>
      </c>
      <c r="Q525" s="9" t="s">
        <v>182</v>
      </c>
      <c r="R525" s="9" t="s">
        <v>42</v>
      </c>
      <c r="S525" s="10">
        <v>18500.0</v>
      </c>
      <c r="T525" s="11">
        <v>0.0</v>
      </c>
      <c r="U525" s="9">
        <v>0.0</v>
      </c>
      <c r="V525" s="9">
        <v>10.0</v>
      </c>
      <c r="W525" s="9" t="s">
        <v>1837</v>
      </c>
      <c r="X525" s="9" t="s">
        <v>224</v>
      </c>
      <c r="Y525" s="9" t="s">
        <v>122</v>
      </c>
      <c r="Z525" s="9" t="s">
        <v>59</v>
      </c>
      <c r="AA525" s="9" t="s">
        <v>60</v>
      </c>
      <c r="AB525" s="9" t="s">
        <v>61</v>
      </c>
      <c r="AD525" s="9">
        <v>9.0</v>
      </c>
      <c r="AE525" s="9">
        <v>13.0</v>
      </c>
      <c r="AF525" s="9">
        <v>2.0</v>
      </c>
      <c r="AG525" s="12">
        <v>3500.0</v>
      </c>
      <c r="AH525" s="13"/>
    </row>
    <row r="526">
      <c r="A526" s="7">
        <v>44404.784698159725</v>
      </c>
      <c r="B526" s="8">
        <f t="shared" si="1"/>
        <v>2021</v>
      </c>
      <c r="C526" s="9" t="s">
        <v>49</v>
      </c>
      <c r="D526" s="9">
        <v>24.0</v>
      </c>
      <c r="E526" s="9" t="s">
        <v>35</v>
      </c>
      <c r="F526" s="9" t="s">
        <v>36</v>
      </c>
      <c r="G526" s="8" t="s">
        <v>164</v>
      </c>
      <c r="H526" s="9" t="s">
        <v>165</v>
      </c>
      <c r="I526" s="9" t="s">
        <v>247</v>
      </c>
      <c r="J526" s="9" t="s">
        <v>83</v>
      </c>
      <c r="K526" s="9" t="s">
        <v>959</v>
      </c>
      <c r="L526" s="9" t="s">
        <v>39</v>
      </c>
      <c r="M526" s="9" t="s">
        <v>40</v>
      </c>
      <c r="N526" s="9" t="s">
        <v>40</v>
      </c>
      <c r="Q526" s="9" t="s">
        <v>746</v>
      </c>
      <c r="R526" s="9" t="s">
        <v>42</v>
      </c>
      <c r="S526" s="10">
        <v>4200.0</v>
      </c>
      <c r="T526" s="11">
        <v>0.0</v>
      </c>
      <c r="U526" s="9">
        <v>0.0</v>
      </c>
      <c r="V526" s="9">
        <v>12.0</v>
      </c>
      <c r="W526" s="9" t="s">
        <v>1838</v>
      </c>
      <c r="X526" s="9" t="s">
        <v>1839</v>
      </c>
      <c r="Y526" s="9" t="s">
        <v>58</v>
      </c>
      <c r="Z526" s="9" t="s">
        <v>80</v>
      </c>
      <c r="AA526" s="9" t="s">
        <v>60</v>
      </c>
      <c r="AB526" s="9" t="s">
        <v>61</v>
      </c>
      <c r="AD526" s="9">
        <v>2.0</v>
      </c>
      <c r="AE526" s="9">
        <v>1.0</v>
      </c>
      <c r="AF526" s="9">
        <v>0.0</v>
      </c>
      <c r="AG526" s="12">
        <v>3500.0</v>
      </c>
      <c r="AH526" s="13"/>
    </row>
    <row r="527">
      <c r="A527" s="7">
        <v>44404.83381040509</v>
      </c>
      <c r="B527" s="8">
        <f t="shared" si="1"/>
        <v>2021</v>
      </c>
      <c r="C527" s="9" t="s">
        <v>49</v>
      </c>
      <c r="D527" s="9">
        <v>24.0</v>
      </c>
      <c r="E527" s="9" t="s">
        <v>35</v>
      </c>
      <c r="F527" s="9" t="s">
        <v>36</v>
      </c>
      <c r="G527" s="8" t="s">
        <v>124</v>
      </c>
      <c r="H527" s="9" t="s">
        <v>296</v>
      </c>
      <c r="I527" s="9" t="s">
        <v>38</v>
      </c>
      <c r="J527" s="9" t="s">
        <v>75</v>
      </c>
      <c r="K527" s="9" t="s">
        <v>166</v>
      </c>
      <c r="L527" s="9" t="s">
        <v>39</v>
      </c>
      <c r="M527" s="9" t="s">
        <v>40</v>
      </c>
      <c r="N527" s="9" t="s">
        <v>40</v>
      </c>
      <c r="Q527" s="9" t="s">
        <v>146</v>
      </c>
      <c r="R527" s="9" t="s">
        <v>42</v>
      </c>
      <c r="S527" s="10">
        <v>5200.0</v>
      </c>
      <c r="T527" s="11">
        <v>0.0</v>
      </c>
      <c r="U527" s="9">
        <v>0.0</v>
      </c>
      <c r="V527" s="9">
        <v>12.0</v>
      </c>
      <c r="W527" s="9" t="s">
        <v>1840</v>
      </c>
      <c r="X527" s="9" t="s">
        <v>457</v>
      </c>
      <c r="Y527" s="9" t="s">
        <v>58</v>
      </c>
      <c r="Z527" s="9" t="s">
        <v>185</v>
      </c>
      <c r="AA527" s="9" t="s">
        <v>71</v>
      </c>
      <c r="AB527" s="9" t="s">
        <v>61</v>
      </c>
      <c r="AD527" s="9">
        <v>8.0</v>
      </c>
      <c r="AE527" s="9">
        <v>2.0</v>
      </c>
      <c r="AF527" s="9">
        <v>3.0</v>
      </c>
      <c r="AG527" s="12">
        <v>3500.0</v>
      </c>
      <c r="AH527" s="13"/>
    </row>
    <row r="528">
      <c r="A528" s="7">
        <v>44403.90919074074</v>
      </c>
      <c r="B528" s="8">
        <f t="shared" si="1"/>
        <v>2021</v>
      </c>
      <c r="C528" s="9" t="s">
        <v>49</v>
      </c>
      <c r="D528" s="9">
        <v>26.0</v>
      </c>
      <c r="E528" s="9" t="s">
        <v>35</v>
      </c>
      <c r="F528" s="9" t="s">
        <v>36</v>
      </c>
      <c r="G528" s="8" t="s">
        <v>50</v>
      </c>
      <c r="H528" s="9" t="s">
        <v>106</v>
      </c>
      <c r="I528" s="9" t="s">
        <v>38</v>
      </c>
      <c r="J528" s="9" t="s">
        <v>828</v>
      </c>
      <c r="K528" s="9" t="s">
        <v>84</v>
      </c>
      <c r="L528" s="9" t="s">
        <v>40</v>
      </c>
      <c r="M528" s="9" t="s">
        <v>40</v>
      </c>
      <c r="N528" s="9" t="s">
        <v>40</v>
      </c>
      <c r="Q528" s="9" t="s">
        <v>54</v>
      </c>
      <c r="R528" s="9" t="s">
        <v>42</v>
      </c>
      <c r="S528" s="10">
        <v>8500.0</v>
      </c>
      <c r="T528" s="11">
        <v>0.0</v>
      </c>
      <c r="U528" s="9">
        <v>0.0</v>
      </c>
      <c r="V528" s="9">
        <v>12.0</v>
      </c>
      <c r="W528" s="9" t="s">
        <v>1841</v>
      </c>
      <c r="X528" s="9" t="s">
        <v>1842</v>
      </c>
      <c r="Y528" s="9" t="s">
        <v>1843</v>
      </c>
      <c r="Z528" s="9" t="s">
        <v>347</v>
      </c>
      <c r="AA528" s="9" t="s">
        <v>71</v>
      </c>
      <c r="AB528" s="9" t="s">
        <v>91</v>
      </c>
      <c r="AD528" s="9">
        <v>9.0</v>
      </c>
      <c r="AE528" s="9">
        <v>3.0</v>
      </c>
      <c r="AF528" s="9">
        <v>3.0</v>
      </c>
      <c r="AG528" s="12">
        <v>3500.0</v>
      </c>
      <c r="AH528" s="13"/>
    </row>
    <row r="529">
      <c r="A529" s="14">
        <v>44403.87910337963</v>
      </c>
      <c r="B529" s="8">
        <f t="shared" si="1"/>
        <v>2021</v>
      </c>
      <c r="C529" s="8" t="s">
        <v>49</v>
      </c>
      <c r="D529" s="8">
        <v>24.0</v>
      </c>
      <c r="E529" s="8" t="s">
        <v>35</v>
      </c>
      <c r="F529" s="8" t="s">
        <v>36</v>
      </c>
      <c r="G529" s="8" t="s">
        <v>74</v>
      </c>
      <c r="H529" s="8" t="s">
        <v>527</v>
      </c>
      <c r="I529" s="8" t="s">
        <v>38</v>
      </c>
      <c r="J529" s="9" t="s">
        <v>75</v>
      </c>
      <c r="K529" s="8" t="s">
        <v>944</v>
      </c>
      <c r="L529" s="8" t="s">
        <v>39</v>
      </c>
      <c r="M529" s="8" t="s">
        <v>40</v>
      </c>
      <c r="N529" s="8" t="s">
        <v>40</v>
      </c>
      <c r="O529" s="15"/>
      <c r="P529" s="15"/>
      <c r="Q529" s="8" t="s">
        <v>746</v>
      </c>
      <c r="R529" s="9" t="s">
        <v>42</v>
      </c>
      <c r="S529" s="16">
        <v>4750.0</v>
      </c>
      <c r="T529" s="17">
        <v>7125.0</v>
      </c>
      <c r="U529" s="8">
        <v>0.0</v>
      </c>
      <c r="V529" s="8">
        <v>12.0</v>
      </c>
      <c r="W529" s="8" t="s">
        <v>1844</v>
      </c>
      <c r="X529" s="8" t="s">
        <v>1845</v>
      </c>
      <c r="Y529" s="8" t="s">
        <v>79</v>
      </c>
      <c r="Z529" s="8" t="s">
        <v>155</v>
      </c>
      <c r="AA529" s="8" t="s">
        <v>132</v>
      </c>
      <c r="AB529" s="8" t="s">
        <v>61</v>
      </c>
      <c r="AC529" s="15"/>
      <c r="AD529" s="8">
        <v>7.0</v>
      </c>
      <c r="AE529" s="8">
        <v>2.0</v>
      </c>
      <c r="AF529" s="8">
        <v>1.0</v>
      </c>
      <c r="AG529" s="18">
        <v>3500.0</v>
      </c>
      <c r="AH529" s="13"/>
      <c r="AI529" s="15"/>
      <c r="AJ529" s="15"/>
      <c r="AK529" s="15"/>
      <c r="AL529" s="15"/>
      <c r="AM529" s="15"/>
      <c r="AN529" s="15"/>
    </row>
    <row r="530">
      <c r="A530" s="7">
        <v>44403.93925563658</v>
      </c>
      <c r="B530" s="8">
        <f t="shared" si="1"/>
        <v>2021</v>
      </c>
      <c r="C530" s="9" t="s">
        <v>49</v>
      </c>
      <c r="D530" s="9">
        <v>23.0</v>
      </c>
      <c r="E530" s="9" t="s">
        <v>35</v>
      </c>
      <c r="F530" s="9" t="s">
        <v>36</v>
      </c>
      <c r="G530" s="8" t="s">
        <v>50</v>
      </c>
      <c r="H530" s="9" t="s">
        <v>565</v>
      </c>
      <c r="I530" s="9" t="s">
        <v>38</v>
      </c>
      <c r="J530" s="9" t="s">
        <v>160</v>
      </c>
      <c r="K530" s="9" t="s">
        <v>84</v>
      </c>
      <c r="L530" s="9" t="s">
        <v>39</v>
      </c>
      <c r="M530" s="9" t="s">
        <v>40</v>
      </c>
      <c r="N530" s="9" t="s">
        <v>40</v>
      </c>
      <c r="Q530" s="9" t="s">
        <v>128</v>
      </c>
      <c r="R530" s="9" t="s">
        <v>42</v>
      </c>
      <c r="S530" s="10">
        <v>5500.0</v>
      </c>
      <c r="T530" s="11">
        <v>8000.0</v>
      </c>
      <c r="U530" s="9">
        <v>0.0</v>
      </c>
      <c r="V530" s="9">
        <v>12.0</v>
      </c>
      <c r="W530" s="9" t="s">
        <v>1846</v>
      </c>
      <c r="X530" s="9" t="s">
        <v>1847</v>
      </c>
      <c r="Y530" s="9" t="s">
        <v>58</v>
      </c>
      <c r="Z530" s="9" t="s">
        <v>70</v>
      </c>
      <c r="AA530" s="9" t="s">
        <v>132</v>
      </c>
      <c r="AB530" s="9" t="s">
        <v>91</v>
      </c>
      <c r="AD530" s="9">
        <v>9.0</v>
      </c>
      <c r="AE530" s="9" t="s">
        <v>1255</v>
      </c>
      <c r="AF530" s="9">
        <v>0.0</v>
      </c>
      <c r="AG530" s="12">
        <v>3500.0</v>
      </c>
      <c r="AH530" s="13"/>
    </row>
    <row r="531">
      <c r="A531" s="14">
        <v>44403.85178104167</v>
      </c>
      <c r="B531" s="8">
        <f t="shared" si="1"/>
        <v>2021</v>
      </c>
      <c r="C531" s="8" t="s">
        <v>49</v>
      </c>
      <c r="D531" s="8">
        <v>25.0</v>
      </c>
      <c r="E531" s="8" t="s">
        <v>35</v>
      </c>
      <c r="F531" s="8" t="s">
        <v>36</v>
      </c>
      <c r="G531" s="8" t="s">
        <v>124</v>
      </c>
      <c r="H531" s="8" t="s">
        <v>539</v>
      </c>
      <c r="I531" s="8" t="s">
        <v>38</v>
      </c>
      <c r="J531" s="9" t="s">
        <v>160</v>
      </c>
      <c r="K531" s="8" t="s">
        <v>915</v>
      </c>
      <c r="L531" s="8" t="s">
        <v>39</v>
      </c>
      <c r="M531" s="8" t="s">
        <v>40</v>
      </c>
      <c r="N531" s="8" t="s">
        <v>40</v>
      </c>
      <c r="O531" s="15"/>
      <c r="P531" s="15"/>
      <c r="Q531" s="8" t="s">
        <v>146</v>
      </c>
      <c r="R531" s="9" t="s">
        <v>42</v>
      </c>
      <c r="S531" s="16">
        <v>5700.0</v>
      </c>
      <c r="T531" s="17">
        <v>0.0</v>
      </c>
      <c r="U531" s="8">
        <v>0.0</v>
      </c>
      <c r="V531" s="8">
        <v>13.0</v>
      </c>
      <c r="W531" s="8" t="s">
        <v>1848</v>
      </c>
      <c r="X531" s="8" t="s">
        <v>1849</v>
      </c>
      <c r="Y531" s="8" t="s">
        <v>122</v>
      </c>
      <c r="Z531" s="8" t="s">
        <v>59</v>
      </c>
      <c r="AA531" s="8" t="s">
        <v>132</v>
      </c>
      <c r="AB531" s="8" t="s">
        <v>91</v>
      </c>
      <c r="AC531" s="15"/>
      <c r="AD531" s="8">
        <v>5.0</v>
      </c>
      <c r="AE531" s="8">
        <v>2.8</v>
      </c>
      <c r="AF531" s="8">
        <v>1.0</v>
      </c>
      <c r="AG531" s="18">
        <v>3500.0</v>
      </c>
      <c r="AH531" s="13"/>
      <c r="AI531" s="15"/>
      <c r="AJ531" s="15"/>
      <c r="AK531" s="15"/>
      <c r="AL531" s="15"/>
      <c r="AM531" s="15"/>
      <c r="AN531" s="15"/>
    </row>
    <row r="532">
      <c r="A532" s="7">
        <v>44404.05732788194</v>
      </c>
      <c r="B532" s="8">
        <f t="shared" si="1"/>
        <v>2021</v>
      </c>
      <c r="C532" s="9" t="s">
        <v>49</v>
      </c>
      <c r="D532" s="9">
        <v>23.0</v>
      </c>
      <c r="E532" s="9" t="s">
        <v>35</v>
      </c>
      <c r="F532" s="9" t="s">
        <v>36</v>
      </c>
      <c r="G532" s="8" t="s">
        <v>124</v>
      </c>
      <c r="H532" s="9" t="s">
        <v>606</v>
      </c>
      <c r="I532" s="9" t="s">
        <v>38</v>
      </c>
      <c r="J532" s="9" t="s">
        <v>75</v>
      </c>
      <c r="K532" s="9" t="s">
        <v>84</v>
      </c>
      <c r="L532" s="9" t="s">
        <v>39</v>
      </c>
      <c r="M532" s="9" t="s">
        <v>40</v>
      </c>
      <c r="N532" s="9" t="s">
        <v>40</v>
      </c>
      <c r="Q532" s="8" t="s">
        <v>293</v>
      </c>
      <c r="R532" s="9" t="s">
        <v>42</v>
      </c>
      <c r="S532" s="10">
        <v>5000.0</v>
      </c>
      <c r="T532" s="11">
        <v>5000.0</v>
      </c>
      <c r="U532" s="9">
        <v>0.0</v>
      </c>
      <c r="V532" s="9">
        <v>13.0</v>
      </c>
      <c r="W532" s="9" t="s">
        <v>1850</v>
      </c>
      <c r="X532" s="9" t="s">
        <v>87</v>
      </c>
      <c r="Y532" s="9" t="s">
        <v>122</v>
      </c>
      <c r="Z532" s="9" t="s">
        <v>59</v>
      </c>
      <c r="AA532" s="9" t="s">
        <v>60</v>
      </c>
      <c r="AB532" s="9" t="s">
        <v>61</v>
      </c>
      <c r="AD532" s="9">
        <v>8.0</v>
      </c>
      <c r="AE532" s="9">
        <v>1.0</v>
      </c>
      <c r="AF532" s="9">
        <v>2.0</v>
      </c>
      <c r="AG532" s="12">
        <v>3500.0</v>
      </c>
      <c r="AH532" s="13"/>
    </row>
    <row r="533">
      <c r="A533" s="7">
        <v>44404.52802373843</v>
      </c>
      <c r="B533" s="8">
        <f t="shared" si="1"/>
        <v>2021</v>
      </c>
      <c r="C533" s="9" t="s">
        <v>49</v>
      </c>
      <c r="D533" s="9">
        <v>22.0</v>
      </c>
      <c r="E533" s="9" t="s">
        <v>35</v>
      </c>
      <c r="F533" s="9" t="s">
        <v>36</v>
      </c>
      <c r="G533" s="8" t="s">
        <v>50</v>
      </c>
      <c r="H533" s="9" t="s">
        <v>117</v>
      </c>
      <c r="I533" s="9" t="s">
        <v>38</v>
      </c>
      <c r="J533" s="9" t="s">
        <v>75</v>
      </c>
      <c r="K533" s="9" t="s">
        <v>161</v>
      </c>
      <c r="L533" s="9" t="s">
        <v>39</v>
      </c>
      <c r="M533" s="9" t="s">
        <v>40</v>
      </c>
      <c r="N533" s="9" t="s">
        <v>40</v>
      </c>
      <c r="Q533" s="9" t="s">
        <v>1851</v>
      </c>
      <c r="R533" s="9" t="s">
        <v>42</v>
      </c>
      <c r="S533" s="10">
        <v>3500.0</v>
      </c>
      <c r="T533" s="11">
        <v>0.0</v>
      </c>
      <c r="U533" s="9">
        <v>0.0</v>
      </c>
      <c r="V533" s="9">
        <v>14.0</v>
      </c>
      <c r="W533" s="9" t="s">
        <v>1852</v>
      </c>
      <c r="X533" s="9" t="s">
        <v>1853</v>
      </c>
      <c r="Y533" s="9" t="s">
        <v>106</v>
      </c>
      <c r="Z533" s="9" t="s">
        <v>1238</v>
      </c>
      <c r="AA533" s="9" t="s">
        <v>60</v>
      </c>
      <c r="AB533" s="9" t="s">
        <v>61</v>
      </c>
      <c r="AD533" s="9">
        <v>9.0</v>
      </c>
      <c r="AE533" s="9">
        <v>1.0</v>
      </c>
      <c r="AF533" s="9">
        <v>1.0</v>
      </c>
      <c r="AG533" s="12">
        <v>3500.0</v>
      </c>
      <c r="AH533" s="13"/>
    </row>
    <row r="534">
      <c r="A534" s="14">
        <v>44403.85088686342</v>
      </c>
      <c r="B534" s="8">
        <f t="shared" si="1"/>
        <v>2021</v>
      </c>
      <c r="C534" s="8" t="s">
        <v>49</v>
      </c>
      <c r="D534" s="8">
        <v>22.0</v>
      </c>
      <c r="E534" s="8" t="s">
        <v>35</v>
      </c>
      <c r="F534" s="8" t="s">
        <v>36</v>
      </c>
      <c r="G534" s="8" t="s">
        <v>50</v>
      </c>
      <c r="H534" s="8" t="s">
        <v>106</v>
      </c>
      <c r="I534" s="8" t="s">
        <v>38</v>
      </c>
      <c r="J534" s="8" t="s">
        <v>75</v>
      </c>
      <c r="K534" s="9" t="s">
        <v>221</v>
      </c>
      <c r="L534" s="8" t="s">
        <v>39</v>
      </c>
      <c r="M534" s="8" t="s">
        <v>40</v>
      </c>
      <c r="N534" s="8" t="s">
        <v>40</v>
      </c>
      <c r="O534" s="15"/>
      <c r="P534" s="15"/>
      <c r="Q534" s="9" t="s">
        <v>548</v>
      </c>
      <c r="R534" s="9" t="s">
        <v>42</v>
      </c>
      <c r="S534" s="16">
        <v>3500.0</v>
      </c>
      <c r="T534" s="17">
        <v>0.0</v>
      </c>
      <c r="U534" s="8">
        <v>0.0</v>
      </c>
      <c r="V534" s="8">
        <v>14.0</v>
      </c>
      <c r="W534" s="8" t="s">
        <v>1854</v>
      </c>
      <c r="X534" s="8" t="s">
        <v>1855</v>
      </c>
      <c r="Y534" s="8" t="s">
        <v>678</v>
      </c>
      <c r="Z534" s="8" t="s">
        <v>651</v>
      </c>
      <c r="AA534" s="8" t="s">
        <v>71</v>
      </c>
      <c r="AB534" s="8" t="s">
        <v>91</v>
      </c>
      <c r="AC534" s="15"/>
      <c r="AD534" s="8">
        <v>10.0</v>
      </c>
      <c r="AE534" s="8">
        <v>1.0</v>
      </c>
      <c r="AF534" s="8">
        <v>0.0</v>
      </c>
      <c r="AG534" s="18">
        <v>3500.0</v>
      </c>
      <c r="AH534" s="13"/>
      <c r="AI534" s="15"/>
      <c r="AJ534" s="15"/>
      <c r="AK534" s="15"/>
      <c r="AL534" s="15"/>
      <c r="AM534" s="15"/>
      <c r="AN534" s="15"/>
    </row>
    <row r="535">
      <c r="A535" s="7">
        <v>44404.01344519676</v>
      </c>
      <c r="B535" s="8">
        <f t="shared" si="1"/>
        <v>2021</v>
      </c>
      <c r="C535" s="9" t="s">
        <v>49</v>
      </c>
      <c r="D535" s="9">
        <v>27.0</v>
      </c>
      <c r="E535" s="9" t="s">
        <v>35</v>
      </c>
      <c r="F535" s="9" t="s">
        <v>36</v>
      </c>
      <c r="G535" s="8" t="s">
        <v>50</v>
      </c>
      <c r="H535" s="8" t="s">
        <v>82</v>
      </c>
      <c r="I535" s="9" t="s">
        <v>38</v>
      </c>
      <c r="J535" s="9" t="s">
        <v>1856</v>
      </c>
      <c r="K535" s="9" t="s">
        <v>166</v>
      </c>
      <c r="L535" s="9" t="s">
        <v>40</v>
      </c>
      <c r="M535" s="9" t="s">
        <v>40</v>
      </c>
      <c r="N535" s="9" t="s">
        <v>40</v>
      </c>
      <c r="Q535" s="8" t="s">
        <v>255</v>
      </c>
      <c r="R535" s="9" t="s">
        <v>42</v>
      </c>
      <c r="S535" s="10">
        <v>4000.0</v>
      </c>
      <c r="T535" s="11">
        <v>0.0</v>
      </c>
      <c r="U535" s="9">
        <v>0.0</v>
      </c>
      <c r="V535" s="9">
        <v>14.0</v>
      </c>
      <c r="W535" s="9" t="s">
        <v>320</v>
      </c>
      <c r="X535" s="9" t="s">
        <v>1857</v>
      </c>
      <c r="Y535" s="9" t="s">
        <v>1858</v>
      </c>
      <c r="Z535" s="9" t="s">
        <v>89</v>
      </c>
      <c r="AA535" s="9" t="s">
        <v>71</v>
      </c>
      <c r="AB535" s="9" t="s">
        <v>61</v>
      </c>
      <c r="AD535" s="9">
        <v>7.0</v>
      </c>
      <c r="AE535" s="9">
        <v>2.0</v>
      </c>
      <c r="AF535" s="9">
        <v>1.0</v>
      </c>
      <c r="AG535" s="12">
        <v>3500.0</v>
      </c>
      <c r="AH535" s="13"/>
    </row>
    <row r="536">
      <c r="A536" s="14">
        <v>44403.87982177083</v>
      </c>
      <c r="B536" s="8">
        <f t="shared" si="1"/>
        <v>2021</v>
      </c>
      <c r="C536" s="8" t="s">
        <v>49</v>
      </c>
      <c r="D536" s="8">
        <v>25.0</v>
      </c>
      <c r="E536" s="8" t="s">
        <v>35</v>
      </c>
      <c r="F536" s="8" t="s">
        <v>36</v>
      </c>
      <c r="G536" s="8" t="s">
        <v>172</v>
      </c>
      <c r="H536" s="8" t="s">
        <v>173</v>
      </c>
      <c r="I536" s="8" t="s">
        <v>38</v>
      </c>
      <c r="J536" s="9" t="s">
        <v>160</v>
      </c>
      <c r="K536" s="9" t="s">
        <v>229</v>
      </c>
      <c r="L536" s="8" t="s">
        <v>39</v>
      </c>
      <c r="M536" s="8" t="s">
        <v>40</v>
      </c>
      <c r="N536" s="8" t="s">
        <v>40</v>
      </c>
      <c r="O536" s="15"/>
      <c r="P536" s="15"/>
      <c r="Q536" s="8" t="s">
        <v>128</v>
      </c>
      <c r="R536" s="9" t="s">
        <v>42</v>
      </c>
      <c r="S536" s="16">
        <v>4100.0</v>
      </c>
      <c r="T536" s="17">
        <v>0.0</v>
      </c>
      <c r="U536" s="8">
        <v>0.0</v>
      </c>
      <c r="V536" s="8">
        <v>14.0</v>
      </c>
      <c r="W536" s="8" t="s">
        <v>989</v>
      </c>
      <c r="X536" s="8" t="s">
        <v>1859</v>
      </c>
      <c r="Y536" s="8" t="s">
        <v>124</v>
      </c>
      <c r="Z536" s="8" t="s">
        <v>159</v>
      </c>
      <c r="AA536" s="8" t="s">
        <v>60</v>
      </c>
      <c r="AB536" s="8" t="s">
        <v>91</v>
      </c>
      <c r="AC536" s="15"/>
      <c r="AD536" s="8">
        <v>8.0</v>
      </c>
      <c r="AE536" s="8">
        <v>1.25</v>
      </c>
      <c r="AF536" s="8">
        <v>0.0</v>
      </c>
      <c r="AG536" s="18">
        <v>3500.0</v>
      </c>
      <c r="AH536" s="13"/>
      <c r="AI536" s="15"/>
      <c r="AJ536" s="15"/>
      <c r="AK536" s="15"/>
      <c r="AL536" s="15"/>
      <c r="AM536" s="15"/>
      <c r="AN536" s="15"/>
    </row>
    <row r="537">
      <c r="A537" s="14">
        <v>44403.88730135417</v>
      </c>
      <c r="B537" s="8">
        <f t="shared" si="1"/>
        <v>2021</v>
      </c>
      <c r="C537" s="8" t="s">
        <v>73</v>
      </c>
      <c r="D537" s="8">
        <v>28.0</v>
      </c>
      <c r="E537" s="8" t="s">
        <v>35</v>
      </c>
      <c r="F537" s="8" t="s">
        <v>36</v>
      </c>
      <c r="G537" s="8" t="s">
        <v>124</v>
      </c>
      <c r="H537" s="8" t="s">
        <v>125</v>
      </c>
      <c r="I537" s="8" t="s">
        <v>247</v>
      </c>
      <c r="K537" s="15"/>
      <c r="L537" s="8" t="s">
        <v>40</v>
      </c>
      <c r="M537" s="8" t="s">
        <v>40</v>
      </c>
      <c r="N537" s="8" t="s">
        <v>40</v>
      </c>
      <c r="O537" s="15"/>
      <c r="P537" s="15"/>
      <c r="Q537" s="8" t="s">
        <v>977</v>
      </c>
      <c r="R537" s="9" t="s">
        <v>42</v>
      </c>
      <c r="S537" s="16">
        <v>4750.0</v>
      </c>
      <c r="T537" s="17">
        <v>4750.0</v>
      </c>
      <c r="U537" s="8">
        <v>0.0</v>
      </c>
      <c r="V537" s="8">
        <v>14.0</v>
      </c>
      <c r="W537" s="8" t="s">
        <v>1860</v>
      </c>
      <c r="X537" s="8" t="s">
        <v>1641</v>
      </c>
      <c r="Y537" s="8" t="s">
        <v>122</v>
      </c>
      <c r="Z537" s="8" t="s">
        <v>59</v>
      </c>
      <c r="AA537" s="8" t="s">
        <v>71</v>
      </c>
      <c r="AB537" s="8" t="s">
        <v>61</v>
      </c>
      <c r="AC537" s="15"/>
      <c r="AD537" s="8">
        <v>5.0</v>
      </c>
      <c r="AE537" s="8">
        <v>2.5</v>
      </c>
      <c r="AF537" s="8">
        <v>0.0</v>
      </c>
      <c r="AG537" s="18">
        <v>3500.0</v>
      </c>
      <c r="AH537" s="13"/>
      <c r="AI537" s="15"/>
      <c r="AJ537" s="15"/>
      <c r="AK537" s="15"/>
      <c r="AL537" s="15"/>
      <c r="AM537" s="15"/>
      <c r="AN537" s="15"/>
    </row>
    <row r="538">
      <c r="A538" s="7">
        <v>44403.89825288195</v>
      </c>
      <c r="B538" s="8">
        <f t="shared" si="1"/>
        <v>2021</v>
      </c>
      <c r="C538" s="9" t="s">
        <v>49</v>
      </c>
      <c r="D538" s="9">
        <v>26.0</v>
      </c>
      <c r="E538" s="9" t="s">
        <v>35</v>
      </c>
      <c r="F538" s="9" t="s">
        <v>36</v>
      </c>
      <c r="G538" s="8" t="s">
        <v>63</v>
      </c>
      <c r="H538" s="9" t="s">
        <v>301</v>
      </c>
      <c r="I538" s="9" t="s">
        <v>38</v>
      </c>
      <c r="L538" s="9" t="s">
        <v>40</v>
      </c>
      <c r="M538" s="9" t="s">
        <v>40</v>
      </c>
      <c r="N538" s="9" t="s">
        <v>40</v>
      </c>
      <c r="Q538" s="8" t="s">
        <v>255</v>
      </c>
      <c r="R538" s="9" t="s">
        <v>42</v>
      </c>
      <c r="S538" s="10">
        <v>6000.0</v>
      </c>
      <c r="T538" s="11" t="s">
        <v>37</v>
      </c>
      <c r="U538" s="9">
        <v>0.0</v>
      </c>
      <c r="V538" s="9">
        <v>14.0</v>
      </c>
      <c r="W538" s="9" t="s">
        <v>1861</v>
      </c>
      <c r="X538" s="9" t="s">
        <v>1862</v>
      </c>
      <c r="Y538" s="9" t="s">
        <v>36</v>
      </c>
      <c r="Z538" s="9" t="s">
        <v>159</v>
      </c>
      <c r="AA538" s="9" t="s">
        <v>71</v>
      </c>
      <c r="AB538" s="9" t="s">
        <v>61</v>
      </c>
      <c r="AD538" s="9">
        <v>6.0</v>
      </c>
      <c r="AE538" s="9">
        <v>2.0</v>
      </c>
      <c r="AF538" s="9">
        <v>0.0</v>
      </c>
      <c r="AG538" s="12">
        <v>3500.0</v>
      </c>
      <c r="AH538" s="13"/>
    </row>
    <row r="539">
      <c r="A539" s="7">
        <v>44404.473053622685</v>
      </c>
      <c r="B539" s="8">
        <f t="shared" si="1"/>
        <v>2021</v>
      </c>
      <c r="C539" s="9" t="s">
        <v>49</v>
      </c>
      <c r="D539" s="9">
        <v>38.0</v>
      </c>
      <c r="E539" s="9" t="s">
        <v>35</v>
      </c>
      <c r="F539" s="9" t="s">
        <v>36</v>
      </c>
      <c r="G539" s="8" t="s">
        <v>50</v>
      </c>
      <c r="H539" s="8" t="s">
        <v>493</v>
      </c>
      <c r="I539" s="9" t="s">
        <v>38</v>
      </c>
      <c r="J539" s="9" t="s">
        <v>75</v>
      </c>
      <c r="K539" s="9" t="s">
        <v>66</v>
      </c>
      <c r="L539" s="9" t="s">
        <v>39</v>
      </c>
      <c r="M539" s="9" t="s">
        <v>40</v>
      </c>
      <c r="N539" s="9" t="s">
        <v>40</v>
      </c>
      <c r="Q539" s="8" t="s">
        <v>119</v>
      </c>
      <c r="R539" s="9" t="s">
        <v>42</v>
      </c>
      <c r="S539" s="10">
        <v>8000.0</v>
      </c>
      <c r="T539" s="11">
        <v>0.0</v>
      </c>
      <c r="U539" s="9">
        <v>20000.0</v>
      </c>
      <c r="V539" s="9">
        <v>14.0</v>
      </c>
      <c r="W539" s="9" t="s">
        <v>96</v>
      </c>
      <c r="X539" s="9" t="s">
        <v>712</v>
      </c>
      <c r="Y539" s="9" t="s">
        <v>349</v>
      </c>
      <c r="Z539" s="9" t="s">
        <v>70</v>
      </c>
      <c r="AA539" s="9" t="s">
        <v>71</v>
      </c>
      <c r="AB539" s="9" t="s">
        <v>61</v>
      </c>
      <c r="AD539" s="9">
        <v>8.0</v>
      </c>
      <c r="AE539" s="9">
        <v>5.0</v>
      </c>
      <c r="AF539" s="9">
        <v>3.0</v>
      </c>
      <c r="AG539" s="12">
        <v>3500.0</v>
      </c>
      <c r="AH539" s="13"/>
    </row>
    <row r="540">
      <c r="A540" s="7">
        <v>44403.939188668985</v>
      </c>
      <c r="B540" s="8">
        <f t="shared" si="1"/>
        <v>2021</v>
      </c>
      <c r="C540" s="9" t="s">
        <v>49</v>
      </c>
      <c r="D540" s="9">
        <v>25.0</v>
      </c>
      <c r="E540" s="9" t="s">
        <v>35</v>
      </c>
      <c r="F540" s="9" t="s">
        <v>36</v>
      </c>
      <c r="G540" s="8" t="s">
        <v>124</v>
      </c>
      <c r="H540" s="9" t="s">
        <v>156</v>
      </c>
      <c r="I540" s="9" t="s">
        <v>38</v>
      </c>
      <c r="J540" s="9" t="s">
        <v>75</v>
      </c>
      <c r="K540" s="9" t="s">
        <v>66</v>
      </c>
      <c r="L540" s="9" t="s">
        <v>39</v>
      </c>
      <c r="M540" s="9" t="s">
        <v>40</v>
      </c>
      <c r="N540" s="9" t="s">
        <v>40</v>
      </c>
      <c r="Q540" s="9" t="s">
        <v>128</v>
      </c>
      <c r="R540" s="9" t="s">
        <v>42</v>
      </c>
      <c r="S540" s="10">
        <v>3000.0</v>
      </c>
      <c r="T540" s="11">
        <v>1700.0</v>
      </c>
      <c r="V540" s="9">
        <v>14.0</v>
      </c>
      <c r="W540" s="9" t="s">
        <v>1863</v>
      </c>
      <c r="X540" s="9" t="s">
        <v>170</v>
      </c>
      <c r="Y540" s="9" t="s">
        <v>124</v>
      </c>
      <c r="Z540" s="9" t="s">
        <v>347</v>
      </c>
      <c r="AA540" s="9" t="s">
        <v>71</v>
      </c>
      <c r="AB540" s="9" t="s">
        <v>91</v>
      </c>
      <c r="AC540" s="9" t="s">
        <v>1864</v>
      </c>
      <c r="AD540" s="9">
        <v>6.0</v>
      </c>
      <c r="AE540" s="9">
        <v>1.0</v>
      </c>
      <c r="AF540" s="9">
        <v>0.0</v>
      </c>
      <c r="AG540" s="12">
        <v>3500.0</v>
      </c>
      <c r="AH540" s="13"/>
    </row>
    <row r="541">
      <c r="A541" s="7">
        <v>44403.93066920139</v>
      </c>
      <c r="B541" s="8">
        <f t="shared" si="1"/>
        <v>2021</v>
      </c>
      <c r="C541" s="9" t="s">
        <v>49</v>
      </c>
      <c r="D541" s="9">
        <v>24.0</v>
      </c>
      <c r="E541" s="9" t="s">
        <v>35</v>
      </c>
      <c r="F541" s="9" t="s">
        <v>36</v>
      </c>
      <c r="G541" s="8" t="s">
        <v>74</v>
      </c>
      <c r="H541" s="8" t="s">
        <v>482</v>
      </c>
      <c r="I541" s="9" t="s">
        <v>38</v>
      </c>
      <c r="J541" s="9" t="s">
        <v>160</v>
      </c>
      <c r="K541" s="9" t="s">
        <v>337</v>
      </c>
      <c r="L541" s="9" t="s">
        <v>39</v>
      </c>
      <c r="M541" s="9" t="s">
        <v>40</v>
      </c>
      <c r="N541" s="9" t="s">
        <v>40</v>
      </c>
      <c r="Q541" s="9" t="s">
        <v>146</v>
      </c>
      <c r="R541" s="9" t="s">
        <v>42</v>
      </c>
      <c r="S541" s="10">
        <v>3600.0</v>
      </c>
      <c r="T541" s="11">
        <v>5000.0</v>
      </c>
      <c r="V541" s="9">
        <v>14.0</v>
      </c>
      <c r="W541" s="9" t="s">
        <v>1865</v>
      </c>
      <c r="X541" s="9" t="s">
        <v>1866</v>
      </c>
      <c r="Y541" s="9" t="s">
        <v>79</v>
      </c>
      <c r="Z541" s="9" t="s">
        <v>80</v>
      </c>
      <c r="AA541" s="9" t="s">
        <v>90</v>
      </c>
      <c r="AB541" s="9" t="s">
        <v>61</v>
      </c>
      <c r="AD541" s="9">
        <v>8.0</v>
      </c>
      <c r="AE541" s="9">
        <v>1.0</v>
      </c>
      <c r="AF541" s="9">
        <v>0.0</v>
      </c>
      <c r="AG541" s="12">
        <v>3500.0</v>
      </c>
      <c r="AH541" s="13"/>
    </row>
    <row r="542">
      <c r="A542" s="14">
        <v>44403.84800278935</v>
      </c>
      <c r="B542" s="8">
        <f t="shared" si="1"/>
        <v>2021</v>
      </c>
      <c r="C542" s="8" t="s">
        <v>49</v>
      </c>
      <c r="D542" s="8">
        <v>28.0</v>
      </c>
      <c r="E542" s="8" t="s">
        <v>35</v>
      </c>
      <c r="F542" s="8" t="s">
        <v>36</v>
      </c>
      <c r="G542" s="8" t="s">
        <v>124</v>
      </c>
      <c r="H542" s="8" t="s">
        <v>298</v>
      </c>
      <c r="I542" s="8" t="s">
        <v>38</v>
      </c>
      <c r="J542" s="9" t="s">
        <v>75</v>
      </c>
      <c r="K542" s="9" t="s">
        <v>84</v>
      </c>
      <c r="L542" s="8" t="s">
        <v>39</v>
      </c>
      <c r="M542" s="8" t="s">
        <v>40</v>
      </c>
      <c r="N542" s="8" t="s">
        <v>40</v>
      </c>
      <c r="O542" s="15"/>
      <c r="P542" s="15"/>
      <c r="Q542" s="9" t="s">
        <v>128</v>
      </c>
      <c r="R542" s="9" t="s">
        <v>42</v>
      </c>
      <c r="S542" s="16">
        <v>8500.0</v>
      </c>
      <c r="T542" s="17">
        <v>8500.0</v>
      </c>
      <c r="U542" s="15"/>
      <c r="V542" s="8">
        <v>14.0</v>
      </c>
      <c r="W542" s="8" t="s">
        <v>1730</v>
      </c>
      <c r="X542" s="8" t="s">
        <v>1867</v>
      </c>
      <c r="Y542" s="8" t="s">
        <v>1868</v>
      </c>
      <c r="Z542" s="8" t="s">
        <v>155</v>
      </c>
      <c r="AA542" s="8" t="s">
        <v>47</v>
      </c>
      <c r="AB542" s="8" t="s">
        <v>48</v>
      </c>
      <c r="AC542" s="15"/>
      <c r="AD542" s="8">
        <v>7.0</v>
      </c>
      <c r="AE542" s="8">
        <v>4.0</v>
      </c>
      <c r="AF542" s="8">
        <v>1.0</v>
      </c>
      <c r="AG542" s="18">
        <v>3500.0</v>
      </c>
      <c r="AH542" s="13"/>
      <c r="AI542" s="15"/>
      <c r="AJ542" s="15"/>
      <c r="AK542" s="15"/>
      <c r="AL542" s="15"/>
      <c r="AM542" s="15"/>
      <c r="AN542" s="15"/>
    </row>
    <row r="543">
      <c r="A543" s="7">
        <v>44403.93231138889</v>
      </c>
      <c r="B543" s="8">
        <f t="shared" si="1"/>
        <v>2021</v>
      </c>
      <c r="C543" s="9" t="s">
        <v>49</v>
      </c>
      <c r="D543" s="9">
        <v>44.0</v>
      </c>
      <c r="E543" s="9" t="s">
        <v>35</v>
      </c>
      <c r="F543" s="9" t="s">
        <v>36</v>
      </c>
      <c r="G543" s="8" t="s">
        <v>74</v>
      </c>
      <c r="H543" s="9" t="s">
        <v>212</v>
      </c>
      <c r="I543" s="9" t="s">
        <v>247</v>
      </c>
      <c r="J543" s="9" t="s">
        <v>75</v>
      </c>
      <c r="K543" s="9" t="s">
        <v>188</v>
      </c>
      <c r="L543" s="9" t="s">
        <v>39</v>
      </c>
      <c r="M543" s="9" t="s">
        <v>40</v>
      </c>
      <c r="N543" s="9" t="s">
        <v>40</v>
      </c>
      <c r="Q543" s="9" t="s">
        <v>249</v>
      </c>
      <c r="R543" s="9" t="s">
        <v>42</v>
      </c>
      <c r="S543" s="10">
        <v>12000.0</v>
      </c>
      <c r="T543" s="11" t="s">
        <v>37</v>
      </c>
      <c r="V543" s="9">
        <v>14.0</v>
      </c>
      <c r="W543" s="9" t="s">
        <v>1869</v>
      </c>
      <c r="X543" s="9" t="s">
        <v>1870</v>
      </c>
      <c r="Y543" s="9" t="s">
        <v>79</v>
      </c>
      <c r="Z543" s="9" t="s">
        <v>80</v>
      </c>
      <c r="AA543" s="9" t="s">
        <v>71</v>
      </c>
      <c r="AB543" s="9" t="s">
        <v>61</v>
      </c>
      <c r="AD543" s="9">
        <v>10.0</v>
      </c>
      <c r="AE543" s="9">
        <v>20.0</v>
      </c>
      <c r="AF543" s="9">
        <v>3.0</v>
      </c>
      <c r="AG543" s="12">
        <v>3500.0</v>
      </c>
      <c r="AH543" s="13"/>
    </row>
    <row r="544">
      <c r="A544" s="7">
        <v>44403.92614296296</v>
      </c>
      <c r="B544" s="8">
        <f t="shared" si="1"/>
        <v>2021</v>
      </c>
      <c r="C544" s="9" t="s">
        <v>49</v>
      </c>
      <c r="D544" s="9">
        <v>30.0</v>
      </c>
      <c r="E544" s="9" t="s">
        <v>35</v>
      </c>
      <c r="F544" s="9" t="s">
        <v>36</v>
      </c>
      <c r="G544" s="9" t="s">
        <v>124</v>
      </c>
      <c r="H544" s="8" t="s">
        <v>37</v>
      </c>
      <c r="I544" s="9" t="s">
        <v>247</v>
      </c>
      <c r="L544" s="9" t="s">
        <v>40</v>
      </c>
      <c r="M544" s="9" t="s">
        <v>40</v>
      </c>
      <c r="N544" s="9" t="s">
        <v>40</v>
      </c>
      <c r="Q544" s="9" t="s">
        <v>182</v>
      </c>
      <c r="R544" s="9" t="s">
        <v>42</v>
      </c>
      <c r="S544" s="10">
        <v>13500.0</v>
      </c>
      <c r="T544" s="11" t="s">
        <v>37</v>
      </c>
      <c r="V544" s="9">
        <v>14.0</v>
      </c>
      <c r="W544" s="9" t="s">
        <v>1871</v>
      </c>
      <c r="X544" s="9" t="s">
        <v>224</v>
      </c>
      <c r="Y544" s="9" t="s">
        <v>122</v>
      </c>
      <c r="Z544" s="9" t="s">
        <v>89</v>
      </c>
      <c r="AA544" s="9" t="s">
        <v>90</v>
      </c>
      <c r="AB544" s="9" t="s">
        <v>91</v>
      </c>
      <c r="AD544" s="9">
        <v>8.0</v>
      </c>
      <c r="AE544" s="9">
        <v>6.0</v>
      </c>
      <c r="AF544" s="9">
        <v>1.0</v>
      </c>
      <c r="AG544" s="12">
        <v>3500.0</v>
      </c>
      <c r="AH544" s="13"/>
    </row>
    <row r="545">
      <c r="A545" s="7">
        <v>44403.89625877315</v>
      </c>
      <c r="B545" s="8">
        <f t="shared" si="1"/>
        <v>2021</v>
      </c>
      <c r="C545" s="9" t="s">
        <v>49</v>
      </c>
      <c r="D545" s="9">
        <v>29.0</v>
      </c>
      <c r="E545" s="9" t="s">
        <v>35</v>
      </c>
      <c r="F545" s="9" t="s">
        <v>246</v>
      </c>
      <c r="G545" s="8" t="s">
        <v>246</v>
      </c>
      <c r="H545" s="9" t="s">
        <v>246</v>
      </c>
      <c r="I545" s="9" t="s">
        <v>38</v>
      </c>
      <c r="J545" s="9" t="s">
        <v>75</v>
      </c>
      <c r="K545" s="9" t="s">
        <v>337</v>
      </c>
      <c r="L545" s="9" t="s">
        <v>39</v>
      </c>
      <c r="M545" s="9" t="s">
        <v>39</v>
      </c>
      <c r="N545" s="9" t="s">
        <v>39</v>
      </c>
      <c r="O545" s="9" t="s">
        <v>1872</v>
      </c>
      <c r="P545" s="9" t="s">
        <v>1873</v>
      </c>
      <c r="Q545" s="8" t="s">
        <v>1874</v>
      </c>
      <c r="R545" s="9" t="s">
        <v>250</v>
      </c>
      <c r="S545" s="10">
        <v>5000.0</v>
      </c>
      <c r="T545" s="11">
        <v>0.0</v>
      </c>
      <c r="U545" s="9">
        <v>0.0</v>
      </c>
      <c r="V545" s="9">
        <v>17.0</v>
      </c>
      <c r="W545" s="9" t="s">
        <v>1249</v>
      </c>
      <c r="X545" s="9" t="s">
        <v>1875</v>
      </c>
      <c r="Y545" s="9" t="s">
        <v>246</v>
      </c>
      <c r="Z545" s="9" t="s">
        <v>1876</v>
      </c>
      <c r="AA545" s="9" t="s">
        <v>132</v>
      </c>
      <c r="AB545" s="9" t="s">
        <v>91</v>
      </c>
      <c r="AD545" s="9">
        <v>6.0</v>
      </c>
      <c r="AE545" s="9">
        <v>5.0</v>
      </c>
      <c r="AF545" s="9">
        <v>2.0</v>
      </c>
      <c r="AG545" s="12">
        <v>3500.0</v>
      </c>
      <c r="AH545" s="13"/>
    </row>
    <row r="546">
      <c r="A546" s="14">
        <v>44403.84435326389</v>
      </c>
      <c r="B546" s="8">
        <f t="shared" si="1"/>
        <v>2021</v>
      </c>
      <c r="C546" s="8" t="s">
        <v>49</v>
      </c>
      <c r="D546" s="8">
        <v>26.0</v>
      </c>
      <c r="E546" s="8" t="s">
        <v>35</v>
      </c>
      <c r="F546" s="8" t="s">
        <v>36</v>
      </c>
      <c r="G546" s="8" t="s">
        <v>74</v>
      </c>
      <c r="H546" s="8" t="s">
        <v>212</v>
      </c>
      <c r="I546" s="8" t="s">
        <v>38</v>
      </c>
      <c r="J546" s="9" t="s">
        <v>75</v>
      </c>
      <c r="K546" s="9" t="s">
        <v>407</v>
      </c>
      <c r="L546" s="8" t="s">
        <v>39</v>
      </c>
      <c r="M546" s="8" t="s">
        <v>40</v>
      </c>
      <c r="N546" s="8" t="s">
        <v>40</v>
      </c>
      <c r="O546" s="15"/>
      <c r="P546" s="15"/>
      <c r="Q546" s="8" t="s">
        <v>1278</v>
      </c>
      <c r="R546" s="9" t="s">
        <v>42</v>
      </c>
      <c r="S546" s="16">
        <v>3800.0</v>
      </c>
      <c r="T546" s="17">
        <v>3800.0</v>
      </c>
      <c r="U546" s="8">
        <v>0.0</v>
      </c>
      <c r="V546" s="8">
        <v>17.0</v>
      </c>
      <c r="W546" s="8" t="s">
        <v>1877</v>
      </c>
      <c r="X546" s="8" t="s">
        <v>1878</v>
      </c>
      <c r="Y546" s="8" t="s">
        <v>79</v>
      </c>
      <c r="Z546" s="8" t="s">
        <v>80</v>
      </c>
      <c r="AA546" s="8" t="s">
        <v>81</v>
      </c>
      <c r="AB546" s="8" t="s">
        <v>91</v>
      </c>
      <c r="AC546" s="15"/>
      <c r="AD546" s="8">
        <v>8.0</v>
      </c>
      <c r="AE546" s="8">
        <v>2.5</v>
      </c>
      <c r="AF546" s="8">
        <v>0.0</v>
      </c>
      <c r="AG546" s="18">
        <v>3500.0</v>
      </c>
      <c r="AH546" s="13"/>
      <c r="AI546" s="15"/>
      <c r="AJ546" s="15"/>
      <c r="AK546" s="15"/>
      <c r="AL546" s="15"/>
      <c r="AM546" s="15"/>
      <c r="AN546" s="15"/>
    </row>
    <row r="547">
      <c r="A547" s="14">
        <v>44403.86392012732</v>
      </c>
      <c r="B547" s="8">
        <f t="shared" si="1"/>
        <v>2021</v>
      </c>
      <c r="C547" s="8" t="s">
        <v>49</v>
      </c>
      <c r="D547" s="8">
        <v>26.0</v>
      </c>
      <c r="E547" s="8" t="s">
        <v>35</v>
      </c>
      <c r="F547" s="8" t="s">
        <v>36</v>
      </c>
      <c r="G547" s="8" t="s">
        <v>50</v>
      </c>
      <c r="H547" s="8" t="s">
        <v>1879</v>
      </c>
      <c r="I547" s="8" t="s">
        <v>38</v>
      </c>
      <c r="J547" s="9" t="s">
        <v>75</v>
      </c>
      <c r="K547" s="8" t="s">
        <v>502</v>
      </c>
      <c r="L547" s="8" t="s">
        <v>39</v>
      </c>
      <c r="M547" s="8" t="s">
        <v>40</v>
      </c>
      <c r="N547" s="8" t="s">
        <v>39</v>
      </c>
      <c r="O547" s="15"/>
      <c r="P547" s="8" t="s">
        <v>1880</v>
      </c>
      <c r="Q547" s="8" t="s">
        <v>128</v>
      </c>
      <c r="R547" s="9" t="s">
        <v>42</v>
      </c>
      <c r="S547" s="16">
        <v>7200.0</v>
      </c>
      <c r="T547" s="17">
        <v>14400.0</v>
      </c>
      <c r="U547" s="8">
        <v>0.0</v>
      </c>
      <c r="V547" s="8">
        <v>18.0</v>
      </c>
      <c r="W547" s="8" t="s">
        <v>1881</v>
      </c>
      <c r="X547" s="8" t="s">
        <v>1882</v>
      </c>
      <c r="Y547" s="8" t="s">
        <v>290</v>
      </c>
      <c r="Z547" s="8" t="s">
        <v>155</v>
      </c>
      <c r="AA547" s="8" t="s">
        <v>71</v>
      </c>
      <c r="AB547" s="8" t="s">
        <v>61</v>
      </c>
      <c r="AC547" s="8" t="s">
        <v>1883</v>
      </c>
      <c r="AD547" s="8">
        <v>9.0</v>
      </c>
      <c r="AE547" s="8" t="s">
        <v>1884</v>
      </c>
      <c r="AF547" s="8">
        <v>3.0</v>
      </c>
      <c r="AG547" s="18">
        <v>3500.0</v>
      </c>
      <c r="AH547" s="13"/>
      <c r="AI547" s="15"/>
      <c r="AJ547" s="15"/>
      <c r="AK547" s="15"/>
      <c r="AL547" s="15"/>
      <c r="AM547" s="15"/>
      <c r="AN547" s="15"/>
    </row>
    <row r="548">
      <c r="A548" s="7">
        <v>44403.93328413194</v>
      </c>
      <c r="B548" s="8">
        <f t="shared" si="1"/>
        <v>2021</v>
      </c>
      <c r="C548" s="9" t="s">
        <v>49</v>
      </c>
      <c r="D548" s="9">
        <v>29.0</v>
      </c>
      <c r="E548" s="9" t="s">
        <v>35</v>
      </c>
      <c r="F548" s="9" t="s">
        <v>36</v>
      </c>
      <c r="G548" s="8" t="s">
        <v>50</v>
      </c>
      <c r="H548" s="9" t="s">
        <v>117</v>
      </c>
      <c r="I548" s="9" t="s">
        <v>93</v>
      </c>
      <c r="J548" s="9" t="s">
        <v>160</v>
      </c>
      <c r="K548" s="9" t="s">
        <v>988</v>
      </c>
      <c r="L548" s="9" t="s">
        <v>39</v>
      </c>
      <c r="M548" s="9" t="s">
        <v>40</v>
      </c>
      <c r="N548" s="9" t="s">
        <v>40</v>
      </c>
      <c r="Q548" s="9" t="s">
        <v>128</v>
      </c>
      <c r="R548" s="9" t="s">
        <v>42</v>
      </c>
      <c r="S548" s="10">
        <v>6600.0</v>
      </c>
      <c r="T548" s="11">
        <v>24000.0</v>
      </c>
      <c r="U548" s="9">
        <v>0.0</v>
      </c>
      <c r="V548" s="9">
        <v>18.0</v>
      </c>
      <c r="W548" s="9" t="s">
        <v>1885</v>
      </c>
      <c r="X548" s="9" t="s">
        <v>1886</v>
      </c>
      <c r="Y548" s="9" t="s">
        <v>122</v>
      </c>
      <c r="Z548" s="9" t="s">
        <v>89</v>
      </c>
      <c r="AA548" s="9" t="s">
        <v>60</v>
      </c>
      <c r="AB548" s="9" t="s">
        <v>91</v>
      </c>
      <c r="AD548" s="9">
        <v>8.0</v>
      </c>
      <c r="AE548" s="9">
        <v>3.5</v>
      </c>
      <c r="AF548" s="9">
        <v>1.0</v>
      </c>
      <c r="AG548" s="12">
        <v>3500.0</v>
      </c>
      <c r="AH548" s="13"/>
    </row>
    <row r="549">
      <c r="A549" s="14">
        <v>44403.88486556713</v>
      </c>
      <c r="B549" s="8">
        <f t="shared" si="1"/>
        <v>2021</v>
      </c>
      <c r="C549" s="8" t="s">
        <v>49</v>
      </c>
      <c r="D549" s="8">
        <v>27.0</v>
      </c>
      <c r="E549" s="8" t="s">
        <v>35</v>
      </c>
      <c r="F549" s="8" t="s">
        <v>36</v>
      </c>
      <c r="G549" s="8" t="s">
        <v>50</v>
      </c>
      <c r="H549" s="8" t="s">
        <v>1887</v>
      </c>
      <c r="I549" s="8" t="s">
        <v>38</v>
      </c>
      <c r="J549" s="9" t="s">
        <v>75</v>
      </c>
      <c r="K549" s="9" t="s">
        <v>166</v>
      </c>
      <c r="L549" s="8" t="s">
        <v>39</v>
      </c>
      <c r="M549" s="8" t="s">
        <v>40</v>
      </c>
      <c r="N549" s="8" t="s">
        <v>40</v>
      </c>
      <c r="O549" s="15"/>
      <c r="P549" s="15"/>
      <c r="Q549" s="8" t="s">
        <v>146</v>
      </c>
      <c r="R549" s="9" t="s">
        <v>42</v>
      </c>
      <c r="S549" s="16">
        <v>7500.0</v>
      </c>
      <c r="T549" s="17">
        <v>7500.0</v>
      </c>
      <c r="U549" s="15"/>
      <c r="V549" s="8">
        <v>18.0</v>
      </c>
      <c r="W549" s="8" t="s">
        <v>1888</v>
      </c>
      <c r="X549" s="8" t="s">
        <v>1889</v>
      </c>
      <c r="Y549" s="8" t="s">
        <v>122</v>
      </c>
      <c r="Z549" s="8" t="s">
        <v>1614</v>
      </c>
      <c r="AA549" s="8" t="s">
        <v>60</v>
      </c>
      <c r="AB549" s="8" t="s">
        <v>61</v>
      </c>
      <c r="AC549" s="15"/>
      <c r="AD549" s="8">
        <v>7.0</v>
      </c>
      <c r="AE549" s="8">
        <v>4.0</v>
      </c>
      <c r="AF549" s="8">
        <v>1.0</v>
      </c>
      <c r="AG549" s="18">
        <v>3500.0</v>
      </c>
      <c r="AH549" s="13"/>
      <c r="AI549" s="15"/>
      <c r="AJ549" s="15"/>
      <c r="AK549" s="15"/>
      <c r="AL549" s="15"/>
      <c r="AM549" s="15"/>
      <c r="AN549" s="15"/>
    </row>
    <row r="550">
      <c r="A550" s="7">
        <v>44404.764194664356</v>
      </c>
      <c r="B550" s="8">
        <f t="shared" si="1"/>
        <v>2021</v>
      </c>
      <c r="C550" s="9" t="s">
        <v>49</v>
      </c>
      <c r="D550" s="9">
        <v>28.0</v>
      </c>
      <c r="E550" s="9" t="s">
        <v>35</v>
      </c>
      <c r="F550" s="9" t="s">
        <v>36</v>
      </c>
      <c r="G550" s="8" t="s">
        <v>50</v>
      </c>
      <c r="H550" s="8" t="s">
        <v>37</v>
      </c>
      <c r="I550" s="9" t="s">
        <v>38</v>
      </c>
      <c r="L550" s="9" t="s">
        <v>39</v>
      </c>
      <c r="M550" s="9" t="s">
        <v>39</v>
      </c>
      <c r="N550" s="9" t="s">
        <v>40</v>
      </c>
      <c r="Q550" s="9" t="s">
        <v>128</v>
      </c>
      <c r="R550" s="9" t="s">
        <v>42</v>
      </c>
      <c r="S550" s="10">
        <v>8000.0</v>
      </c>
      <c r="T550" s="11" t="s">
        <v>37</v>
      </c>
      <c r="V550" s="9">
        <v>18.0</v>
      </c>
      <c r="W550" s="9" t="s">
        <v>1890</v>
      </c>
      <c r="X550" s="9" t="s">
        <v>224</v>
      </c>
      <c r="Y550" s="9" t="s">
        <v>124</v>
      </c>
      <c r="Z550" s="9" t="s">
        <v>59</v>
      </c>
      <c r="AA550" s="9" t="s">
        <v>60</v>
      </c>
      <c r="AB550" s="9" t="s">
        <v>91</v>
      </c>
      <c r="AD550" s="9">
        <v>6.0</v>
      </c>
      <c r="AE550" s="9">
        <v>5.0</v>
      </c>
      <c r="AF550" s="9">
        <v>1.0</v>
      </c>
      <c r="AG550" s="12">
        <v>3500.0</v>
      </c>
      <c r="AH550" s="13"/>
    </row>
    <row r="551">
      <c r="A551" s="7">
        <v>44403.9078721875</v>
      </c>
      <c r="B551" s="8">
        <f t="shared" si="1"/>
        <v>2021</v>
      </c>
      <c r="C551" s="9" t="s">
        <v>49</v>
      </c>
      <c r="D551" s="9">
        <v>23.0</v>
      </c>
      <c r="E551" s="9" t="s">
        <v>35</v>
      </c>
      <c r="F551" s="9" t="s">
        <v>36</v>
      </c>
      <c r="G551" s="9" t="s">
        <v>186</v>
      </c>
      <c r="H551" s="8" t="s">
        <v>37</v>
      </c>
      <c r="I551" s="9" t="s">
        <v>38</v>
      </c>
      <c r="J551" s="9" t="s">
        <v>75</v>
      </c>
      <c r="L551" s="9" t="s">
        <v>39</v>
      </c>
      <c r="M551" s="9" t="s">
        <v>40</v>
      </c>
      <c r="N551" s="9" t="s">
        <v>40</v>
      </c>
      <c r="Q551" s="9" t="s">
        <v>128</v>
      </c>
      <c r="R551" s="9" t="s">
        <v>42</v>
      </c>
      <c r="S551" s="10">
        <v>3500.0</v>
      </c>
      <c r="T551" s="11">
        <v>0.0</v>
      </c>
      <c r="U551" s="9">
        <v>0.0</v>
      </c>
      <c r="V551" s="9">
        <v>20.0</v>
      </c>
      <c r="W551" s="9" t="s">
        <v>1891</v>
      </c>
      <c r="X551" s="9" t="s">
        <v>1892</v>
      </c>
      <c r="Y551" s="9" t="s">
        <v>58</v>
      </c>
      <c r="Z551" s="9" t="s">
        <v>70</v>
      </c>
      <c r="AA551" s="9" t="s">
        <v>47</v>
      </c>
      <c r="AB551" s="9" t="s">
        <v>61</v>
      </c>
      <c r="AD551" s="9">
        <v>7.0</v>
      </c>
      <c r="AE551" s="9">
        <v>0.5</v>
      </c>
      <c r="AF551" s="9">
        <v>0.0</v>
      </c>
      <c r="AG551" s="12">
        <v>3500.0</v>
      </c>
      <c r="AH551" s="13"/>
    </row>
    <row r="552">
      <c r="A552" s="7">
        <v>44404.013732604166</v>
      </c>
      <c r="B552" s="8">
        <f t="shared" si="1"/>
        <v>2021</v>
      </c>
      <c r="C552" s="9" t="s">
        <v>49</v>
      </c>
      <c r="D552" s="9">
        <v>25.0</v>
      </c>
      <c r="E552" s="9" t="s">
        <v>35</v>
      </c>
      <c r="F552" s="9" t="s">
        <v>36</v>
      </c>
      <c r="G552" s="8" t="s">
        <v>50</v>
      </c>
      <c r="H552" s="9" t="s">
        <v>106</v>
      </c>
      <c r="I552" s="9" t="s">
        <v>38</v>
      </c>
      <c r="J552" s="9" t="s">
        <v>75</v>
      </c>
      <c r="K552" s="8" t="s">
        <v>188</v>
      </c>
      <c r="L552" s="9" t="s">
        <v>39</v>
      </c>
      <c r="M552" s="9" t="s">
        <v>40</v>
      </c>
      <c r="N552" s="9" t="s">
        <v>39</v>
      </c>
      <c r="P552" s="9" t="s">
        <v>398</v>
      </c>
      <c r="Q552" s="9" t="s">
        <v>128</v>
      </c>
      <c r="R552" s="9" t="s">
        <v>42</v>
      </c>
      <c r="S552" s="10">
        <v>3500.0</v>
      </c>
      <c r="T552" s="11">
        <v>0.0</v>
      </c>
      <c r="U552" s="9">
        <v>0.0</v>
      </c>
      <c r="V552" s="9">
        <v>20.0</v>
      </c>
      <c r="W552" s="9" t="s">
        <v>1893</v>
      </c>
      <c r="X552" s="9" t="s">
        <v>1894</v>
      </c>
      <c r="Y552" s="9" t="s">
        <v>122</v>
      </c>
      <c r="Z552" s="9" t="s">
        <v>423</v>
      </c>
      <c r="AA552" s="9" t="s">
        <v>60</v>
      </c>
      <c r="AB552" s="9" t="s">
        <v>61</v>
      </c>
      <c r="AD552" s="9">
        <v>5.0</v>
      </c>
      <c r="AE552" s="9">
        <v>1.0</v>
      </c>
      <c r="AF552" s="9">
        <v>0.0</v>
      </c>
      <c r="AG552" s="12">
        <v>3500.0</v>
      </c>
      <c r="AH552" s="13"/>
    </row>
    <row r="553">
      <c r="A553" s="7">
        <v>44404.611225636574</v>
      </c>
      <c r="B553" s="8">
        <f t="shared" si="1"/>
        <v>2021</v>
      </c>
      <c r="C553" s="9" t="s">
        <v>49</v>
      </c>
      <c r="D553" s="9">
        <v>29.0</v>
      </c>
      <c r="E553" s="9" t="s">
        <v>35</v>
      </c>
      <c r="F553" s="9" t="s">
        <v>36</v>
      </c>
      <c r="G553" s="8" t="s">
        <v>50</v>
      </c>
      <c r="H553" s="8" t="s">
        <v>493</v>
      </c>
      <c r="I553" s="9" t="s">
        <v>38</v>
      </c>
      <c r="J553" s="9" t="s">
        <v>1895</v>
      </c>
      <c r="K553" s="9" t="s">
        <v>1039</v>
      </c>
      <c r="L553" s="9" t="s">
        <v>40</v>
      </c>
      <c r="M553" s="9" t="s">
        <v>40</v>
      </c>
      <c r="N553" s="9" t="s">
        <v>40</v>
      </c>
      <c r="Q553" s="9" t="s">
        <v>281</v>
      </c>
      <c r="R553" s="9" t="s">
        <v>42</v>
      </c>
      <c r="S553" s="10">
        <v>6594.0</v>
      </c>
      <c r="T553" s="11">
        <v>6594.0</v>
      </c>
      <c r="U553" s="9">
        <v>0.0</v>
      </c>
      <c r="V553" s="9">
        <v>24.0</v>
      </c>
      <c r="W553" s="9" t="s">
        <v>1896</v>
      </c>
      <c r="X553" s="9" t="s">
        <v>1743</v>
      </c>
      <c r="Y553" s="9" t="s">
        <v>58</v>
      </c>
      <c r="Z553" s="9" t="s">
        <v>1897</v>
      </c>
      <c r="AA553" s="9" t="s">
        <v>90</v>
      </c>
      <c r="AB553" s="9" t="s">
        <v>133</v>
      </c>
      <c r="AC553" s="9" t="s">
        <v>1898</v>
      </c>
      <c r="AD553" s="9">
        <v>7.0</v>
      </c>
      <c r="AE553" s="9">
        <v>6.0</v>
      </c>
      <c r="AF553" s="9">
        <v>5.0</v>
      </c>
      <c r="AG553" s="12">
        <v>3500.0</v>
      </c>
      <c r="AH553" s="13"/>
    </row>
    <row r="554">
      <c r="A554" s="7">
        <v>44608.68787612268</v>
      </c>
      <c r="B554" s="8">
        <f t="shared" si="1"/>
        <v>2022</v>
      </c>
      <c r="C554" s="9" t="s">
        <v>49</v>
      </c>
      <c r="D554" s="9">
        <v>27.0</v>
      </c>
      <c r="E554" s="9" t="s">
        <v>35</v>
      </c>
      <c r="F554" s="9" t="s">
        <v>36</v>
      </c>
      <c r="G554" s="8" t="s">
        <v>74</v>
      </c>
      <c r="H554" s="8" t="s">
        <v>74</v>
      </c>
      <c r="I554" s="9" t="s">
        <v>38</v>
      </c>
      <c r="J554" s="9" t="s">
        <v>143</v>
      </c>
      <c r="K554" s="9" t="s">
        <v>407</v>
      </c>
      <c r="L554" s="9" t="s">
        <v>39</v>
      </c>
      <c r="M554" s="9" t="s">
        <v>39</v>
      </c>
      <c r="N554" s="9" t="s">
        <v>39</v>
      </c>
      <c r="O554" s="9" t="s">
        <v>1899</v>
      </c>
      <c r="P554" s="9" t="s">
        <v>1900</v>
      </c>
      <c r="Q554" s="9" t="s">
        <v>1901</v>
      </c>
      <c r="R554" s="9" t="s">
        <v>42</v>
      </c>
      <c r="S554" s="10">
        <v>6600.0</v>
      </c>
      <c r="T554" s="11">
        <v>12000.0</v>
      </c>
      <c r="U554" s="9">
        <v>0.0</v>
      </c>
      <c r="V554" s="9">
        <v>16.0</v>
      </c>
      <c r="W554" s="9" t="s">
        <v>1902</v>
      </c>
      <c r="X554" s="9" t="s">
        <v>1903</v>
      </c>
      <c r="Y554" s="9" t="s">
        <v>79</v>
      </c>
      <c r="Z554" s="9" t="s">
        <v>80</v>
      </c>
      <c r="AA554" s="9" t="s">
        <v>90</v>
      </c>
      <c r="AB554" s="9" t="s">
        <v>61</v>
      </c>
      <c r="AD554" s="9">
        <v>6.0</v>
      </c>
      <c r="AE554" s="9">
        <v>3.0</v>
      </c>
      <c r="AF554" s="9">
        <v>3.0</v>
      </c>
      <c r="AG554" s="12">
        <v>3520.0</v>
      </c>
      <c r="AH554" s="13"/>
    </row>
    <row r="555">
      <c r="A555" s="7">
        <v>44409.941814328704</v>
      </c>
      <c r="B555" s="8">
        <f t="shared" si="1"/>
        <v>2021</v>
      </c>
      <c r="C555" s="9" t="s">
        <v>49</v>
      </c>
      <c r="D555" s="9">
        <v>26.0</v>
      </c>
      <c r="E555" s="9" t="s">
        <v>35</v>
      </c>
      <c r="F555" s="9" t="s">
        <v>36</v>
      </c>
      <c r="G555" s="8" t="s">
        <v>74</v>
      </c>
      <c r="H555" s="9" t="s">
        <v>437</v>
      </c>
      <c r="I555" s="9" t="s">
        <v>38</v>
      </c>
      <c r="J555" s="9" t="s">
        <v>910</v>
      </c>
      <c r="K555" s="8" t="s">
        <v>407</v>
      </c>
      <c r="L555" s="9" t="s">
        <v>40</v>
      </c>
      <c r="M555" s="9" t="s">
        <v>40</v>
      </c>
      <c r="N555" s="9" t="s">
        <v>40</v>
      </c>
      <c r="Q555" s="9" t="s">
        <v>41</v>
      </c>
      <c r="R555" s="9" t="s">
        <v>42</v>
      </c>
      <c r="S555" s="10">
        <v>3600.0</v>
      </c>
      <c r="T555" s="11">
        <v>0.0</v>
      </c>
      <c r="U555" s="9">
        <v>0.0</v>
      </c>
      <c r="V555" s="9">
        <v>12.0</v>
      </c>
      <c r="W555" s="9" t="s">
        <v>1904</v>
      </c>
      <c r="X555" s="9" t="s">
        <v>1905</v>
      </c>
      <c r="Y555" s="9" t="s">
        <v>1906</v>
      </c>
      <c r="Z555" s="9" t="s">
        <v>123</v>
      </c>
      <c r="AA555" s="9" t="s">
        <v>132</v>
      </c>
      <c r="AB555" s="9" t="s">
        <v>61</v>
      </c>
      <c r="AD555" s="9">
        <v>5.0</v>
      </c>
      <c r="AE555" s="9" t="s">
        <v>1907</v>
      </c>
      <c r="AF555" s="9">
        <v>1.0</v>
      </c>
      <c r="AG555" s="12">
        <v>3600.0</v>
      </c>
      <c r="AH555" s="9" t="s">
        <v>42</v>
      </c>
    </row>
    <row r="556">
      <c r="A556" s="7">
        <v>44429.73355996527</v>
      </c>
      <c r="B556" s="8">
        <f t="shared" si="1"/>
        <v>2021</v>
      </c>
      <c r="C556" s="9" t="s">
        <v>49</v>
      </c>
      <c r="D556" s="9">
        <v>21.0</v>
      </c>
      <c r="E556" s="9" t="s">
        <v>35</v>
      </c>
      <c r="F556" s="9" t="s">
        <v>36</v>
      </c>
      <c r="G556" s="8" t="s">
        <v>124</v>
      </c>
      <c r="H556" s="9" t="s">
        <v>606</v>
      </c>
      <c r="I556" s="9" t="s">
        <v>302</v>
      </c>
      <c r="L556" s="9" t="s">
        <v>40</v>
      </c>
      <c r="M556" s="9" t="s">
        <v>39</v>
      </c>
      <c r="N556" s="9" t="s">
        <v>39</v>
      </c>
      <c r="P556" s="9" t="s">
        <v>398</v>
      </c>
      <c r="Q556" s="9" t="s">
        <v>128</v>
      </c>
      <c r="R556" s="9" t="s">
        <v>42</v>
      </c>
      <c r="S556" s="10">
        <v>3600.0</v>
      </c>
      <c r="T556" s="11">
        <v>0.0</v>
      </c>
      <c r="U556" s="9">
        <v>0.0</v>
      </c>
      <c r="V556" s="9">
        <v>14.0</v>
      </c>
      <c r="W556" s="9" t="s">
        <v>1908</v>
      </c>
      <c r="X556" s="9" t="s">
        <v>1909</v>
      </c>
      <c r="Y556" s="9" t="s">
        <v>122</v>
      </c>
      <c r="Z556" s="9" t="s">
        <v>185</v>
      </c>
      <c r="AA556" s="9" t="s">
        <v>71</v>
      </c>
      <c r="AB556" s="9" t="s">
        <v>61</v>
      </c>
      <c r="AD556" s="9">
        <v>8.0</v>
      </c>
      <c r="AE556" s="9">
        <v>1.0</v>
      </c>
      <c r="AF556" s="9">
        <v>1.0</v>
      </c>
      <c r="AG556" s="12">
        <v>3600.0</v>
      </c>
      <c r="AH556" s="13"/>
    </row>
    <row r="557">
      <c r="A557" s="7">
        <v>44424.02122547454</v>
      </c>
      <c r="B557" s="8">
        <f t="shared" si="1"/>
        <v>2021</v>
      </c>
      <c r="C557" s="9" t="s">
        <v>49</v>
      </c>
      <c r="D557" s="9">
        <v>24.0</v>
      </c>
      <c r="E557" s="9" t="s">
        <v>35</v>
      </c>
      <c r="F557" s="9" t="s">
        <v>36</v>
      </c>
      <c r="G557" s="8" t="s">
        <v>50</v>
      </c>
      <c r="H557" s="9" t="s">
        <v>99</v>
      </c>
      <c r="I557" s="9" t="s">
        <v>38</v>
      </c>
      <c r="J557" s="9" t="s">
        <v>160</v>
      </c>
      <c r="K557" s="9" t="s">
        <v>490</v>
      </c>
      <c r="L557" s="9" t="s">
        <v>39</v>
      </c>
      <c r="M557" s="9" t="s">
        <v>40</v>
      </c>
      <c r="N557" s="9" t="s">
        <v>40</v>
      </c>
      <c r="Q557" s="9" t="s">
        <v>146</v>
      </c>
      <c r="R557" s="9" t="s">
        <v>42</v>
      </c>
      <c r="S557" s="10">
        <v>3800.0</v>
      </c>
      <c r="T557" s="11">
        <v>0.0</v>
      </c>
      <c r="U557" s="9">
        <v>0.0</v>
      </c>
      <c r="V557" s="9">
        <v>14.0</v>
      </c>
      <c r="W557" s="9" t="s">
        <v>1910</v>
      </c>
      <c r="X557" s="9" t="s">
        <v>1911</v>
      </c>
      <c r="Y557" s="9" t="s">
        <v>122</v>
      </c>
      <c r="Z557" s="9" t="s">
        <v>651</v>
      </c>
      <c r="AA557" s="9" t="s">
        <v>71</v>
      </c>
      <c r="AB557" s="9" t="s">
        <v>61</v>
      </c>
      <c r="AD557" s="9">
        <v>9.0</v>
      </c>
      <c r="AE557" s="9">
        <v>1.5</v>
      </c>
      <c r="AF557" s="9">
        <v>2.0</v>
      </c>
      <c r="AG557" s="12">
        <v>3600.0</v>
      </c>
      <c r="AH557" s="13"/>
    </row>
    <row r="558">
      <c r="A558" s="7">
        <v>44406.002823206014</v>
      </c>
      <c r="B558" s="8">
        <f t="shared" si="1"/>
        <v>2021</v>
      </c>
      <c r="C558" s="9" t="s">
        <v>49</v>
      </c>
      <c r="D558" s="9">
        <v>27.0</v>
      </c>
      <c r="E558" s="9" t="s">
        <v>35</v>
      </c>
      <c r="F558" s="9" t="s">
        <v>36</v>
      </c>
      <c r="G558" s="8" t="s">
        <v>124</v>
      </c>
      <c r="H558" s="9" t="s">
        <v>296</v>
      </c>
      <c r="I558" s="9" t="s">
        <v>38</v>
      </c>
      <c r="J558" s="9" t="s">
        <v>160</v>
      </c>
      <c r="K558" s="9" t="s">
        <v>166</v>
      </c>
      <c r="L558" s="9" t="s">
        <v>39</v>
      </c>
      <c r="M558" s="9" t="s">
        <v>40</v>
      </c>
      <c r="N558" s="9" t="s">
        <v>40</v>
      </c>
      <c r="Q558" s="9" t="s">
        <v>182</v>
      </c>
      <c r="R558" s="9" t="s">
        <v>42</v>
      </c>
      <c r="S558" s="10">
        <v>6000.0</v>
      </c>
      <c r="T558" s="11">
        <v>0.0</v>
      </c>
      <c r="U558" s="9">
        <v>0.0</v>
      </c>
      <c r="V558" s="9">
        <v>14.0</v>
      </c>
      <c r="W558" s="9" t="s">
        <v>223</v>
      </c>
      <c r="X558" s="9" t="s">
        <v>1912</v>
      </c>
      <c r="Y558" s="9" t="s">
        <v>131</v>
      </c>
      <c r="Z558" s="9" t="s">
        <v>268</v>
      </c>
      <c r="AA558" s="9" t="s">
        <v>71</v>
      </c>
      <c r="AB558" s="9" t="s">
        <v>61</v>
      </c>
      <c r="AD558" s="9">
        <v>2.0</v>
      </c>
      <c r="AE558" s="9">
        <v>5.0</v>
      </c>
      <c r="AF558" s="9">
        <v>2.0</v>
      </c>
      <c r="AG558" s="12">
        <v>3600.0</v>
      </c>
      <c r="AH558" s="13"/>
    </row>
    <row r="559">
      <c r="A559" s="7">
        <v>44447.35539599537</v>
      </c>
      <c r="B559" s="8">
        <f t="shared" si="1"/>
        <v>2021</v>
      </c>
      <c r="C559" s="9" t="s">
        <v>49</v>
      </c>
      <c r="D559" s="9">
        <v>26.0</v>
      </c>
      <c r="E559" s="9" t="s">
        <v>35</v>
      </c>
      <c r="F559" s="9" t="s">
        <v>36</v>
      </c>
      <c r="G559" s="8" t="s">
        <v>124</v>
      </c>
      <c r="H559" s="9" t="s">
        <v>156</v>
      </c>
      <c r="I559" s="9" t="s">
        <v>38</v>
      </c>
      <c r="J559" s="9" t="s">
        <v>75</v>
      </c>
      <c r="K559" s="9" t="s">
        <v>166</v>
      </c>
      <c r="L559" s="9" t="s">
        <v>39</v>
      </c>
      <c r="M559" s="9" t="s">
        <v>40</v>
      </c>
      <c r="N559" s="9" t="s">
        <v>40</v>
      </c>
      <c r="Q559" s="9" t="s">
        <v>128</v>
      </c>
      <c r="R559" s="9" t="s">
        <v>42</v>
      </c>
      <c r="S559" s="10">
        <v>3716.0</v>
      </c>
      <c r="T559" s="11">
        <v>1000.0</v>
      </c>
      <c r="V559" s="9">
        <v>14.0</v>
      </c>
      <c r="W559" s="9" t="s">
        <v>1913</v>
      </c>
      <c r="X559" s="9" t="s">
        <v>321</v>
      </c>
      <c r="Y559" s="9" t="s">
        <v>122</v>
      </c>
      <c r="Z559" s="9" t="s">
        <v>297</v>
      </c>
      <c r="AA559" s="9" t="s">
        <v>60</v>
      </c>
      <c r="AB559" s="9" t="s">
        <v>91</v>
      </c>
      <c r="AD559" s="9">
        <v>4.0</v>
      </c>
      <c r="AE559" s="9">
        <v>2.0</v>
      </c>
      <c r="AF559" s="9">
        <v>2.0</v>
      </c>
      <c r="AG559" s="12">
        <v>3600.0</v>
      </c>
      <c r="AH559" s="13"/>
    </row>
    <row r="560">
      <c r="A560" s="7">
        <v>44469.05720196759</v>
      </c>
      <c r="B560" s="8">
        <f t="shared" si="1"/>
        <v>2021</v>
      </c>
      <c r="C560" s="9" t="s">
        <v>49</v>
      </c>
      <c r="D560" s="9">
        <v>25.0</v>
      </c>
      <c r="E560" s="9" t="s">
        <v>35</v>
      </c>
      <c r="F560" s="9" t="s">
        <v>36</v>
      </c>
      <c r="G560" s="8" t="s">
        <v>50</v>
      </c>
      <c r="H560" s="9" t="s">
        <v>499</v>
      </c>
      <c r="I560" s="9" t="s">
        <v>38</v>
      </c>
      <c r="J560" s="9" t="s">
        <v>75</v>
      </c>
      <c r="K560" s="9" t="s">
        <v>502</v>
      </c>
      <c r="L560" s="9" t="s">
        <v>39</v>
      </c>
      <c r="M560" s="9" t="s">
        <v>40</v>
      </c>
      <c r="N560" s="9" t="s">
        <v>40</v>
      </c>
      <c r="Q560" s="9" t="s">
        <v>1481</v>
      </c>
      <c r="R560" s="9" t="s">
        <v>42</v>
      </c>
      <c r="S560" s="10">
        <v>3700.0</v>
      </c>
      <c r="T560" s="11">
        <v>3700.0</v>
      </c>
      <c r="U560" s="9">
        <v>0.0</v>
      </c>
      <c r="V560" s="9">
        <v>16.0</v>
      </c>
      <c r="W560" s="9" t="s">
        <v>1914</v>
      </c>
      <c r="X560" s="9" t="s">
        <v>1915</v>
      </c>
      <c r="Y560" s="9" t="s">
        <v>58</v>
      </c>
      <c r="Z560" s="9" t="s">
        <v>59</v>
      </c>
      <c r="AA560" s="9" t="s">
        <v>81</v>
      </c>
      <c r="AB560" s="9" t="s">
        <v>611</v>
      </c>
      <c r="AD560" s="9">
        <v>5.0</v>
      </c>
      <c r="AE560" s="9">
        <v>0.0</v>
      </c>
      <c r="AF560" s="9">
        <v>1.0</v>
      </c>
      <c r="AG560" s="12">
        <v>3600.0</v>
      </c>
      <c r="AH560" s="13"/>
    </row>
    <row r="561">
      <c r="A561" s="7">
        <v>44477.56540760417</v>
      </c>
      <c r="B561" s="8">
        <f t="shared" si="1"/>
        <v>2021</v>
      </c>
      <c r="C561" s="9" t="s">
        <v>49</v>
      </c>
      <c r="D561" s="9">
        <v>24.0</v>
      </c>
      <c r="E561" s="9" t="s">
        <v>35</v>
      </c>
      <c r="F561" s="9" t="s">
        <v>36</v>
      </c>
      <c r="G561" s="8" t="s">
        <v>50</v>
      </c>
      <c r="H561" s="9" t="s">
        <v>106</v>
      </c>
      <c r="I561" s="9" t="s">
        <v>38</v>
      </c>
      <c r="J561" s="9" t="s">
        <v>75</v>
      </c>
      <c r="K561" s="9" t="s">
        <v>234</v>
      </c>
      <c r="L561" s="9" t="s">
        <v>39</v>
      </c>
      <c r="M561" s="9" t="s">
        <v>40</v>
      </c>
      <c r="N561" s="9" t="s">
        <v>40</v>
      </c>
      <c r="Q561" s="9" t="s">
        <v>1481</v>
      </c>
      <c r="R561" s="9" t="s">
        <v>42</v>
      </c>
      <c r="S561" s="10">
        <v>5000.0</v>
      </c>
      <c r="T561" s="11">
        <v>22500.0</v>
      </c>
      <c r="U561" s="9">
        <v>0.0</v>
      </c>
      <c r="V561" s="9">
        <v>18.0</v>
      </c>
      <c r="W561" s="9" t="s">
        <v>1916</v>
      </c>
      <c r="X561" s="9" t="s">
        <v>1917</v>
      </c>
      <c r="Y561" s="9" t="s">
        <v>124</v>
      </c>
      <c r="Z561" s="9" t="s">
        <v>59</v>
      </c>
      <c r="AA561" s="9" t="s">
        <v>81</v>
      </c>
      <c r="AB561" s="9" t="s">
        <v>133</v>
      </c>
      <c r="AD561" s="9">
        <v>10.0</v>
      </c>
      <c r="AE561" s="9">
        <v>1.0</v>
      </c>
      <c r="AF561" s="9" t="s">
        <v>146</v>
      </c>
      <c r="AG561" s="12">
        <v>3600.0</v>
      </c>
      <c r="AH561" s="13"/>
    </row>
    <row r="562">
      <c r="A562" s="7">
        <v>44404.02439056713</v>
      </c>
      <c r="B562" s="8">
        <f t="shared" si="1"/>
        <v>2021</v>
      </c>
      <c r="C562" s="9" t="s">
        <v>49</v>
      </c>
      <c r="D562" s="9">
        <v>23.0</v>
      </c>
      <c r="E562" s="9" t="s">
        <v>35</v>
      </c>
      <c r="F562" s="9" t="s">
        <v>36</v>
      </c>
      <c r="G562" s="8" t="s">
        <v>50</v>
      </c>
      <c r="H562" s="9" t="s">
        <v>298</v>
      </c>
      <c r="I562" s="9" t="s">
        <v>38</v>
      </c>
      <c r="J562" s="9" t="s">
        <v>75</v>
      </c>
      <c r="K562" s="9" t="s">
        <v>84</v>
      </c>
      <c r="L562" s="9" t="s">
        <v>39</v>
      </c>
      <c r="M562" s="9" t="s">
        <v>40</v>
      </c>
      <c r="N562" s="9" t="s">
        <v>39</v>
      </c>
      <c r="P562" s="9" t="s">
        <v>1918</v>
      </c>
      <c r="Q562" s="9" t="s">
        <v>1795</v>
      </c>
      <c r="R562" s="9" t="s">
        <v>42</v>
      </c>
      <c r="S562" s="10">
        <v>3600.0</v>
      </c>
      <c r="T562" s="11">
        <v>0.0</v>
      </c>
      <c r="U562" s="9">
        <v>0.0</v>
      </c>
      <c r="V562" s="9">
        <v>12.0</v>
      </c>
      <c r="W562" s="9" t="s">
        <v>1919</v>
      </c>
      <c r="X562" s="9" t="s">
        <v>1698</v>
      </c>
      <c r="Y562" s="9" t="s">
        <v>122</v>
      </c>
      <c r="Z562" s="9" t="s">
        <v>155</v>
      </c>
      <c r="AA562" s="9" t="s">
        <v>60</v>
      </c>
      <c r="AB562" s="9" t="s">
        <v>61</v>
      </c>
      <c r="AD562" s="9">
        <v>8.0</v>
      </c>
      <c r="AE562" s="9">
        <v>0.0</v>
      </c>
      <c r="AF562" s="9">
        <v>0.0</v>
      </c>
      <c r="AG562" s="12">
        <v>3600.0</v>
      </c>
      <c r="AH562" s="13"/>
    </row>
    <row r="563">
      <c r="A563" s="14">
        <v>44403.84935701389</v>
      </c>
      <c r="B563" s="8">
        <f t="shared" si="1"/>
        <v>2021</v>
      </c>
      <c r="C563" s="8" t="s">
        <v>49</v>
      </c>
      <c r="D563" s="8">
        <v>27.0</v>
      </c>
      <c r="E563" s="8" t="s">
        <v>35</v>
      </c>
      <c r="F563" s="8" t="s">
        <v>246</v>
      </c>
      <c r="G563" s="8" t="s">
        <v>246</v>
      </c>
      <c r="H563" s="8" t="s">
        <v>246</v>
      </c>
      <c r="I563" s="8" t="s">
        <v>38</v>
      </c>
      <c r="J563" s="9" t="s">
        <v>75</v>
      </c>
      <c r="K563" s="9" t="s">
        <v>66</v>
      </c>
      <c r="L563" s="8" t="s">
        <v>39</v>
      </c>
      <c r="M563" s="8" t="s">
        <v>40</v>
      </c>
      <c r="N563" s="8" t="s">
        <v>39</v>
      </c>
      <c r="O563" s="15"/>
      <c r="P563" s="8" t="s">
        <v>1920</v>
      </c>
      <c r="Q563" s="8" t="s">
        <v>152</v>
      </c>
      <c r="R563" s="8" t="s">
        <v>250</v>
      </c>
      <c r="S563" s="16">
        <v>4300.0</v>
      </c>
      <c r="T563" s="17">
        <v>7000.0</v>
      </c>
      <c r="U563" s="8">
        <v>0.0</v>
      </c>
      <c r="V563" s="8">
        <v>14.0</v>
      </c>
      <c r="W563" s="8" t="s">
        <v>459</v>
      </c>
      <c r="X563" s="8" t="s">
        <v>1921</v>
      </c>
      <c r="Y563" s="8" t="s">
        <v>246</v>
      </c>
      <c r="Z563" s="8" t="s">
        <v>197</v>
      </c>
      <c r="AA563" s="8" t="s">
        <v>132</v>
      </c>
      <c r="AB563" s="8" t="s">
        <v>61</v>
      </c>
      <c r="AC563" s="15"/>
      <c r="AD563" s="8">
        <v>7.0</v>
      </c>
      <c r="AE563" s="8">
        <v>3.0</v>
      </c>
      <c r="AF563" s="8">
        <v>1.0</v>
      </c>
      <c r="AG563" s="18">
        <v>3600.0</v>
      </c>
      <c r="AH563" s="13"/>
      <c r="AI563" s="15"/>
      <c r="AJ563" s="15"/>
      <c r="AK563" s="15"/>
      <c r="AL563" s="15"/>
      <c r="AM563" s="15"/>
      <c r="AN563" s="15"/>
    </row>
    <row r="564">
      <c r="A564" s="14">
        <v>44403.877066875</v>
      </c>
      <c r="B564" s="8">
        <f t="shared" si="1"/>
        <v>2021</v>
      </c>
      <c r="C564" s="8" t="s">
        <v>73</v>
      </c>
      <c r="D564" s="8">
        <v>25.0</v>
      </c>
      <c r="E564" s="8" t="s">
        <v>35</v>
      </c>
      <c r="F564" s="8" t="s">
        <v>36</v>
      </c>
      <c r="G564" s="8" t="s">
        <v>50</v>
      </c>
      <c r="H564" s="8" t="s">
        <v>206</v>
      </c>
      <c r="I564" s="8" t="s">
        <v>38</v>
      </c>
      <c r="J564" s="9" t="s">
        <v>160</v>
      </c>
      <c r="K564" s="9" t="s">
        <v>221</v>
      </c>
      <c r="L564" s="8" t="s">
        <v>39</v>
      </c>
      <c r="M564" s="8" t="s">
        <v>40</v>
      </c>
      <c r="N564" s="8" t="s">
        <v>40</v>
      </c>
      <c r="O564" s="15"/>
      <c r="P564" s="15"/>
      <c r="Q564" s="8" t="s">
        <v>128</v>
      </c>
      <c r="R564" s="9" t="s">
        <v>42</v>
      </c>
      <c r="S564" s="16">
        <v>4437.0</v>
      </c>
      <c r="T564" s="17">
        <v>6000.0</v>
      </c>
      <c r="U564" s="15"/>
      <c r="V564" s="8">
        <v>14.0</v>
      </c>
      <c r="W564" s="8" t="s">
        <v>1652</v>
      </c>
      <c r="X564" s="8" t="s">
        <v>809</v>
      </c>
      <c r="Y564" s="8" t="s">
        <v>124</v>
      </c>
      <c r="Z564" s="8" t="s">
        <v>297</v>
      </c>
      <c r="AA564" s="8" t="s">
        <v>60</v>
      </c>
      <c r="AB564" s="8" t="s">
        <v>91</v>
      </c>
      <c r="AC564" s="15"/>
      <c r="AD564" s="8">
        <v>7.0</v>
      </c>
      <c r="AE564" s="8">
        <v>2.0</v>
      </c>
      <c r="AF564" s="8">
        <v>1.0</v>
      </c>
      <c r="AG564" s="18">
        <v>3600.0</v>
      </c>
      <c r="AH564" s="13"/>
      <c r="AI564" s="15"/>
      <c r="AJ564" s="15"/>
      <c r="AK564" s="15"/>
      <c r="AL564" s="15"/>
      <c r="AM564" s="15"/>
      <c r="AN564" s="15"/>
    </row>
    <row r="565">
      <c r="A565" s="7">
        <v>44403.90817804398</v>
      </c>
      <c r="B565" s="8">
        <f t="shared" si="1"/>
        <v>2021</v>
      </c>
      <c r="C565" s="9" t="s">
        <v>49</v>
      </c>
      <c r="D565" s="9">
        <v>27.0</v>
      </c>
      <c r="E565" s="9" t="s">
        <v>35</v>
      </c>
      <c r="F565" s="9" t="s">
        <v>36</v>
      </c>
      <c r="G565" s="8" t="s">
        <v>50</v>
      </c>
      <c r="H565" s="9" t="s">
        <v>106</v>
      </c>
      <c r="I565" s="9" t="s">
        <v>38</v>
      </c>
      <c r="J565" s="9" t="s">
        <v>75</v>
      </c>
      <c r="K565" s="9" t="s">
        <v>959</v>
      </c>
      <c r="L565" s="9" t="s">
        <v>39</v>
      </c>
      <c r="M565" s="9" t="s">
        <v>40</v>
      </c>
      <c r="N565" s="9" t="s">
        <v>40</v>
      </c>
      <c r="P565" s="9" t="s">
        <v>1922</v>
      </c>
      <c r="Q565" s="9" t="s">
        <v>1923</v>
      </c>
      <c r="R565" s="9" t="s">
        <v>42</v>
      </c>
      <c r="S565" s="10">
        <v>8650.0</v>
      </c>
      <c r="T565" s="11" t="s">
        <v>37</v>
      </c>
      <c r="V565" s="9">
        <v>14.0</v>
      </c>
      <c r="W565" s="9" t="s">
        <v>1924</v>
      </c>
      <c r="X565" s="9" t="s">
        <v>1925</v>
      </c>
      <c r="Y565" s="9" t="s">
        <v>122</v>
      </c>
      <c r="Z565" s="9" t="s">
        <v>89</v>
      </c>
      <c r="AA565" s="9" t="s">
        <v>60</v>
      </c>
      <c r="AB565" s="9" t="s">
        <v>611</v>
      </c>
      <c r="AD565" s="9">
        <v>8.0</v>
      </c>
      <c r="AE565" s="9">
        <v>3.5</v>
      </c>
      <c r="AF565" s="9">
        <v>1.0</v>
      </c>
      <c r="AG565" s="12">
        <v>3600.0</v>
      </c>
      <c r="AH565" s="13"/>
    </row>
    <row r="566">
      <c r="A566" s="14">
        <v>44403.849462048616</v>
      </c>
      <c r="B566" s="8">
        <f t="shared" si="1"/>
        <v>2021</v>
      </c>
      <c r="C566" s="8" t="s">
        <v>49</v>
      </c>
      <c r="D566" s="8">
        <v>23.0</v>
      </c>
      <c r="E566" s="8" t="s">
        <v>35</v>
      </c>
      <c r="F566" s="8" t="s">
        <v>36</v>
      </c>
      <c r="G566" s="8" t="s">
        <v>124</v>
      </c>
      <c r="H566" s="8" t="s">
        <v>1926</v>
      </c>
      <c r="I566" s="8" t="s">
        <v>38</v>
      </c>
      <c r="J566" s="8" t="s">
        <v>828</v>
      </c>
      <c r="K566" s="9" t="s">
        <v>100</v>
      </c>
      <c r="L566" s="8" t="s">
        <v>40</v>
      </c>
      <c r="M566" s="8" t="s">
        <v>40</v>
      </c>
      <c r="N566" s="8" t="s">
        <v>40</v>
      </c>
      <c r="O566" s="15"/>
      <c r="P566" s="15"/>
      <c r="Q566" s="8" t="s">
        <v>293</v>
      </c>
      <c r="R566" s="9" t="s">
        <v>42</v>
      </c>
      <c r="S566" s="16">
        <v>3600.0</v>
      </c>
      <c r="T566" s="17">
        <v>0.0</v>
      </c>
      <c r="U566" s="8">
        <v>0.0</v>
      </c>
      <c r="V566" s="8">
        <v>15.0</v>
      </c>
      <c r="W566" s="8" t="s">
        <v>1752</v>
      </c>
      <c r="X566" s="8" t="s">
        <v>1927</v>
      </c>
      <c r="Y566" s="8" t="s">
        <v>58</v>
      </c>
      <c r="Z566" s="8" t="s">
        <v>89</v>
      </c>
      <c r="AA566" s="8" t="s">
        <v>71</v>
      </c>
      <c r="AB566" s="8" t="s">
        <v>91</v>
      </c>
      <c r="AC566" s="15"/>
      <c r="AD566" s="8">
        <v>8.0</v>
      </c>
      <c r="AE566" s="8">
        <v>1.0</v>
      </c>
      <c r="AF566" s="8">
        <v>1.0</v>
      </c>
      <c r="AG566" s="18">
        <v>3600.0</v>
      </c>
      <c r="AH566" s="13"/>
      <c r="AI566" s="15"/>
      <c r="AJ566" s="15"/>
      <c r="AK566" s="15"/>
      <c r="AL566" s="15"/>
      <c r="AM566" s="15"/>
      <c r="AN566" s="15"/>
    </row>
    <row r="567">
      <c r="A567" s="14">
        <v>44403.89381393518</v>
      </c>
      <c r="B567" s="8">
        <f t="shared" si="1"/>
        <v>2021</v>
      </c>
      <c r="C567" s="8" t="s">
        <v>49</v>
      </c>
      <c r="D567" s="8">
        <v>26.0</v>
      </c>
      <c r="E567" s="8" t="s">
        <v>35</v>
      </c>
      <c r="F567" s="8" t="s">
        <v>36</v>
      </c>
      <c r="G567" s="8" t="s">
        <v>50</v>
      </c>
      <c r="H567" s="8" t="s">
        <v>800</v>
      </c>
      <c r="I567" s="8" t="s">
        <v>38</v>
      </c>
      <c r="J567" s="9" t="s">
        <v>75</v>
      </c>
      <c r="K567" s="9" t="s">
        <v>944</v>
      </c>
      <c r="L567" s="8" t="s">
        <v>39</v>
      </c>
      <c r="M567" s="8" t="s">
        <v>40</v>
      </c>
      <c r="N567" s="8" t="s">
        <v>40</v>
      </c>
      <c r="O567" s="15"/>
      <c r="P567" s="15"/>
      <c r="Q567" s="8" t="s">
        <v>1928</v>
      </c>
      <c r="R567" s="9" t="s">
        <v>42</v>
      </c>
      <c r="S567" s="16">
        <v>4750.0</v>
      </c>
      <c r="T567" s="17">
        <v>2900.0</v>
      </c>
      <c r="U567" s="15"/>
      <c r="V567" s="8">
        <v>16.0</v>
      </c>
      <c r="W567" s="8" t="s">
        <v>1929</v>
      </c>
      <c r="X567" s="8" t="s">
        <v>1930</v>
      </c>
      <c r="Y567" s="8" t="s">
        <v>58</v>
      </c>
      <c r="Z567" s="8" t="s">
        <v>1013</v>
      </c>
      <c r="AA567" s="8" t="s">
        <v>90</v>
      </c>
      <c r="AB567" s="8" t="s">
        <v>61</v>
      </c>
      <c r="AC567" s="15"/>
      <c r="AD567" s="8">
        <v>6.0</v>
      </c>
      <c r="AE567" s="8">
        <v>0.5</v>
      </c>
      <c r="AF567" s="8">
        <v>2.0</v>
      </c>
      <c r="AG567" s="18">
        <v>3600.0</v>
      </c>
      <c r="AH567" s="13"/>
      <c r="AI567" s="15"/>
      <c r="AJ567" s="15"/>
      <c r="AK567" s="15"/>
      <c r="AL567" s="15"/>
      <c r="AM567" s="15"/>
      <c r="AN567" s="15"/>
    </row>
    <row r="568">
      <c r="A568" s="7">
        <v>44403.94778869213</v>
      </c>
      <c r="B568" s="8">
        <f t="shared" si="1"/>
        <v>2021</v>
      </c>
      <c r="C568" s="9" t="s">
        <v>49</v>
      </c>
      <c r="D568" s="9">
        <v>30.0</v>
      </c>
      <c r="E568" s="9" t="s">
        <v>35</v>
      </c>
      <c r="F568" s="9" t="s">
        <v>36</v>
      </c>
      <c r="G568" s="9" t="s">
        <v>124</v>
      </c>
      <c r="H568" s="8" t="s">
        <v>37</v>
      </c>
      <c r="I568" s="9" t="s">
        <v>38</v>
      </c>
      <c r="J568" s="9" t="s">
        <v>75</v>
      </c>
      <c r="L568" s="9" t="s">
        <v>39</v>
      </c>
      <c r="M568" s="9" t="s">
        <v>40</v>
      </c>
      <c r="N568" s="9" t="s">
        <v>39</v>
      </c>
      <c r="P568" s="9" t="s">
        <v>1931</v>
      </c>
      <c r="Q568" s="9" t="s">
        <v>1178</v>
      </c>
      <c r="R568" s="9" t="s">
        <v>42</v>
      </c>
      <c r="S568" s="10">
        <v>9200.0</v>
      </c>
      <c r="T568" s="11" t="s">
        <v>37</v>
      </c>
      <c r="V568" s="9">
        <v>18.0</v>
      </c>
      <c r="W568" s="9" t="s">
        <v>1932</v>
      </c>
      <c r="X568" s="9" t="s">
        <v>1933</v>
      </c>
      <c r="Y568" s="9" t="s">
        <v>131</v>
      </c>
      <c r="Z568" s="9" t="s">
        <v>423</v>
      </c>
      <c r="AA568" s="9" t="s">
        <v>81</v>
      </c>
      <c r="AB568" s="9" t="s">
        <v>61</v>
      </c>
      <c r="AD568" s="9">
        <v>9.0</v>
      </c>
      <c r="AE568" s="9">
        <v>5.0</v>
      </c>
      <c r="AF568" s="9">
        <v>3.0</v>
      </c>
      <c r="AG568" s="12">
        <v>3600.0</v>
      </c>
      <c r="AH568" s="13"/>
    </row>
    <row r="569">
      <c r="A569" s="14">
        <v>44403.860277789354</v>
      </c>
      <c r="B569" s="8">
        <f t="shared" si="1"/>
        <v>2021</v>
      </c>
      <c r="C569" s="8" t="s">
        <v>73</v>
      </c>
      <c r="D569" s="8">
        <v>26.0</v>
      </c>
      <c r="E569" s="8" t="s">
        <v>35</v>
      </c>
      <c r="F569" s="8" t="s">
        <v>36</v>
      </c>
      <c r="G569" s="8" t="s">
        <v>50</v>
      </c>
      <c r="H569" s="8" t="s">
        <v>180</v>
      </c>
      <c r="I569" s="8" t="s">
        <v>38</v>
      </c>
      <c r="J569" s="9" t="s">
        <v>75</v>
      </c>
      <c r="K569" s="9" t="s">
        <v>381</v>
      </c>
      <c r="L569" s="8" t="s">
        <v>39</v>
      </c>
      <c r="M569" s="8" t="s">
        <v>40</v>
      </c>
      <c r="N569" s="8" t="s">
        <v>40</v>
      </c>
      <c r="O569" s="15"/>
      <c r="P569" s="15"/>
      <c r="Q569" s="8" t="s">
        <v>119</v>
      </c>
      <c r="R569" s="9" t="s">
        <v>42</v>
      </c>
      <c r="S569" s="16">
        <v>4950.0</v>
      </c>
      <c r="T569" s="17">
        <v>5000.0</v>
      </c>
      <c r="U569" s="15"/>
      <c r="V569" s="8">
        <v>20.0</v>
      </c>
      <c r="W569" s="8" t="s">
        <v>1934</v>
      </c>
      <c r="X569" s="8" t="s">
        <v>1935</v>
      </c>
      <c r="Y569" s="8" t="s">
        <v>122</v>
      </c>
      <c r="Z569" s="8" t="s">
        <v>59</v>
      </c>
      <c r="AA569" s="8" t="s">
        <v>132</v>
      </c>
      <c r="AB569" s="8" t="s">
        <v>61</v>
      </c>
      <c r="AC569" s="15"/>
      <c r="AD569" s="8">
        <v>5.0</v>
      </c>
      <c r="AE569" s="8">
        <v>3.0</v>
      </c>
      <c r="AF569" s="8">
        <v>1.0</v>
      </c>
      <c r="AG569" s="18">
        <v>3600.0</v>
      </c>
      <c r="AH569" s="13"/>
      <c r="AI569" s="15"/>
      <c r="AJ569" s="15"/>
      <c r="AK569" s="15"/>
      <c r="AL569" s="15"/>
      <c r="AM569" s="15"/>
      <c r="AN569" s="15"/>
    </row>
    <row r="570">
      <c r="A570" s="7">
        <v>44411.00565840278</v>
      </c>
      <c r="B570" s="8">
        <f t="shared" si="1"/>
        <v>2021</v>
      </c>
      <c r="C570" s="9" t="s">
        <v>49</v>
      </c>
      <c r="D570" s="9">
        <v>28.0</v>
      </c>
      <c r="E570" s="9" t="s">
        <v>35</v>
      </c>
      <c r="F570" s="9" t="s">
        <v>36</v>
      </c>
      <c r="G570" s="8" t="s">
        <v>124</v>
      </c>
      <c r="H570" s="9" t="s">
        <v>156</v>
      </c>
      <c r="I570" s="9" t="s">
        <v>38</v>
      </c>
      <c r="J570" s="9" t="s">
        <v>1936</v>
      </c>
      <c r="K570" s="9" t="s">
        <v>84</v>
      </c>
      <c r="L570" s="9" t="s">
        <v>40</v>
      </c>
      <c r="M570" s="9" t="s">
        <v>40</v>
      </c>
      <c r="N570" s="9" t="s">
        <v>40</v>
      </c>
      <c r="Q570" s="8" t="s">
        <v>293</v>
      </c>
      <c r="R570" s="9" t="s">
        <v>42</v>
      </c>
      <c r="S570" s="10">
        <v>4000.0</v>
      </c>
      <c r="T570" s="11">
        <v>12000.0</v>
      </c>
      <c r="V570" s="9">
        <v>20.0</v>
      </c>
      <c r="W570" s="9" t="s">
        <v>1937</v>
      </c>
      <c r="X570" s="9" t="s">
        <v>1938</v>
      </c>
      <c r="Y570" s="9" t="s">
        <v>1031</v>
      </c>
      <c r="Z570" s="9" t="s">
        <v>155</v>
      </c>
      <c r="AA570" s="9" t="s">
        <v>81</v>
      </c>
      <c r="AB570" s="9" t="s">
        <v>91</v>
      </c>
      <c r="AD570" s="9">
        <v>7.0</v>
      </c>
      <c r="AE570" s="9">
        <v>1.5</v>
      </c>
      <c r="AF570" s="9">
        <v>1.0</v>
      </c>
      <c r="AG570" s="12">
        <v>3700.0</v>
      </c>
      <c r="AH570" s="13"/>
    </row>
    <row r="571">
      <c r="A571" s="7">
        <v>44403.99106665509</v>
      </c>
      <c r="B571" s="8">
        <f t="shared" si="1"/>
        <v>2021</v>
      </c>
      <c r="C571" s="9" t="s">
        <v>49</v>
      </c>
      <c r="D571" s="9">
        <v>26.0</v>
      </c>
      <c r="E571" s="9" t="s">
        <v>35</v>
      </c>
      <c r="F571" s="9" t="s">
        <v>36</v>
      </c>
      <c r="G571" s="8" t="s">
        <v>124</v>
      </c>
      <c r="H571" s="9" t="s">
        <v>156</v>
      </c>
      <c r="I571" s="9" t="s">
        <v>38</v>
      </c>
      <c r="J571" s="9" t="s">
        <v>160</v>
      </c>
      <c r="K571" s="9" t="s">
        <v>84</v>
      </c>
      <c r="L571" s="9" t="s">
        <v>39</v>
      </c>
      <c r="M571" s="9" t="s">
        <v>40</v>
      </c>
      <c r="N571" s="9" t="s">
        <v>39</v>
      </c>
      <c r="P571" s="9" t="s">
        <v>1939</v>
      </c>
      <c r="Q571" s="9" t="s">
        <v>1940</v>
      </c>
      <c r="R571" s="9" t="s">
        <v>42</v>
      </c>
      <c r="S571" s="10">
        <v>7600.0</v>
      </c>
      <c r="T571" s="11">
        <v>3800.0</v>
      </c>
      <c r="U571" s="9">
        <v>0.0</v>
      </c>
      <c r="V571" s="9">
        <v>20.0</v>
      </c>
      <c r="W571" s="9" t="s">
        <v>1941</v>
      </c>
      <c r="X571" s="9" t="s">
        <v>1942</v>
      </c>
      <c r="Y571" s="9" t="s">
        <v>122</v>
      </c>
      <c r="Z571" s="9" t="s">
        <v>347</v>
      </c>
      <c r="AA571" s="9" t="s">
        <v>60</v>
      </c>
      <c r="AB571" s="9" t="s">
        <v>61</v>
      </c>
      <c r="AD571" s="9">
        <v>4.0</v>
      </c>
      <c r="AE571" s="9">
        <v>4.0</v>
      </c>
      <c r="AF571" s="9">
        <v>2.0</v>
      </c>
      <c r="AG571" s="12">
        <v>3700.0</v>
      </c>
      <c r="AH571" s="13"/>
    </row>
    <row r="572">
      <c r="A572" s="7">
        <v>44404.92766939815</v>
      </c>
      <c r="B572" s="8">
        <f t="shared" si="1"/>
        <v>2021</v>
      </c>
      <c r="C572" s="9" t="s">
        <v>73</v>
      </c>
      <c r="D572" s="9">
        <v>26.0</v>
      </c>
      <c r="E572" s="9" t="s">
        <v>35</v>
      </c>
      <c r="F572" s="9" t="s">
        <v>36</v>
      </c>
      <c r="G572" s="8" t="s">
        <v>74</v>
      </c>
      <c r="H572" s="9" t="s">
        <v>212</v>
      </c>
      <c r="I572" s="9" t="s">
        <v>247</v>
      </c>
      <c r="J572" s="9" t="s">
        <v>475</v>
      </c>
      <c r="K572" s="8" t="s">
        <v>188</v>
      </c>
      <c r="L572" s="9" t="s">
        <v>39</v>
      </c>
      <c r="M572" s="9" t="s">
        <v>40</v>
      </c>
      <c r="N572" s="9" t="s">
        <v>40</v>
      </c>
      <c r="Q572" s="9" t="s">
        <v>584</v>
      </c>
      <c r="R572" s="9" t="s">
        <v>42</v>
      </c>
      <c r="S572" s="10">
        <v>3800.0</v>
      </c>
      <c r="T572" s="11">
        <v>0.0</v>
      </c>
      <c r="U572" s="9">
        <v>0.0</v>
      </c>
      <c r="V572" s="9">
        <v>12.0</v>
      </c>
      <c r="W572" s="9" t="s">
        <v>1943</v>
      </c>
      <c r="X572" s="9" t="s">
        <v>78</v>
      </c>
      <c r="Y572" s="9" t="s">
        <v>238</v>
      </c>
      <c r="Z572" s="9" t="s">
        <v>80</v>
      </c>
      <c r="AA572" s="9" t="s">
        <v>90</v>
      </c>
      <c r="AB572" s="9" t="s">
        <v>61</v>
      </c>
      <c r="AD572" s="9">
        <v>6.0</v>
      </c>
      <c r="AE572" s="9" t="s">
        <v>1944</v>
      </c>
      <c r="AF572" s="9">
        <v>0.0</v>
      </c>
      <c r="AG572" s="12">
        <v>3800.0</v>
      </c>
      <c r="AH572" s="9" t="s">
        <v>42</v>
      </c>
    </row>
    <row r="573">
      <c r="A573" s="7">
        <v>44449.679809444446</v>
      </c>
      <c r="B573" s="8">
        <f t="shared" si="1"/>
        <v>2021</v>
      </c>
      <c r="C573" s="9" t="s">
        <v>49</v>
      </c>
      <c r="D573" s="9">
        <v>23.0</v>
      </c>
      <c r="E573" s="9" t="s">
        <v>35</v>
      </c>
      <c r="F573" s="9" t="s">
        <v>36</v>
      </c>
      <c r="G573" s="8" t="s">
        <v>74</v>
      </c>
      <c r="H573" s="9" t="s">
        <v>212</v>
      </c>
      <c r="I573" s="9" t="s">
        <v>38</v>
      </c>
      <c r="J573" s="9" t="s">
        <v>160</v>
      </c>
      <c r="K573" s="9" t="s">
        <v>161</v>
      </c>
      <c r="L573" s="9" t="s">
        <v>39</v>
      </c>
      <c r="M573" s="9" t="s">
        <v>40</v>
      </c>
      <c r="N573" s="9" t="s">
        <v>40</v>
      </c>
      <c r="Q573" s="9" t="s">
        <v>146</v>
      </c>
      <c r="R573" s="9" t="s">
        <v>42</v>
      </c>
      <c r="S573" s="10">
        <v>3800.0</v>
      </c>
      <c r="T573" s="11">
        <v>0.0</v>
      </c>
      <c r="U573" s="9">
        <v>0.0</v>
      </c>
      <c r="V573" s="9">
        <v>14.0</v>
      </c>
      <c r="W573" s="9" t="s">
        <v>1945</v>
      </c>
      <c r="X573" s="9" t="s">
        <v>1946</v>
      </c>
      <c r="Y573" s="9" t="s">
        <v>124</v>
      </c>
      <c r="Z573" s="9" t="s">
        <v>350</v>
      </c>
      <c r="AA573" s="9" t="s">
        <v>60</v>
      </c>
      <c r="AB573" s="9" t="s">
        <v>61</v>
      </c>
      <c r="AD573" s="9">
        <v>5.0</v>
      </c>
      <c r="AE573" s="9" t="s">
        <v>1947</v>
      </c>
      <c r="AF573" s="9">
        <v>0.0</v>
      </c>
      <c r="AG573" s="12">
        <v>3800.0</v>
      </c>
      <c r="AH573" s="13"/>
    </row>
    <row r="574">
      <c r="A574" s="7">
        <v>44479.96940923611</v>
      </c>
      <c r="B574" s="8">
        <f t="shared" si="1"/>
        <v>2021</v>
      </c>
      <c r="C574" s="9" t="s">
        <v>49</v>
      </c>
      <c r="D574" s="9">
        <v>25.0</v>
      </c>
      <c r="E574" s="9" t="s">
        <v>35</v>
      </c>
      <c r="F574" s="9" t="s">
        <v>36</v>
      </c>
      <c r="G574" s="8" t="s">
        <v>124</v>
      </c>
      <c r="H574" s="9" t="s">
        <v>156</v>
      </c>
      <c r="I574" s="9" t="s">
        <v>38</v>
      </c>
      <c r="J574" s="9" t="s">
        <v>75</v>
      </c>
      <c r="K574" s="9" t="s">
        <v>166</v>
      </c>
      <c r="L574" s="9" t="s">
        <v>39</v>
      </c>
      <c r="M574" s="9" t="s">
        <v>40</v>
      </c>
      <c r="N574" s="9" t="s">
        <v>40</v>
      </c>
      <c r="Q574" s="9" t="s">
        <v>128</v>
      </c>
      <c r="R574" s="9" t="s">
        <v>42</v>
      </c>
      <c r="S574" s="10">
        <v>5800.0</v>
      </c>
      <c r="T574" s="11">
        <v>0.0</v>
      </c>
      <c r="U574" s="9">
        <v>0.0</v>
      </c>
      <c r="V574" s="9">
        <v>14.0</v>
      </c>
      <c r="W574" s="9" t="s">
        <v>467</v>
      </c>
      <c r="X574" s="9" t="s">
        <v>1948</v>
      </c>
      <c r="Y574" s="9" t="s">
        <v>122</v>
      </c>
      <c r="Z574" s="9" t="s">
        <v>1439</v>
      </c>
      <c r="AA574" s="9" t="s">
        <v>132</v>
      </c>
      <c r="AB574" s="9" t="s">
        <v>61</v>
      </c>
      <c r="AD574" s="9">
        <v>5.0</v>
      </c>
      <c r="AE574" s="9">
        <v>2.0</v>
      </c>
      <c r="AF574" s="9">
        <v>1.0</v>
      </c>
      <c r="AG574" s="12">
        <v>3800.0</v>
      </c>
      <c r="AH574" s="13"/>
    </row>
    <row r="575">
      <c r="A575" s="7">
        <v>44458.85280127315</v>
      </c>
      <c r="B575" s="8">
        <f t="shared" si="1"/>
        <v>2021</v>
      </c>
      <c r="C575" s="9" t="s">
        <v>49</v>
      </c>
      <c r="D575" s="9">
        <v>22.0</v>
      </c>
      <c r="E575" s="9" t="s">
        <v>35</v>
      </c>
      <c r="F575" s="9" t="s">
        <v>36</v>
      </c>
      <c r="G575" s="8" t="s">
        <v>63</v>
      </c>
      <c r="H575" s="9" t="s">
        <v>64</v>
      </c>
      <c r="I575" s="9" t="s">
        <v>93</v>
      </c>
      <c r="J575" s="9" t="s">
        <v>160</v>
      </c>
      <c r="K575" s="9" t="s">
        <v>166</v>
      </c>
      <c r="L575" s="9" t="s">
        <v>39</v>
      </c>
      <c r="M575" s="9" t="s">
        <v>40</v>
      </c>
      <c r="N575" s="9" t="s">
        <v>40</v>
      </c>
      <c r="Q575" s="9" t="s">
        <v>333</v>
      </c>
      <c r="R575" s="9" t="s">
        <v>42</v>
      </c>
      <c r="S575" s="10">
        <v>5500.0</v>
      </c>
      <c r="T575" s="11" t="s">
        <v>37</v>
      </c>
      <c r="V575" s="9">
        <v>14.0</v>
      </c>
      <c r="W575" s="9" t="s">
        <v>732</v>
      </c>
      <c r="X575" s="9" t="s">
        <v>1949</v>
      </c>
      <c r="Y575" s="9" t="s">
        <v>678</v>
      </c>
      <c r="Z575" s="9" t="s">
        <v>59</v>
      </c>
      <c r="AA575" s="9" t="s">
        <v>71</v>
      </c>
      <c r="AB575" s="9" t="s">
        <v>91</v>
      </c>
      <c r="AD575" s="9">
        <v>7.0</v>
      </c>
      <c r="AE575" s="9">
        <v>2.0</v>
      </c>
      <c r="AF575" s="9">
        <v>0.0</v>
      </c>
      <c r="AG575" s="12">
        <v>3800.0</v>
      </c>
      <c r="AH575" s="13"/>
    </row>
    <row r="576">
      <c r="A576" s="7">
        <v>44497.83234758102</v>
      </c>
      <c r="B576" s="8">
        <f t="shared" si="1"/>
        <v>2021</v>
      </c>
      <c r="C576" s="9" t="s">
        <v>49</v>
      </c>
      <c r="D576" s="9">
        <v>25.0</v>
      </c>
      <c r="E576" s="9" t="s">
        <v>35</v>
      </c>
      <c r="F576" s="9" t="s">
        <v>36</v>
      </c>
      <c r="G576" s="8" t="s">
        <v>50</v>
      </c>
      <c r="H576" s="9" t="s">
        <v>106</v>
      </c>
      <c r="I576" s="9" t="s">
        <v>38</v>
      </c>
      <c r="J576" s="9" t="s">
        <v>75</v>
      </c>
      <c r="K576" s="9" t="s">
        <v>166</v>
      </c>
      <c r="L576" s="9" t="s">
        <v>39</v>
      </c>
      <c r="M576" s="9" t="s">
        <v>40</v>
      </c>
      <c r="N576" s="9" t="s">
        <v>40</v>
      </c>
      <c r="Q576" s="9" t="s">
        <v>128</v>
      </c>
      <c r="R576" s="9" t="s">
        <v>42</v>
      </c>
      <c r="S576" s="10">
        <v>5800.0</v>
      </c>
      <c r="T576" s="11">
        <v>0.0</v>
      </c>
      <c r="U576" s="9">
        <v>0.0</v>
      </c>
      <c r="V576" s="9">
        <v>15.0</v>
      </c>
      <c r="W576" s="9" t="s">
        <v>1950</v>
      </c>
      <c r="X576" s="9" t="s">
        <v>224</v>
      </c>
      <c r="Y576" s="9" t="s">
        <v>122</v>
      </c>
      <c r="Z576" s="9" t="s">
        <v>59</v>
      </c>
      <c r="AA576" s="9" t="s">
        <v>132</v>
      </c>
      <c r="AB576" s="9" t="s">
        <v>61</v>
      </c>
      <c r="AD576" s="9">
        <v>6.0</v>
      </c>
      <c r="AE576" s="9">
        <v>2.0</v>
      </c>
      <c r="AF576" s="9">
        <v>1.0</v>
      </c>
      <c r="AG576" s="12">
        <v>3800.0</v>
      </c>
      <c r="AH576" s="13"/>
    </row>
    <row r="577">
      <c r="A577" s="7">
        <v>44414.55233439815</v>
      </c>
      <c r="B577" s="8">
        <f t="shared" si="1"/>
        <v>2021</v>
      </c>
      <c r="C577" s="9" t="s">
        <v>49</v>
      </c>
      <c r="D577" s="9">
        <v>23.0</v>
      </c>
      <c r="E577" s="9" t="s">
        <v>35</v>
      </c>
      <c r="F577" s="9" t="s">
        <v>36</v>
      </c>
      <c r="G577" s="8" t="s">
        <v>50</v>
      </c>
      <c r="H577" s="8" t="s">
        <v>37</v>
      </c>
      <c r="I577" s="9" t="s">
        <v>38</v>
      </c>
      <c r="J577" s="9" t="s">
        <v>160</v>
      </c>
      <c r="K577" s="9" t="s">
        <v>534</v>
      </c>
      <c r="L577" s="9" t="s">
        <v>39</v>
      </c>
      <c r="M577" s="9" t="s">
        <v>40</v>
      </c>
      <c r="N577" s="9" t="s">
        <v>40</v>
      </c>
      <c r="Q577" s="9" t="s">
        <v>128</v>
      </c>
      <c r="R577" s="9" t="s">
        <v>42</v>
      </c>
      <c r="S577" s="10">
        <v>6200.0</v>
      </c>
      <c r="T577" s="11">
        <v>0.0</v>
      </c>
      <c r="U577" s="9">
        <v>0.0</v>
      </c>
      <c r="V577" s="9">
        <v>15.0</v>
      </c>
      <c r="W577" s="9" t="s">
        <v>320</v>
      </c>
      <c r="X577" s="9" t="s">
        <v>1951</v>
      </c>
      <c r="Y577" s="9" t="s">
        <v>1952</v>
      </c>
      <c r="Z577" s="9" t="s">
        <v>228</v>
      </c>
      <c r="AA577" s="9" t="s">
        <v>90</v>
      </c>
      <c r="AB577" s="9" t="s">
        <v>91</v>
      </c>
      <c r="AD577" s="9">
        <v>8.0</v>
      </c>
      <c r="AE577" s="9">
        <v>1.0</v>
      </c>
      <c r="AF577" s="9">
        <v>1.0</v>
      </c>
      <c r="AG577" s="12">
        <v>3800.0</v>
      </c>
      <c r="AH577" s="13"/>
    </row>
    <row r="578">
      <c r="A578" s="14">
        <v>44403.88983403935</v>
      </c>
      <c r="B578" s="8">
        <f t="shared" si="1"/>
        <v>2021</v>
      </c>
      <c r="C578" s="8" t="s">
        <v>49</v>
      </c>
      <c r="D578" s="8">
        <v>26.0</v>
      </c>
      <c r="E578" s="8" t="s">
        <v>35</v>
      </c>
      <c r="F578" s="8" t="s">
        <v>36</v>
      </c>
      <c r="G578" s="8" t="s">
        <v>50</v>
      </c>
      <c r="H578" s="8" t="s">
        <v>1953</v>
      </c>
      <c r="I578" s="8" t="s">
        <v>38</v>
      </c>
      <c r="J578" s="9" t="s">
        <v>65</v>
      </c>
      <c r="K578" s="9" t="s">
        <v>534</v>
      </c>
      <c r="L578" s="8" t="s">
        <v>39</v>
      </c>
      <c r="M578" s="8" t="s">
        <v>40</v>
      </c>
      <c r="N578" s="8" t="s">
        <v>40</v>
      </c>
      <c r="O578" s="15"/>
      <c r="P578" s="15"/>
      <c r="Q578" s="8" t="s">
        <v>255</v>
      </c>
      <c r="R578" s="9" t="s">
        <v>42</v>
      </c>
      <c r="S578" s="16">
        <v>6600.0</v>
      </c>
      <c r="T578" s="17">
        <v>0.0</v>
      </c>
      <c r="U578" s="8">
        <v>0.0</v>
      </c>
      <c r="V578" s="8">
        <v>12.0</v>
      </c>
      <c r="W578" s="8" t="s">
        <v>1954</v>
      </c>
      <c r="X578" s="8" t="s">
        <v>1955</v>
      </c>
      <c r="Y578" s="8" t="s">
        <v>58</v>
      </c>
      <c r="Z578" s="8" t="s">
        <v>350</v>
      </c>
      <c r="AA578" s="8" t="s">
        <v>60</v>
      </c>
      <c r="AB578" s="8" t="s">
        <v>133</v>
      </c>
      <c r="AC578" s="15"/>
      <c r="AD578" s="8">
        <v>10.0</v>
      </c>
      <c r="AE578" s="8">
        <v>4.0</v>
      </c>
      <c r="AF578" s="8">
        <v>1.0</v>
      </c>
      <c r="AG578" s="18">
        <v>3800.0</v>
      </c>
      <c r="AH578" s="13"/>
      <c r="AI578" s="15"/>
      <c r="AJ578" s="15"/>
      <c r="AK578" s="15"/>
      <c r="AL578" s="15"/>
      <c r="AM578" s="15"/>
      <c r="AN578" s="15"/>
    </row>
    <row r="579">
      <c r="A579" s="14">
        <v>44403.845672870375</v>
      </c>
      <c r="B579" s="8">
        <f t="shared" si="1"/>
        <v>2021</v>
      </c>
      <c r="C579" s="8" t="s">
        <v>49</v>
      </c>
      <c r="D579" s="8">
        <v>23.0</v>
      </c>
      <c r="E579" s="8" t="s">
        <v>35</v>
      </c>
      <c r="F579" s="8" t="s">
        <v>36</v>
      </c>
      <c r="G579" s="8" t="s">
        <v>50</v>
      </c>
      <c r="H579" s="9" t="s">
        <v>570</v>
      </c>
      <c r="I579" s="8" t="s">
        <v>38</v>
      </c>
      <c r="J579" s="9" t="s">
        <v>75</v>
      </c>
      <c r="K579" s="9" t="s">
        <v>84</v>
      </c>
      <c r="L579" s="8" t="s">
        <v>39</v>
      </c>
      <c r="M579" s="8" t="s">
        <v>40</v>
      </c>
      <c r="N579" s="8" t="s">
        <v>40</v>
      </c>
      <c r="O579" s="15"/>
      <c r="P579" s="15"/>
      <c r="Q579" s="8" t="s">
        <v>119</v>
      </c>
      <c r="R579" s="9" t="s">
        <v>42</v>
      </c>
      <c r="S579" s="16">
        <v>5000.0</v>
      </c>
      <c r="T579" s="17">
        <v>5000.0</v>
      </c>
      <c r="U579" s="8">
        <v>0.0</v>
      </c>
      <c r="V579" s="8">
        <v>14.0</v>
      </c>
      <c r="W579" s="8" t="s">
        <v>1956</v>
      </c>
      <c r="X579" s="8" t="s">
        <v>1957</v>
      </c>
      <c r="Y579" s="8" t="s">
        <v>58</v>
      </c>
      <c r="Z579" s="8" t="s">
        <v>59</v>
      </c>
      <c r="AA579" s="8" t="s">
        <v>132</v>
      </c>
      <c r="AB579" s="8" t="s">
        <v>91</v>
      </c>
      <c r="AC579" s="15"/>
      <c r="AD579" s="8">
        <v>10.0</v>
      </c>
      <c r="AE579" s="8">
        <v>1.0</v>
      </c>
      <c r="AF579" s="8">
        <v>2.0</v>
      </c>
      <c r="AG579" s="18">
        <v>3800.0</v>
      </c>
      <c r="AH579" s="13"/>
      <c r="AI579" s="15"/>
      <c r="AJ579" s="15"/>
      <c r="AK579" s="15"/>
      <c r="AL579" s="15"/>
      <c r="AM579" s="15"/>
      <c r="AN579" s="15"/>
    </row>
    <row r="580">
      <c r="A580" s="14">
        <v>44403.8833641088</v>
      </c>
      <c r="B580" s="8">
        <f t="shared" si="1"/>
        <v>2021</v>
      </c>
      <c r="C580" s="8" t="s">
        <v>49</v>
      </c>
      <c r="D580" s="8">
        <v>22.0</v>
      </c>
      <c r="E580" s="8" t="s">
        <v>35</v>
      </c>
      <c r="F580" s="8" t="s">
        <v>36</v>
      </c>
      <c r="G580" s="8" t="s">
        <v>63</v>
      </c>
      <c r="H580" s="8" t="s">
        <v>64</v>
      </c>
      <c r="I580" s="8" t="s">
        <v>93</v>
      </c>
      <c r="J580" s="8" t="s">
        <v>160</v>
      </c>
      <c r="K580" s="9" t="s">
        <v>166</v>
      </c>
      <c r="L580" s="8" t="s">
        <v>39</v>
      </c>
      <c r="M580" s="8" t="s">
        <v>40</v>
      </c>
      <c r="N580" s="8" t="s">
        <v>40</v>
      </c>
      <c r="O580" s="15"/>
      <c r="P580" s="15"/>
      <c r="Q580" s="8" t="s">
        <v>119</v>
      </c>
      <c r="R580" s="9" t="s">
        <v>42</v>
      </c>
      <c r="S580" s="16">
        <v>5500.0</v>
      </c>
      <c r="T580" s="17">
        <v>1700.0</v>
      </c>
      <c r="U580" s="8">
        <v>66000.0</v>
      </c>
      <c r="V580" s="8">
        <v>14.0</v>
      </c>
      <c r="W580" s="8" t="s">
        <v>1958</v>
      </c>
      <c r="X580" s="8" t="s">
        <v>1959</v>
      </c>
      <c r="Y580" s="8" t="s">
        <v>58</v>
      </c>
      <c r="Z580" s="8" t="s">
        <v>59</v>
      </c>
      <c r="AA580" s="8" t="s">
        <v>71</v>
      </c>
      <c r="AB580" s="8" t="s">
        <v>91</v>
      </c>
      <c r="AC580" s="8" t="s">
        <v>1960</v>
      </c>
      <c r="AD580" s="8">
        <v>7.0</v>
      </c>
      <c r="AE580" s="8">
        <v>2.0</v>
      </c>
      <c r="AF580" s="8">
        <v>0.0</v>
      </c>
      <c r="AG580" s="18">
        <v>3800.0</v>
      </c>
      <c r="AH580" s="13"/>
      <c r="AI580" s="15"/>
      <c r="AJ580" s="15"/>
      <c r="AK580" s="15"/>
      <c r="AL580" s="15"/>
      <c r="AM580" s="15"/>
      <c r="AN580" s="15"/>
    </row>
    <row r="581">
      <c r="A581" s="7">
        <v>44403.93683832176</v>
      </c>
      <c r="B581" s="8">
        <f t="shared" si="1"/>
        <v>2021</v>
      </c>
      <c r="C581" s="9" t="s">
        <v>49</v>
      </c>
      <c r="D581" s="9">
        <v>26.0</v>
      </c>
      <c r="E581" s="9" t="s">
        <v>35</v>
      </c>
      <c r="F581" s="9" t="s">
        <v>36</v>
      </c>
      <c r="G581" s="8" t="s">
        <v>74</v>
      </c>
      <c r="H581" s="8" t="s">
        <v>74</v>
      </c>
      <c r="I581" s="9" t="s">
        <v>38</v>
      </c>
      <c r="J581" s="9" t="s">
        <v>220</v>
      </c>
      <c r="K581" s="9" t="s">
        <v>1961</v>
      </c>
      <c r="L581" s="9" t="s">
        <v>39</v>
      </c>
      <c r="M581" s="9" t="s">
        <v>40</v>
      </c>
      <c r="N581" s="9" t="s">
        <v>39</v>
      </c>
      <c r="P581" s="9" t="s">
        <v>1962</v>
      </c>
      <c r="Q581" s="9" t="s">
        <v>128</v>
      </c>
      <c r="R581" s="9" t="s">
        <v>42</v>
      </c>
      <c r="S581" s="10">
        <v>7000.0</v>
      </c>
      <c r="T581" s="11">
        <v>0.0</v>
      </c>
      <c r="U581" s="25">
        <v>0.0025</v>
      </c>
      <c r="V581" s="9">
        <v>14.0</v>
      </c>
      <c r="W581" s="9" t="s">
        <v>1963</v>
      </c>
      <c r="X581" s="9" t="s">
        <v>1964</v>
      </c>
      <c r="Y581" s="9" t="s">
        <v>122</v>
      </c>
      <c r="Z581" s="9" t="s">
        <v>89</v>
      </c>
      <c r="AA581" s="9" t="s">
        <v>71</v>
      </c>
      <c r="AB581" s="9" t="s">
        <v>61</v>
      </c>
      <c r="AD581" s="9">
        <v>9.0</v>
      </c>
      <c r="AE581" s="9">
        <v>3.0</v>
      </c>
      <c r="AF581" s="9">
        <v>1.0</v>
      </c>
      <c r="AG581" s="12">
        <v>3800.0</v>
      </c>
      <c r="AH581" s="13"/>
    </row>
    <row r="582">
      <c r="A582" s="7">
        <v>44403.9236984375</v>
      </c>
      <c r="B582" s="8">
        <f t="shared" si="1"/>
        <v>2021</v>
      </c>
      <c r="C582" s="9" t="s">
        <v>49</v>
      </c>
      <c r="D582" s="9">
        <v>23.0</v>
      </c>
      <c r="E582" s="9" t="s">
        <v>35</v>
      </c>
      <c r="F582" s="9" t="s">
        <v>36</v>
      </c>
      <c r="G582" s="8" t="s">
        <v>50</v>
      </c>
      <c r="H582" s="8" t="s">
        <v>180</v>
      </c>
      <c r="I582" s="9" t="s">
        <v>38</v>
      </c>
      <c r="J582" s="9" t="s">
        <v>160</v>
      </c>
      <c r="K582" s="9" t="s">
        <v>161</v>
      </c>
      <c r="L582" s="9" t="s">
        <v>39</v>
      </c>
      <c r="M582" s="9" t="s">
        <v>40</v>
      </c>
      <c r="N582" s="9" t="s">
        <v>40</v>
      </c>
      <c r="Q582" s="8" t="s">
        <v>255</v>
      </c>
      <c r="R582" s="9" t="s">
        <v>42</v>
      </c>
      <c r="S582" s="10">
        <v>3800.0</v>
      </c>
      <c r="T582" s="11">
        <v>600.0</v>
      </c>
      <c r="V582" s="9">
        <v>14.0</v>
      </c>
      <c r="W582" s="9" t="s">
        <v>1965</v>
      </c>
      <c r="X582" s="9" t="s">
        <v>1966</v>
      </c>
      <c r="Y582" s="9" t="s">
        <v>88</v>
      </c>
      <c r="Z582" s="9" t="s">
        <v>59</v>
      </c>
      <c r="AA582" s="9" t="s">
        <v>132</v>
      </c>
      <c r="AB582" s="9" t="s">
        <v>61</v>
      </c>
      <c r="AD582" s="9">
        <v>5.0</v>
      </c>
      <c r="AE582" s="9">
        <v>1.5</v>
      </c>
      <c r="AF582" s="9">
        <v>0.0</v>
      </c>
      <c r="AG582" s="12">
        <v>3800.0</v>
      </c>
      <c r="AH582" s="13"/>
    </row>
    <row r="583">
      <c r="A583" s="7">
        <v>44403.989985231485</v>
      </c>
      <c r="B583" s="8">
        <f t="shared" si="1"/>
        <v>2021</v>
      </c>
      <c r="C583" s="9" t="s">
        <v>49</v>
      </c>
      <c r="D583" s="9">
        <v>23.0</v>
      </c>
      <c r="E583" s="9" t="s">
        <v>35</v>
      </c>
      <c r="F583" s="9" t="s">
        <v>36</v>
      </c>
      <c r="G583" s="8" t="s">
        <v>50</v>
      </c>
      <c r="H583" s="9" t="s">
        <v>354</v>
      </c>
      <c r="I583" s="9" t="s">
        <v>38</v>
      </c>
      <c r="J583" s="9" t="s">
        <v>160</v>
      </c>
      <c r="K583" s="9" t="s">
        <v>84</v>
      </c>
      <c r="L583" s="9" t="s">
        <v>39</v>
      </c>
      <c r="M583" s="9" t="s">
        <v>40</v>
      </c>
      <c r="N583" s="9" t="s">
        <v>40</v>
      </c>
      <c r="Q583" s="9" t="s">
        <v>146</v>
      </c>
      <c r="R583" s="9" t="s">
        <v>42</v>
      </c>
      <c r="S583" s="10">
        <v>3800.0</v>
      </c>
      <c r="T583" s="11">
        <v>0.0</v>
      </c>
      <c r="U583" s="9">
        <v>0.0</v>
      </c>
      <c r="V583" s="9">
        <v>15.0</v>
      </c>
      <c r="W583" s="9" t="s">
        <v>1967</v>
      </c>
      <c r="X583" s="9" t="s">
        <v>1968</v>
      </c>
      <c r="Y583" s="9" t="s">
        <v>1969</v>
      </c>
      <c r="Z583" s="9" t="s">
        <v>59</v>
      </c>
      <c r="AA583" s="9" t="s">
        <v>132</v>
      </c>
      <c r="AB583" s="9" t="s">
        <v>61</v>
      </c>
      <c r="AC583" s="9" t="s">
        <v>1970</v>
      </c>
      <c r="AD583" s="9">
        <v>4.0</v>
      </c>
      <c r="AE583" s="9" t="s">
        <v>1971</v>
      </c>
      <c r="AF583" s="9">
        <v>0.0</v>
      </c>
      <c r="AG583" s="12">
        <v>3800.0</v>
      </c>
      <c r="AH583" s="13"/>
    </row>
    <row r="584">
      <c r="A584" s="7">
        <v>44403.9839602662</v>
      </c>
      <c r="B584" s="8">
        <f t="shared" si="1"/>
        <v>2021</v>
      </c>
      <c r="C584" s="9" t="s">
        <v>49</v>
      </c>
      <c r="D584" s="9">
        <v>23.0</v>
      </c>
      <c r="E584" s="9" t="s">
        <v>35</v>
      </c>
      <c r="F584" s="9" t="s">
        <v>36</v>
      </c>
      <c r="G584" s="9" t="s">
        <v>1972</v>
      </c>
      <c r="H584" s="9" t="s">
        <v>206</v>
      </c>
      <c r="I584" s="9" t="s">
        <v>38</v>
      </c>
      <c r="J584" s="9" t="s">
        <v>75</v>
      </c>
      <c r="K584" s="9" t="s">
        <v>200</v>
      </c>
      <c r="L584" s="9" t="s">
        <v>39</v>
      </c>
      <c r="M584" s="9" t="s">
        <v>39</v>
      </c>
      <c r="N584" s="9" t="s">
        <v>39</v>
      </c>
      <c r="O584" s="9" t="s">
        <v>717</v>
      </c>
      <c r="Q584" s="9" t="s">
        <v>746</v>
      </c>
      <c r="R584" s="9" t="s">
        <v>42</v>
      </c>
      <c r="S584" s="10">
        <v>3800.0</v>
      </c>
      <c r="T584" s="11">
        <v>0.0</v>
      </c>
      <c r="V584" s="9">
        <v>15.0</v>
      </c>
      <c r="W584" s="9" t="s">
        <v>1973</v>
      </c>
      <c r="X584" s="9" t="s">
        <v>1974</v>
      </c>
      <c r="Y584" s="9" t="s">
        <v>604</v>
      </c>
      <c r="Z584" s="9" t="s">
        <v>159</v>
      </c>
      <c r="AA584" s="9" t="s">
        <v>132</v>
      </c>
      <c r="AB584" s="9" t="s">
        <v>61</v>
      </c>
      <c r="AD584" s="9">
        <v>8.0</v>
      </c>
      <c r="AE584" s="9">
        <v>1.0</v>
      </c>
      <c r="AF584" s="9">
        <v>0.0</v>
      </c>
      <c r="AG584" s="12">
        <v>3800.0</v>
      </c>
      <c r="AH584" s="13"/>
    </row>
    <row r="585">
      <c r="A585" s="14">
        <v>44403.851690104166</v>
      </c>
      <c r="B585" s="8">
        <f t="shared" si="1"/>
        <v>2021</v>
      </c>
      <c r="C585" s="8" t="s">
        <v>49</v>
      </c>
      <c r="D585" s="8">
        <v>22.0</v>
      </c>
      <c r="E585" s="8" t="s">
        <v>35</v>
      </c>
      <c r="F585" s="8" t="s">
        <v>36</v>
      </c>
      <c r="G585" s="8" t="s">
        <v>50</v>
      </c>
      <c r="H585" s="8" t="s">
        <v>539</v>
      </c>
      <c r="I585" s="8" t="s">
        <v>38</v>
      </c>
      <c r="J585" s="9" t="s">
        <v>160</v>
      </c>
      <c r="K585" s="9" t="s">
        <v>161</v>
      </c>
      <c r="L585" s="8" t="s">
        <v>39</v>
      </c>
      <c r="M585" s="8" t="s">
        <v>40</v>
      </c>
      <c r="N585" s="8" t="s">
        <v>40</v>
      </c>
      <c r="O585" s="15"/>
      <c r="P585" s="15"/>
      <c r="Q585" s="9" t="s">
        <v>128</v>
      </c>
      <c r="R585" s="9" t="s">
        <v>42</v>
      </c>
      <c r="S585" s="16">
        <v>3800.0</v>
      </c>
      <c r="T585" s="17">
        <v>0.0</v>
      </c>
      <c r="U585" s="8">
        <v>0.0</v>
      </c>
      <c r="V585" s="8">
        <v>16.0</v>
      </c>
      <c r="W585" s="8" t="s">
        <v>1975</v>
      </c>
      <c r="X585" s="8" t="s">
        <v>1976</v>
      </c>
      <c r="Y585" s="8" t="s">
        <v>122</v>
      </c>
      <c r="Z585" s="8" t="s">
        <v>89</v>
      </c>
      <c r="AA585" s="8" t="s">
        <v>132</v>
      </c>
      <c r="AB585" s="8" t="s">
        <v>61</v>
      </c>
      <c r="AC585" s="15"/>
      <c r="AD585" s="8">
        <v>6.0</v>
      </c>
      <c r="AE585" s="8">
        <v>0.5</v>
      </c>
      <c r="AF585" s="8">
        <v>0.0</v>
      </c>
      <c r="AG585" s="18">
        <v>3800.0</v>
      </c>
      <c r="AH585" s="13"/>
      <c r="AI585" s="15"/>
      <c r="AJ585" s="15"/>
      <c r="AK585" s="15"/>
      <c r="AL585" s="15"/>
      <c r="AM585" s="15"/>
      <c r="AN585" s="15"/>
    </row>
    <row r="586">
      <c r="A586" s="7">
        <v>44404.39360471065</v>
      </c>
      <c r="B586" s="8">
        <f t="shared" si="1"/>
        <v>2021</v>
      </c>
      <c r="C586" s="9" t="s">
        <v>49</v>
      </c>
      <c r="D586" s="9">
        <v>28.0</v>
      </c>
      <c r="E586" s="9" t="s">
        <v>35</v>
      </c>
      <c r="F586" s="9" t="s">
        <v>36</v>
      </c>
      <c r="G586" s="8" t="s">
        <v>124</v>
      </c>
      <c r="H586" s="9" t="s">
        <v>1454</v>
      </c>
      <c r="I586" s="9" t="s">
        <v>38</v>
      </c>
      <c r="J586" s="9" t="s">
        <v>75</v>
      </c>
      <c r="K586" s="9" t="s">
        <v>355</v>
      </c>
      <c r="L586" s="9" t="s">
        <v>39</v>
      </c>
      <c r="M586" s="9" t="s">
        <v>40</v>
      </c>
      <c r="N586" s="9" t="s">
        <v>40</v>
      </c>
      <c r="Q586" s="9" t="s">
        <v>1977</v>
      </c>
      <c r="R586" s="9" t="s">
        <v>42</v>
      </c>
      <c r="S586" s="10">
        <v>12000.0</v>
      </c>
      <c r="T586" s="11">
        <v>0.0</v>
      </c>
      <c r="U586" s="9">
        <v>0.0</v>
      </c>
      <c r="V586" s="9">
        <v>20.0</v>
      </c>
      <c r="W586" s="9" t="s">
        <v>1978</v>
      </c>
      <c r="X586" s="9" t="s">
        <v>1979</v>
      </c>
      <c r="Y586" s="9" t="s">
        <v>99</v>
      </c>
      <c r="Z586" s="9" t="s">
        <v>197</v>
      </c>
      <c r="AA586" s="9" t="s">
        <v>132</v>
      </c>
      <c r="AB586" s="9" t="s">
        <v>91</v>
      </c>
      <c r="AD586" s="9">
        <v>7.0</v>
      </c>
      <c r="AE586" s="9">
        <v>5.0</v>
      </c>
      <c r="AF586" s="9">
        <v>4.0</v>
      </c>
      <c r="AG586" s="12">
        <v>3800.0</v>
      </c>
      <c r="AH586" s="13"/>
    </row>
    <row r="587">
      <c r="A587" s="7">
        <v>44477.56152862268</v>
      </c>
      <c r="B587" s="8">
        <f t="shared" si="1"/>
        <v>2021</v>
      </c>
      <c r="C587" s="9" t="s">
        <v>49</v>
      </c>
      <c r="D587" s="9">
        <v>23.0</v>
      </c>
      <c r="E587" s="9" t="s">
        <v>35</v>
      </c>
      <c r="F587" s="9" t="s">
        <v>36</v>
      </c>
      <c r="G587" s="8" t="s">
        <v>124</v>
      </c>
      <c r="H587" s="9" t="s">
        <v>156</v>
      </c>
      <c r="I587" s="9" t="s">
        <v>38</v>
      </c>
      <c r="J587" s="9" t="s">
        <v>75</v>
      </c>
      <c r="L587" s="9" t="s">
        <v>39</v>
      </c>
      <c r="M587" s="9" t="s">
        <v>40</v>
      </c>
      <c r="N587" s="9" t="s">
        <v>40</v>
      </c>
      <c r="Q587" s="9" t="s">
        <v>128</v>
      </c>
      <c r="R587" s="9" t="s">
        <v>42</v>
      </c>
      <c r="S587" s="10">
        <v>3900.0</v>
      </c>
      <c r="T587" s="11" t="s">
        <v>37</v>
      </c>
      <c r="V587" s="9">
        <v>15.0</v>
      </c>
      <c r="W587" s="9" t="s">
        <v>1980</v>
      </c>
      <c r="X587" s="9" t="s">
        <v>1981</v>
      </c>
      <c r="Y587" s="9" t="s">
        <v>1982</v>
      </c>
      <c r="Z587" s="9" t="s">
        <v>481</v>
      </c>
      <c r="AA587" s="9" t="s">
        <v>90</v>
      </c>
      <c r="AB587" s="9" t="s">
        <v>91</v>
      </c>
      <c r="AD587" s="9">
        <v>9.0</v>
      </c>
      <c r="AE587" s="9">
        <v>0.5</v>
      </c>
      <c r="AF587" s="9">
        <v>0.0</v>
      </c>
      <c r="AG587" s="12">
        <v>3900.0</v>
      </c>
      <c r="AH587" s="13"/>
    </row>
    <row r="588">
      <c r="A588" s="7">
        <v>44424.827006273146</v>
      </c>
      <c r="B588" s="8">
        <f t="shared" si="1"/>
        <v>2021</v>
      </c>
      <c r="C588" s="9" t="s">
        <v>49</v>
      </c>
      <c r="D588" s="9">
        <v>27.0</v>
      </c>
      <c r="E588" s="9" t="s">
        <v>35</v>
      </c>
      <c r="F588" s="9" t="s">
        <v>36</v>
      </c>
      <c r="G588" s="8" t="s">
        <v>124</v>
      </c>
      <c r="H588" s="9" t="s">
        <v>601</v>
      </c>
      <c r="I588" s="9" t="s">
        <v>38</v>
      </c>
      <c r="J588" s="9" t="s">
        <v>75</v>
      </c>
      <c r="K588" s="9" t="s">
        <v>1983</v>
      </c>
      <c r="L588" s="9" t="s">
        <v>39</v>
      </c>
      <c r="M588" s="9" t="s">
        <v>40</v>
      </c>
      <c r="N588" s="9" t="s">
        <v>40</v>
      </c>
      <c r="Q588" s="9" t="s">
        <v>746</v>
      </c>
      <c r="R588" s="9" t="s">
        <v>42</v>
      </c>
      <c r="S588" s="10">
        <v>6600.0</v>
      </c>
      <c r="T588" s="11">
        <v>15000.0</v>
      </c>
      <c r="U588" s="9">
        <v>0.0</v>
      </c>
      <c r="V588" s="9">
        <v>24.0</v>
      </c>
      <c r="W588" s="9" t="s">
        <v>1984</v>
      </c>
      <c r="X588" s="9" t="s">
        <v>1985</v>
      </c>
      <c r="Y588" s="9" t="s">
        <v>124</v>
      </c>
      <c r="Z588" s="9" t="s">
        <v>197</v>
      </c>
      <c r="AA588" s="9" t="s">
        <v>81</v>
      </c>
      <c r="AB588" s="9" t="s">
        <v>61</v>
      </c>
      <c r="AD588" s="9">
        <v>4.0</v>
      </c>
      <c r="AE588" s="9">
        <v>4.0</v>
      </c>
      <c r="AF588" s="9">
        <v>0.0</v>
      </c>
      <c r="AG588" s="12">
        <v>3900.0</v>
      </c>
      <c r="AH588" s="13"/>
    </row>
    <row r="589">
      <c r="A589" s="14">
        <v>44403.891670833335</v>
      </c>
      <c r="B589" s="8">
        <f t="shared" si="1"/>
        <v>2021</v>
      </c>
      <c r="C589" s="8" t="s">
        <v>49</v>
      </c>
      <c r="D589" s="8">
        <v>24.0</v>
      </c>
      <c r="E589" s="8" t="s">
        <v>35</v>
      </c>
      <c r="F589" s="8" t="s">
        <v>36</v>
      </c>
      <c r="G589" s="8" t="s">
        <v>124</v>
      </c>
      <c r="H589" s="9" t="s">
        <v>156</v>
      </c>
      <c r="I589" s="8" t="s">
        <v>38</v>
      </c>
      <c r="J589" s="9" t="s">
        <v>160</v>
      </c>
      <c r="K589" s="9" t="s">
        <v>161</v>
      </c>
      <c r="L589" s="8" t="s">
        <v>39</v>
      </c>
      <c r="M589" s="8" t="s">
        <v>40</v>
      </c>
      <c r="N589" s="8" t="s">
        <v>40</v>
      </c>
      <c r="O589" s="15"/>
      <c r="P589" s="15"/>
      <c r="Q589" s="8" t="s">
        <v>293</v>
      </c>
      <c r="R589" s="9" t="s">
        <v>42</v>
      </c>
      <c r="S589" s="16">
        <v>5000.0</v>
      </c>
      <c r="T589" s="17">
        <v>0.0</v>
      </c>
      <c r="U589" s="15"/>
      <c r="V589" s="8">
        <v>14.0</v>
      </c>
      <c r="W589" s="8" t="s">
        <v>1986</v>
      </c>
      <c r="X589" s="8" t="s">
        <v>1987</v>
      </c>
      <c r="Y589" s="8" t="s">
        <v>124</v>
      </c>
      <c r="Z589" s="8" t="s">
        <v>59</v>
      </c>
      <c r="AA589" s="8" t="s">
        <v>132</v>
      </c>
      <c r="AB589" s="8" t="s">
        <v>133</v>
      </c>
      <c r="AC589" s="8" t="s">
        <v>1988</v>
      </c>
      <c r="AD589" s="8">
        <v>8.0</v>
      </c>
      <c r="AE589" s="8">
        <v>2.0</v>
      </c>
      <c r="AF589" s="8">
        <v>1.0</v>
      </c>
      <c r="AG589" s="18">
        <v>3950.0</v>
      </c>
      <c r="AH589" s="13"/>
      <c r="AI589" s="15"/>
      <c r="AJ589" s="15"/>
      <c r="AK589" s="15"/>
      <c r="AL589" s="15"/>
      <c r="AM589" s="15"/>
      <c r="AN589" s="15"/>
    </row>
    <row r="590">
      <c r="A590" s="7">
        <v>44404.01290890046</v>
      </c>
      <c r="B590" s="8">
        <f t="shared" si="1"/>
        <v>2021</v>
      </c>
      <c r="C590" s="9" t="s">
        <v>73</v>
      </c>
      <c r="D590" s="9">
        <v>24.0</v>
      </c>
      <c r="E590" s="9" t="s">
        <v>35</v>
      </c>
      <c r="F590" s="9" t="s">
        <v>36</v>
      </c>
      <c r="G590" s="8" t="s">
        <v>50</v>
      </c>
      <c r="H590" s="9" t="s">
        <v>82</v>
      </c>
      <c r="I590" s="9" t="s">
        <v>38</v>
      </c>
      <c r="J590" s="9" t="s">
        <v>160</v>
      </c>
      <c r="K590" s="9" t="s">
        <v>221</v>
      </c>
      <c r="L590" s="9" t="s">
        <v>39</v>
      </c>
      <c r="M590" s="9" t="s">
        <v>40</v>
      </c>
      <c r="N590" s="9" t="s">
        <v>40</v>
      </c>
      <c r="Q590" s="9" t="s">
        <v>584</v>
      </c>
      <c r="R590" s="9" t="s">
        <v>42</v>
      </c>
      <c r="S590" s="10">
        <v>3960.0</v>
      </c>
      <c r="T590" s="11">
        <v>0.0</v>
      </c>
      <c r="U590" s="9">
        <v>0.0</v>
      </c>
      <c r="V590" s="9">
        <v>15.0</v>
      </c>
      <c r="W590" s="9" t="s">
        <v>1989</v>
      </c>
      <c r="X590" s="9" t="s">
        <v>1990</v>
      </c>
      <c r="Y590" s="9" t="s">
        <v>122</v>
      </c>
      <c r="Z590" s="9" t="s">
        <v>89</v>
      </c>
      <c r="AA590" s="9" t="s">
        <v>71</v>
      </c>
      <c r="AB590" s="9" t="s">
        <v>61</v>
      </c>
      <c r="AD590" s="9">
        <v>7.0</v>
      </c>
      <c r="AE590" s="9">
        <v>0.0</v>
      </c>
      <c r="AF590" s="9">
        <v>0.0</v>
      </c>
      <c r="AG590" s="12">
        <v>3960.0</v>
      </c>
      <c r="AH590" s="13"/>
    </row>
    <row r="591">
      <c r="A591" s="7">
        <v>44416.554201527775</v>
      </c>
      <c r="B591" s="8">
        <f t="shared" si="1"/>
        <v>2021</v>
      </c>
      <c r="C591" s="9" t="s">
        <v>49</v>
      </c>
      <c r="D591" s="9">
        <v>24.0</v>
      </c>
      <c r="E591" s="9" t="s">
        <v>35</v>
      </c>
      <c r="F591" s="9" t="s">
        <v>36</v>
      </c>
      <c r="G591" s="8" t="s">
        <v>74</v>
      </c>
      <c r="H591" s="8" t="s">
        <v>482</v>
      </c>
      <c r="I591" s="9" t="s">
        <v>38</v>
      </c>
      <c r="J591" s="9" t="s">
        <v>1991</v>
      </c>
      <c r="K591" s="9" t="s">
        <v>1039</v>
      </c>
      <c r="L591" s="9" t="s">
        <v>39</v>
      </c>
      <c r="M591" s="9" t="s">
        <v>39</v>
      </c>
      <c r="N591" s="9" t="s">
        <v>40</v>
      </c>
      <c r="O591" s="9" t="s">
        <v>1992</v>
      </c>
      <c r="Q591" s="9" t="s">
        <v>1993</v>
      </c>
      <c r="R591" s="9" t="s">
        <v>42</v>
      </c>
      <c r="S591" s="10">
        <v>4000.0</v>
      </c>
      <c r="T591" s="11">
        <v>0.0</v>
      </c>
      <c r="U591" s="9">
        <v>0.0</v>
      </c>
      <c r="V591" s="9">
        <v>0.0</v>
      </c>
      <c r="W591" s="9" t="s">
        <v>1994</v>
      </c>
      <c r="X591" s="9" t="s">
        <v>1995</v>
      </c>
      <c r="Y591" s="9" t="s">
        <v>79</v>
      </c>
      <c r="Z591" s="9" t="s">
        <v>1996</v>
      </c>
      <c r="AA591" s="9" t="s">
        <v>132</v>
      </c>
      <c r="AB591" s="9" t="s">
        <v>133</v>
      </c>
      <c r="AC591" s="9" t="s">
        <v>1997</v>
      </c>
      <c r="AD591" s="9">
        <v>10.0</v>
      </c>
      <c r="AE591" s="9" t="s">
        <v>1998</v>
      </c>
      <c r="AF591" s="9">
        <v>0.0</v>
      </c>
      <c r="AG591" s="12">
        <v>4000.0</v>
      </c>
      <c r="AH591" s="9" t="s">
        <v>42</v>
      </c>
    </row>
    <row r="592">
      <c r="A592" s="7">
        <v>44510.89119164352</v>
      </c>
      <c r="B592" s="8">
        <f t="shared" si="1"/>
        <v>2021</v>
      </c>
      <c r="C592" s="9" t="s">
        <v>49</v>
      </c>
      <c r="D592" s="9">
        <v>23.0</v>
      </c>
      <c r="E592" s="9" t="s">
        <v>35</v>
      </c>
      <c r="F592" s="9" t="s">
        <v>36</v>
      </c>
      <c r="G592" s="8" t="s">
        <v>74</v>
      </c>
      <c r="H592" s="8" t="s">
        <v>37</v>
      </c>
      <c r="I592" s="9" t="s">
        <v>38</v>
      </c>
      <c r="J592" s="9" t="s">
        <v>143</v>
      </c>
      <c r="K592" s="9" t="s">
        <v>234</v>
      </c>
      <c r="L592" s="9" t="s">
        <v>39</v>
      </c>
      <c r="M592" s="9" t="s">
        <v>40</v>
      </c>
      <c r="N592" s="9" t="s">
        <v>40</v>
      </c>
      <c r="Q592" s="9" t="s">
        <v>128</v>
      </c>
      <c r="R592" s="9" t="s">
        <v>42</v>
      </c>
      <c r="S592" s="10">
        <v>4000.0</v>
      </c>
      <c r="T592" s="11">
        <v>0.0</v>
      </c>
      <c r="U592" s="9">
        <v>0.0</v>
      </c>
      <c r="V592" s="9">
        <v>3.0</v>
      </c>
      <c r="W592" s="9" t="s">
        <v>1999</v>
      </c>
      <c r="X592" s="9" t="s">
        <v>2000</v>
      </c>
      <c r="Y592" s="9" t="s">
        <v>363</v>
      </c>
      <c r="Z592" s="9" t="s">
        <v>80</v>
      </c>
      <c r="AA592" s="9" t="s">
        <v>81</v>
      </c>
      <c r="AB592" s="9" t="s">
        <v>61</v>
      </c>
      <c r="AD592" s="9">
        <v>5.0</v>
      </c>
      <c r="AE592" s="9">
        <v>1.0</v>
      </c>
      <c r="AF592" s="9">
        <v>1.0</v>
      </c>
      <c r="AG592" s="12">
        <v>4000.0</v>
      </c>
      <c r="AH592" s="9" t="s">
        <v>42</v>
      </c>
    </row>
    <row r="593">
      <c r="A593" s="7">
        <v>44425.901943715275</v>
      </c>
      <c r="B593" s="8">
        <f t="shared" si="1"/>
        <v>2021</v>
      </c>
      <c r="C593" s="9" t="s">
        <v>49</v>
      </c>
      <c r="D593" s="9">
        <v>24.0</v>
      </c>
      <c r="E593" s="9" t="s">
        <v>2001</v>
      </c>
      <c r="F593" s="9" t="s">
        <v>36</v>
      </c>
      <c r="G593" s="8" t="s">
        <v>50</v>
      </c>
      <c r="H593" s="9" t="s">
        <v>812</v>
      </c>
      <c r="I593" s="9" t="s">
        <v>118</v>
      </c>
      <c r="J593" s="9" t="s">
        <v>367</v>
      </c>
      <c r="K593" s="9" t="s">
        <v>2002</v>
      </c>
      <c r="L593" s="9" t="s">
        <v>40</v>
      </c>
      <c r="M593" s="9" t="s">
        <v>40</v>
      </c>
      <c r="N593" s="9" t="s">
        <v>40</v>
      </c>
      <c r="Q593" s="9" t="s">
        <v>101</v>
      </c>
      <c r="R593" s="9" t="s">
        <v>42</v>
      </c>
      <c r="S593" s="10">
        <v>6000.0</v>
      </c>
      <c r="T593" s="11">
        <v>0.0</v>
      </c>
      <c r="U593" s="9">
        <v>0.0</v>
      </c>
      <c r="V593" s="9">
        <v>10.0</v>
      </c>
      <c r="W593" s="9" t="s">
        <v>1044</v>
      </c>
      <c r="X593" s="9" t="s">
        <v>2003</v>
      </c>
      <c r="Y593" s="9" t="s">
        <v>58</v>
      </c>
      <c r="Z593" s="9" t="s">
        <v>228</v>
      </c>
      <c r="AA593" s="9" t="s">
        <v>71</v>
      </c>
      <c r="AB593" s="9" t="s">
        <v>61</v>
      </c>
      <c r="AD593" s="9">
        <v>7.0</v>
      </c>
      <c r="AE593" s="9">
        <v>1.0</v>
      </c>
      <c r="AF593" s="9">
        <v>0.0</v>
      </c>
      <c r="AG593" s="12">
        <v>4000.0</v>
      </c>
      <c r="AH593" s="9" t="s">
        <v>42</v>
      </c>
    </row>
    <row r="594">
      <c r="A594" s="7">
        <v>44644.38535082176</v>
      </c>
      <c r="B594" s="8">
        <f t="shared" si="1"/>
        <v>2022</v>
      </c>
      <c r="C594" s="9" t="s">
        <v>49</v>
      </c>
      <c r="D594" s="9">
        <v>28.0</v>
      </c>
      <c r="E594" s="9" t="s">
        <v>35</v>
      </c>
      <c r="F594" s="9" t="s">
        <v>36</v>
      </c>
      <c r="G594" s="8" t="s">
        <v>50</v>
      </c>
      <c r="H594" s="8" t="s">
        <v>180</v>
      </c>
      <c r="I594" s="9" t="s">
        <v>38</v>
      </c>
      <c r="J594" s="9" t="s">
        <v>160</v>
      </c>
      <c r="K594" s="9" t="s">
        <v>1527</v>
      </c>
      <c r="L594" s="9" t="s">
        <v>39</v>
      </c>
      <c r="M594" s="9" t="s">
        <v>40</v>
      </c>
      <c r="N594" s="9" t="s">
        <v>40</v>
      </c>
      <c r="Q594" s="9" t="s">
        <v>308</v>
      </c>
      <c r="R594" s="9" t="s">
        <v>42</v>
      </c>
      <c r="S594" s="10">
        <v>6500.0</v>
      </c>
      <c r="T594" s="11">
        <v>0.0</v>
      </c>
      <c r="U594" s="9">
        <v>0.0</v>
      </c>
      <c r="V594" s="9">
        <v>12.0</v>
      </c>
      <c r="W594" s="9" t="s">
        <v>2004</v>
      </c>
      <c r="X594" s="9" t="s">
        <v>2005</v>
      </c>
      <c r="Y594" s="9" t="s">
        <v>58</v>
      </c>
      <c r="Z594" s="9" t="s">
        <v>59</v>
      </c>
      <c r="AA594" s="9" t="s">
        <v>71</v>
      </c>
      <c r="AB594" s="9" t="s">
        <v>61</v>
      </c>
      <c r="AD594" s="9">
        <v>6.0</v>
      </c>
      <c r="AE594" s="9">
        <v>5.0</v>
      </c>
      <c r="AF594" s="9">
        <v>2.0</v>
      </c>
      <c r="AG594" s="12">
        <v>4000.0</v>
      </c>
      <c r="AH594" s="9" t="s">
        <v>42</v>
      </c>
    </row>
    <row r="595">
      <c r="A595" s="7">
        <v>44423.639003159726</v>
      </c>
      <c r="B595" s="8">
        <f t="shared" si="1"/>
        <v>2021</v>
      </c>
      <c r="C595" s="9" t="s">
        <v>73</v>
      </c>
      <c r="D595" s="9">
        <v>28.0</v>
      </c>
      <c r="E595" s="9" t="s">
        <v>35</v>
      </c>
      <c r="F595" s="9" t="s">
        <v>36</v>
      </c>
      <c r="G595" s="8" t="s">
        <v>74</v>
      </c>
      <c r="H595" s="8" t="s">
        <v>37</v>
      </c>
      <c r="I595" s="9" t="s">
        <v>38</v>
      </c>
      <c r="J595" s="9" t="s">
        <v>160</v>
      </c>
      <c r="L595" s="9" t="s">
        <v>39</v>
      </c>
      <c r="M595" s="9" t="s">
        <v>40</v>
      </c>
      <c r="N595" s="9" t="s">
        <v>40</v>
      </c>
      <c r="Q595" s="9" t="s">
        <v>272</v>
      </c>
      <c r="R595" s="9" t="s">
        <v>42</v>
      </c>
      <c r="S595" s="10">
        <v>4000.0</v>
      </c>
      <c r="T595" s="11" t="s">
        <v>37</v>
      </c>
      <c r="V595" s="9">
        <v>12.0</v>
      </c>
      <c r="W595" s="9" t="s">
        <v>369</v>
      </c>
      <c r="X595" s="9" t="s">
        <v>2006</v>
      </c>
      <c r="Y595" s="9" t="s">
        <v>363</v>
      </c>
      <c r="Z595" s="9" t="s">
        <v>80</v>
      </c>
      <c r="AA595" s="9" t="s">
        <v>47</v>
      </c>
      <c r="AB595" s="9" t="s">
        <v>61</v>
      </c>
      <c r="AD595" s="9">
        <v>10.0</v>
      </c>
      <c r="AE595" s="9">
        <v>5.0</v>
      </c>
      <c r="AF595" s="9">
        <v>2.0</v>
      </c>
      <c r="AG595" s="12">
        <v>4000.0</v>
      </c>
      <c r="AH595" s="9" t="s">
        <v>42</v>
      </c>
    </row>
    <row r="596">
      <c r="A596" s="7">
        <v>44477.66120785879</v>
      </c>
      <c r="B596" s="8">
        <f t="shared" si="1"/>
        <v>2021</v>
      </c>
      <c r="C596" s="9" t="s">
        <v>49</v>
      </c>
      <c r="D596" s="9">
        <v>25.0</v>
      </c>
      <c r="E596" s="9" t="s">
        <v>35</v>
      </c>
      <c r="F596" s="9" t="s">
        <v>36</v>
      </c>
      <c r="G596" s="8" t="s">
        <v>50</v>
      </c>
      <c r="H596" s="9" t="s">
        <v>106</v>
      </c>
      <c r="I596" s="9" t="s">
        <v>38</v>
      </c>
      <c r="J596" s="9" t="s">
        <v>220</v>
      </c>
      <c r="K596" s="9" t="s">
        <v>2007</v>
      </c>
      <c r="L596" s="9" t="s">
        <v>39</v>
      </c>
      <c r="M596" s="9" t="s">
        <v>40</v>
      </c>
      <c r="N596" s="9" t="s">
        <v>40</v>
      </c>
      <c r="Q596" s="8" t="s">
        <v>255</v>
      </c>
      <c r="R596" s="9" t="s">
        <v>42</v>
      </c>
      <c r="S596" s="10">
        <v>4500.0</v>
      </c>
      <c r="T596" s="11">
        <v>0.0</v>
      </c>
      <c r="U596" s="9">
        <v>0.0</v>
      </c>
      <c r="V596" s="9">
        <v>14.0</v>
      </c>
      <c r="W596" s="9" t="s">
        <v>223</v>
      </c>
      <c r="X596" s="9" t="s">
        <v>87</v>
      </c>
      <c r="Y596" s="9" t="s">
        <v>58</v>
      </c>
      <c r="Z596" s="9" t="s">
        <v>159</v>
      </c>
      <c r="AA596" s="9" t="s">
        <v>132</v>
      </c>
      <c r="AB596" s="9" t="s">
        <v>61</v>
      </c>
      <c r="AD596" s="9">
        <v>6.0</v>
      </c>
      <c r="AE596" s="9" t="s">
        <v>1255</v>
      </c>
      <c r="AF596" s="9">
        <v>1.0</v>
      </c>
      <c r="AG596" s="12">
        <v>4000.0</v>
      </c>
      <c r="AH596" s="13"/>
    </row>
    <row r="597">
      <c r="A597" s="7">
        <v>44471.838109675926</v>
      </c>
      <c r="B597" s="8">
        <f t="shared" si="1"/>
        <v>2021</v>
      </c>
      <c r="C597" s="9" t="s">
        <v>49</v>
      </c>
      <c r="D597" s="9">
        <v>41.0</v>
      </c>
      <c r="E597" s="9" t="s">
        <v>35</v>
      </c>
      <c r="F597" s="9" t="s">
        <v>36</v>
      </c>
      <c r="G597" s="8" t="s">
        <v>50</v>
      </c>
      <c r="H597" s="9" t="s">
        <v>117</v>
      </c>
      <c r="I597" s="9" t="s">
        <v>38</v>
      </c>
      <c r="J597" s="9" t="s">
        <v>207</v>
      </c>
      <c r="K597" s="9" t="s">
        <v>166</v>
      </c>
      <c r="L597" s="9" t="s">
        <v>39</v>
      </c>
      <c r="M597" s="9" t="s">
        <v>40</v>
      </c>
      <c r="N597" s="9" t="s">
        <v>40</v>
      </c>
      <c r="Q597" s="9" t="s">
        <v>566</v>
      </c>
      <c r="R597" s="9" t="s">
        <v>42</v>
      </c>
      <c r="S597" s="10">
        <v>15000.0</v>
      </c>
      <c r="T597" s="11">
        <v>5000.0</v>
      </c>
      <c r="U597" s="9">
        <v>0.0</v>
      </c>
      <c r="V597" s="9">
        <v>14.0</v>
      </c>
      <c r="W597" s="9" t="s">
        <v>2008</v>
      </c>
      <c r="X597" s="9" t="s">
        <v>2009</v>
      </c>
      <c r="Y597" s="9" t="s">
        <v>246</v>
      </c>
      <c r="Z597" s="9" t="s">
        <v>105</v>
      </c>
      <c r="AA597" s="9" t="s">
        <v>71</v>
      </c>
      <c r="AB597" s="9" t="s">
        <v>91</v>
      </c>
      <c r="AD597" s="9">
        <v>10.0</v>
      </c>
      <c r="AE597" s="9">
        <v>20.0</v>
      </c>
      <c r="AF597" s="9">
        <v>4.0</v>
      </c>
      <c r="AG597" s="12">
        <v>4000.0</v>
      </c>
      <c r="AH597" s="13"/>
    </row>
    <row r="598">
      <c r="A598" s="7">
        <v>44471.83819185186</v>
      </c>
      <c r="B598" s="8">
        <f t="shared" si="1"/>
        <v>2021</v>
      </c>
      <c r="C598" s="9" t="s">
        <v>49</v>
      </c>
      <c r="D598" s="9">
        <v>41.0</v>
      </c>
      <c r="E598" s="9" t="s">
        <v>35</v>
      </c>
      <c r="F598" s="9" t="s">
        <v>36</v>
      </c>
      <c r="G598" s="8" t="s">
        <v>50</v>
      </c>
      <c r="H598" s="9" t="s">
        <v>117</v>
      </c>
      <c r="I598" s="9" t="s">
        <v>38</v>
      </c>
      <c r="J598" s="9" t="s">
        <v>207</v>
      </c>
      <c r="K598" s="9" t="s">
        <v>166</v>
      </c>
      <c r="L598" s="9" t="s">
        <v>39</v>
      </c>
      <c r="M598" s="9" t="s">
        <v>40</v>
      </c>
      <c r="N598" s="9" t="s">
        <v>40</v>
      </c>
      <c r="Q598" s="9" t="s">
        <v>566</v>
      </c>
      <c r="R598" s="9" t="s">
        <v>42</v>
      </c>
      <c r="S598" s="10">
        <v>15000.0</v>
      </c>
      <c r="T598" s="11">
        <v>5000.0</v>
      </c>
      <c r="U598" s="9">
        <v>0.0</v>
      </c>
      <c r="V598" s="9">
        <v>14.0</v>
      </c>
      <c r="W598" s="9" t="s">
        <v>2008</v>
      </c>
      <c r="X598" s="9" t="s">
        <v>2009</v>
      </c>
      <c r="Y598" s="9" t="s">
        <v>246</v>
      </c>
      <c r="Z598" s="9" t="s">
        <v>105</v>
      </c>
      <c r="AA598" s="9" t="s">
        <v>71</v>
      </c>
      <c r="AB598" s="9" t="s">
        <v>91</v>
      </c>
      <c r="AD598" s="9">
        <v>10.0</v>
      </c>
      <c r="AE598" s="9">
        <v>20.0</v>
      </c>
      <c r="AF598" s="9">
        <v>4.0</v>
      </c>
      <c r="AG598" s="12">
        <v>4000.0</v>
      </c>
      <c r="AH598" s="13"/>
    </row>
    <row r="599">
      <c r="A599" s="7">
        <v>44421.68092247685</v>
      </c>
      <c r="B599" s="8">
        <f t="shared" si="1"/>
        <v>2021</v>
      </c>
      <c r="C599" s="9" t="s">
        <v>49</v>
      </c>
      <c r="D599" s="9">
        <v>30.0</v>
      </c>
      <c r="E599" s="9" t="s">
        <v>35</v>
      </c>
      <c r="F599" s="9" t="s">
        <v>36</v>
      </c>
      <c r="G599" s="8" t="s">
        <v>124</v>
      </c>
      <c r="H599" s="9" t="s">
        <v>156</v>
      </c>
      <c r="I599" s="9" t="s">
        <v>38</v>
      </c>
      <c r="J599" s="9" t="s">
        <v>742</v>
      </c>
      <c r="K599" s="9" t="s">
        <v>414</v>
      </c>
      <c r="L599" s="9" t="s">
        <v>40</v>
      </c>
      <c r="M599" s="9" t="s">
        <v>40</v>
      </c>
      <c r="N599" s="9" t="s">
        <v>40</v>
      </c>
      <c r="Q599" s="9" t="s">
        <v>128</v>
      </c>
      <c r="R599" s="9" t="s">
        <v>42</v>
      </c>
      <c r="S599" s="10">
        <v>8000.0</v>
      </c>
      <c r="T599" s="11">
        <v>0.0</v>
      </c>
      <c r="U599" s="9">
        <v>0.0</v>
      </c>
      <c r="V599" s="9">
        <v>16.0</v>
      </c>
      <c r="W599" s="9" t="s">
        <v>2010</v>
      </c>
      <c r="X599" s="9" t="s">
        <v>2011</v>
      </c>
      <c r="Y599" s="9" t="s">
        <v>122</v>
      </c>
      <c r="Z599" s="9" t="s">
        <v>297</v>
      </c>
      <c r="AA599" s="9" t="s">
        <v>71</v>
      </c>
      <c r="AB599" s="9" t="s">
        <v>61</v>
      </c>
      <c r="AD599" s="9">
        <v>8.0</v>
      </c>
      <c r="AE599" s="9">
        <v>2.0</v>
      </c>
      <c r="AF599" s="9">
        <v>2.0</v>
      </c>
      <c r="AG599" s="12">
        <v>4000.0</v>
      </c>
      <c r="AH599" s="13"/>
    </row>
    <row r="600">
      <c r="A600" s="7">
        <v>44616.621218252316</v>
      </c>
      <c r="B600" s="8">
        <f t="shared" si="1"/>
        <v>2022</v>
      </c>
      <c r="C600" s="9" t="s">
        <v>49</v>
      </c>
      <c r="D600" s="9">
        <v>30.0</v>
      </c>
      <c r="E600" s="9" t="s">
        <v>35</v>
      </c>
      <c r="F600" s="9" t="s">
        <v>36</v>
      </c>
      <c r="G600" s="8" t="s">
        <v>124</v>
      </c>
      <c r="H600" s="9" t="s">
        <v>156</v>
      </c>
      <c r="I600" s="9" t="s">
        <v>247</v>
      </c>
      <c r="J600" s="9" t="s">
        <v>83</v>
      </c>
      <c r="K600" s="9" t="s">
        <v>2012</v>
      </c>
      <c r="L600" s="9" t="s">
        <v>39</v>
      </c>
      <c r="M600" s="9" t="s">
        <v>40</v>
      </c>
      <c r="N600" s="9" t="s">
        <v>40</v>
      </c>
      <c r="Q600" s="9" t="s">
        <v>2013</v>
      </c>
      <c r="R600" s="9" t="s">
        <v>42</v>
      </c>
      <c r="S600" s="10">
        <v>6800.0</v>
      </c>
      <c r="T600" s="11">
        <v>0.0</v>
      </c>
      <c r="U600" s="9">
        <v>0.0</v>
      </c>
      <c r="V600" s="9">
        <v>18.0</v>
      </c>
      <c r="W600" s="9" t="s">
        <v>2014</v>
      </c>
      <c r="X600" s="9" t="s">
        <v>2015</v>
      </c>
      <c r="Y600" s="9" t="s">
        <v>124</v>
      </c>
      <c r="Z600" s="9" t="s">
        <v>2016</v>
      </c>
      <c r="AA600" s="9" t="s">
        <v>81</v>
      </c>
      <c r="AB600" s="9" t="s">
        <v>61</v>
      </c>
      <c r="AC600" s="9" t="s">
        <v>2017</v>
      </c>
      <c r="AD600" s="9">
        <v>3.0</v>
      </c>
      <c r="AE600" s="9">
        <v>6.0</v>
      </c>
      <c r="AF600" s="9">
        <v>3.0</v>
      </c>
      <c r="AG600" s="12">
        <v>4000.0</v>
      </c>
      <c r="AH600" s="13"/>
    </row>
    <row r="601">
      <c r="A601" s="7">
        <v>44470.02754734954</v>
      </c>
      <c r="B601" s="8">
        <f t="shared" si="1"/>
        <v>2021</v>
      </c>
      <c r="C601" s="9" t="s">
        <v>49</v>
      </c>
      <c r="D601" s="9">
        <v>26.0</v>
      </c>
      <c r="E601" s="9" t="s">
        <v>35</v>
      </c>
      <c r="F601" s="9" t="s">
        <v>36</v>
      </c>
      <c r="G601" s="8" t="s">
        <v>124</v>
      </c>
      <c r="H601" s="9" t="s">
        <v>606</v>
      </c>
      <c r="I601" s="9" t="s">
        <v>38</v>
      </c>
      <c r="J601" s="9" t="s">
        <v>160</v>
      </c>
      <c r="K601" s="9" t="s">
        <v>534</v>
      </c>
      <c r="L601" s="9" t="s">
        <v>39</v>
      </c>
      <c r="M601" s="9" t="s">
        <v>40</v>
      </c>
      <c r="N601" s="9" t="s">
        <v>40</v>
      </c>
      <c r="Q601" s="9" t="s">
        <v>1519</v>
      </c>
      <c r="R601" s="9" t="s">
        <v>42</v>
      </c>
      <c r="S601" s="10">
        <v>16500.0</v>
      </c>
      <c r="T601" s="11">
        <v>50000.0</v>
      </c>
      <c r="U601" s="9">
        <v>2500.0</v>
      </c>
      <c r="V601" s="9">
        <v>18.0</v>
      </c>
      <c r="W601" s="9" t="s">
        <v>2018</v>
      </c>
      <c r="X601" s="9" t="s">
        <v>2019</v>
      </c>
      <c r="Y601" s="9" t="s">
        <v>131</v>
      </c>
      <c r="Z601" s="9" t="s">
        <v>350</v>
      </c>
      <c r="AA601" s="9" t="s">
        <v>81</v>
      </c>
      <c r="AB601" s="9" t="s">
        <v>61</v>
      </c>
      <c r="AD601" s="9">
        <v>10.0</v>
      </c>
      <c r="AE601" s="9">
        <v>5.0</v>
      </c>
      <c r="AF601" s="9">
        <v>2.0</v>
      </c>
      <c r="AG601" s="12">
        <v>4000.0</v>
      </c>
      <c r="AH601" s="13"/>
    </row>
    <row r="602">
      <c r="A602" s="7">
        <v>44404.94938635417</v>
      </c>
      <c r="B602" s="8">
        <f t="shared" si="1"/>
        <v>2021</v>
      </c>
      <c r="C602" s="9" t="s">
        <v>49</v>
      </c>
      <c r="D602" s="9">
        <v>27.0</v>
      </c>
      <c r="E602" s="9" t="s">
        <v>35</v>
      </c>
      <c r="F602" s="9" t="s">
        <v>36</v>
      </c>
      <c r="G602" s="8" t="s">
        <v>124</v>
      </c>
      <c r="H602" s="9" t="s">
        <v>296</v>
      </c>
      <c r="I602" s="9" t="s">
        <v>38</v>
      </c>
      <c r="J602" s="9" t="s">
        <v>1368</v>
      </c>
      <c r="K602" s="9" t="s">
        <v>959</v>
      </c>
      <c r="L602" s="9" t="s">
        <v>40</v>
      </c>
      <c r="M602" s="9" t="s">
        <v>40</v>
      </c>
      <c r="N602" s="9" t="s">
        <v>40</v>
      </c>
      <c r="Q602" s="9" t="s">
        <v>584</v>
      </c>
      <c r="R602" s="9" t="s">
        <v>42</v>
      </c>
      <c r="S602" s="10">
        <v>5280.0</v>
      </c>
      <c r="T602" s="11">
        <v>14200.0</v>
      </c>
      <c r="U602" s="9">
        <v>0.0</v>
      </c>
      <c r="V602" s="9">
        <v>20.0</v>
      </c>
      <c r="W602" s="9" t="s">
        <v>2020</v>
      </c>
      <c r="X602" s="9" t="s">
        <v>2021</v>
      </c>
      <c r="Y602" s="9" t="s">
        <v>2022</v>
      </c>
      <c r="Z602" s="9" t="s">
        <v>2023</v>
      </c>
      <c r="AA602" s="9" t="s">
        <v>60</v>
      </c>
      <c r="AB602" s="9" t="s">
        <v>91</v>
      </c>
      <c r="AD602" s="9">
        <v>6.0</v>
      </c>
      <c r="AE602" s="9">
        <v>3.0</v>
      </c>
      <c r="AF602" s="9">
        <v>1.0</v>
      </c>
      <c r="AG602" s="12">
        <v>4000.0</v>
      </c>
      <c r="AH602" s="13"/>
    </row>
    <row r="603">
      <c r="A603" s="7">
        <v>44497.0371958912</v>
      </c>
      <c r="B603" s="8">
        <f t="shared" si="1"/>
        <v>2021</v>
      </c>
      <c r="C603" s="9" t="s">
        <v>49</v>
      </c>
      <c r="D603" s="9">
        <v>23.0</v>
      </c>
      <c r="E603" s="9" t="s">
        <v>35</v>
      </c>
      <c r="F603" s="9" t="s">
        <v>36</v>
      </c>
      <c r="G603" s="8" t="s">
        <v>515</v>
      </c>
      <c r="H603" s="9" t="s">
        <v>515</v>
      </c>
      <c r="I603" s="9" t="s">
        <v>38</v>
      </c>
      <c r="J603" s="9" t="s">
        <v>160</v>
      </c>
      <c r="K603" s="9" t="s">
        <v>84</v>
      </c>
      <c r="L603" s="9" t="s">
        <v>39</v>
      </c>
      <c r="M603" s="9" t="s">
        <v>40</v>
      </c>
      <c r="N603" s="9" t="s">
        <v>40</v>
      </c>
      <c r="Q603" s="9" t="s">
        <v>146</v>
      </c>
      <c r="R603" s="9" t="s">
        <v>42</v>
      </c>
      <c r="S603" s="10">
        <v>4000.0</v>
      </c>
      <c r="T603" s="11" t="s">
        <v>37</v>
      </c>
      <c r="U603" s="9" t="s">
        <v>2024</v>
      </c>
      <c r="V603" s="9">
        <v>20.0</v>
      </c>
      <c r="W603" s="9" t="s">
        <v>2025</v>
      </c>
      <c r="X603" s="9" t="s">
        <v>163</v>
      </c>
      <c r="Y603" s="9" t="s">
        <v>99</v>
      </c>
      <c r="Z603" s="9" t="s">
        <v>59</v>
      </c>
      <c r="AA603" s="9" t="s">
        <v>90</v>
      </c>
      <c r="AB603" s="9" t="s">
        <v>61</v>
      </c>
      <c r="AD603" s="9">
        <v>10.0</v>
      </c>
      <c r="AE603" s="9">
        <v>0.0</v>
      </c>
      <c r="AF603" s="9">
        <v>0.0</v>
      </c>
      <c r="AG603" s="12">
        <v>4000.0</v>
      </c>
      <c r="AH603" s="13"/>
    </row>
    <row r="604">
      <c r="A604" s="7">
        <v>44405.0115877662</v>
      </c>
      <c r="B604" s="8">
        <f t="shared" si="1"/>
        <v>2021</v>
      </c>
      <c r="C604" s="9" t="s">
        <v>49</v>
      </c>
      <c r="D604" s="9">
        <v>26.0</v>
      </c>
      <c r="E604" s="9" t="s">
        <v>35</v>
      </c>
      <c r="F604" s="9" t="s">
        <v>36</v>
      </c>
      <c r="G604" s="8" t="s">
        <v>50</v>
      </c>
      <c r="H604" s="9" t="s">
        <v>570</v>
      </c>
      <c r="I604" s="9" t="s">
        <v>38</v>
      </c>
      <c r="J604" s="9" t="s">
        <v>75</v>
      </c>
      <c r="K604" s="9" t="s">
        <v>100</v>
      </c>
      <c r="L604" s="9" t="s">
        <v>39</v>
      </c>
      <c r="M604" s="9" t="s">
        <v>40</v>
      </c>
      <c r="N604" s="9" t="s">
        <v>40</v>
      </c>
      <c r="Q604" s="9" t="s">
        <v>589</v>
      </c>
      <c r="R604" s="9" t="s">
        <v>42</v>
      </c>
      <c r="S604" s="10">
        <v>10500.0</v>
      </c>
      <c r="T604" s="11" t="s">
        <v>37</v>
      </c>
      <c r="V604" s="9">
        <v>20.0</v>
      </c>
      <c r="W604" s="9" t="s">
        <v>2026</v>
      </c>
      <c r="X604" s="9" t="s">
        <v>2027</v>
      </c>
      <c r="Y604" s="9" t="s">
        <v>50</v>
      </c>
      <c r="Z604" s="9" t="s">
        <v>228</v>
      </c>
      <c r="AA604" s="9" t="s">
        <v>81</v>
      </c>
      <c r="AB604" s="9" t="s">
        <v>133</v>
      </c>
      <c r="AD604" s="9">
        <v>9.0</v>
      </c>
      <c r="AE604" s="9">
        <v>4.0</v>
      </c>
      <c r="AF604" s="9">
        <v>2.0</v>
      </c>
      <c r="AG604" s="12">
        <v>4000.0</v>
      </c>
      <c r="AH604" s="13"/>
    </row>
    <row r="605">
      <c r="A605" s="7">
        <v>44551.90821335648</v>
      </c>
      <c r="B605" s="8">
        <f t="shared" si="1"/>
        <v>2021</v>
      </c>
      <c r="C605" s="9" t="s">
        <v>49</v>
      </c>
      <c r="D605" s="9">
        <v>24.0</v>
      </c>
      <c r="E605" s="9" t="s">
        <v>35</v>
      </c>
      <c r="F605" s="9" t="s">
        <v>36</v>
      </c>
      <c r="G605" s="8" t="s">
        <v>50</v>
      </c>
      <c r="H605" s="8" t="s">
        <v>180</v>
      </c>
      <c r="I605" s="9" t="s">
        <v>38</v>
      </c>
      <c r="J605" s="9" t="s">
        <v>75</v>
      </c>
      <c r="K605" s="9" t="s">
        <v>534</v>
      </c>
      <c r="L605" s="9" t="s">
        <v>39</v>
      </c>
      <c r="M605" s="9" t="s">
        <v>40</v>
      </c>
      <c r="N605" s="9" t="s">
        <v>40</v>
      </c>
      <c r="Q605" s="9" t="s">
        <v>855</v>
      </c>
      <c r="R605" s="9" t="s">
        <v>42</v>
      </c>
      <c r="S605" s="10">
        <v>5100.0</v>
      </c>
      <c r="T605" s="11">
        <v>0.0</v>
      </c>
      <c r="U605" s="9">
        <v>0.0</v>
      </c>
      <c r="V605" s="9">
        <v>22.0</v>
      </c>
      <c r="W605" s="9" t="s">
        <v>2028</v>
      </c>
      <c r="X605" s="9" t="s">
        <v>2029</v>
      </c>
      <c r="Y605" s="9" t="s">
        <v>131</v>
      </c>
      <c r="Z605" s="9" t="s">
        <v>59</v>
      </c>
      <c r="AA605" s="9" t="s">
        <v>60</v>
      </c>
      <c r="AB605" s="9" t="s">
        <v>91</v>
      </c>
      <c r="AD605" s="9">
        <v>8.0</v>
      </c>
      <c r="AE605" s="9">
        <v>2.0</v>
      </c>
      <c r="AF605" s="9">
        <v>2.0</v>
      </c>
      <c r="AG605" s="12">
        <v>4000.0</v>
      </c>
      <c r="AH605" s="13"/>
    </row>
    <row r="606">
      <c r="A606" s="7">
        <v>44617.84403482639</v>
      </c>
      <c r="B606" s="8">
        <f t="shared" si="1"/>
        <v>2022</v>
      </c>
      <c r="C606" s="9" t="s">
        <v>49</v>
      </c>
      <c r="D606" s="9">
        <v>31.0</v>
      </c>
      <c r="E606" s="9" t="s">
        <v>35</v>
      </c>
      <c r="F606" s="9" t="s">
        <v>36</v>
      </c>
      <c r="G606" s="8" t="s">
        <v>50</v>
      </c>
      <c r="H606" s="9" t="s">
        <v>106</v>
      </c>
      <c r="I606" s="9" t="s">
        <v>247</v>
      </c>
      <c r="J606" s="9" t="s">
        <v>1936</v>
      </c>
      <c r="K606" s="9" t="s">
        <v>234</v>
      </c>
      <c r="L606" s="9" t="s">
        <v>40</v>
      </c>
      <c r="M606" s="9" t="s">
        <v>40</v>
      </c>
      <c r="N606" s="9" t="s">
        <v>40</v>
      </c>
      <c r="Q606" s="9" t="s">
        <v>584</v>
      </c>
      <c r="R606" s="9" t="s">
        <v>42</v>
      </c>
      <c r="S606" s="10">
        <v>7700.0</v>
      </c>
      <c r="T606" s="11">
        <v>26950.0</v>
      </c>
      <c r="V606" s="9">
        <v>24.0</v>
      </c>
      <c r="W606" s="9" t="s">
        <v>2030</v>
      </c>
      <c r="X606" s="9" t="s">
        <v>2031</v>
      </c>
      <c r="Y606" s="9" t="s">
        <v>122</v>
      </c>
      <c r="Z606" s="9" t="s">
        <v>59</v>
      </c>
      <c r="AA606" s="9" t="s">
        <v>81</v>
      </c>
      <c r="AB606" s="9" t="s">
        <v>133</v>
      </c>
      <c r="AD606" s="9">
        <v>8.0</v>
      </c>
      <c r="AE606" s="9">
        <v>7.0</v>
      </c>
      <c r="AF606" s="9">
        <v>2.0</v>
      </c>
      <c r="AG606" s="12">
        <v>4000.0</v>
      </c>
      <c r="AH606" s="13"/>
    </row>
    <row r="607">
      <c r="A607" s="7">
        <v>44404.976641875</v>
      </c>
      <c r="B607" s="8">
        <f t="shared" si="1"/>
        <v>2021</v>
      </c>
      <c r="C607" s="9" t="s">
        <v>49</v>
      </c>
      <c r="D607" s="9">
        <v>31.0</v>
      </c>
      <c r="E607" s="9" t="s">
        <v>113</v>
      </c>
      <c r="F607" s="9" t="s">
        <v>36</v>
      </c>
      <c r="G607" s="8" t="s">
        <v>124</v>
      </c>
      <c r="H607" s="9" t="s">
        <v>156</v>
      </c>
      <c r="I607" s="9" t="s">
        <v>38</v>
      </c>
      <c r="J607" s="9" t="s">
        <v>160</v>
      </c>
      <c r="L607" s="9" t="s">
        <v>39</v>
      </c>
      <c r="M607" s="9" t="s">
        <v>40</v>
      </c>
      <c r="N607" s="9" t="s">
        <v>40</v>
      </c>
      <c r="Q607" s="9" t="s">
        <v>607</v>
      </c>
      <c r="R607" s="9" t="s">
        <v>42</v>
      </c>
      <c r="S607" s="10">
        <v>26000.0</v>
      </c>
      <c r="T607" s="11">
        <v>60000.0</v>
      </c>
      <c r="V607" s="9">
        <v>24.0</v>
      </c>
      <c r="W607" s="9" t="s">
        <v>2032</v>
      </c>
      <c r="X607" s="9" t="s">
        <v>2033</v>
      </c>
      <c r="Y607" s="9" t="s">
        <v>923</v>
      </c>
      <c r="Z607" s="9" t="s">
        <v>59</v>
      </c>
      <c r="AA607" s="9" t="s">
        <v>132</v>
      </c>
      <c r="AB607" s="9" t="s">
        <v>91</v>
      </c>
      <c r="AD607" s="9">
        <v>8.0</v>
      </c>
      <c r="AE607" s="9">
        <v>10.0</v>
      </c>
      <c r="AF607" s="9">
        <v>5.0</v>
      </c>
      <c r="AG607" s="12">
        <v>4000.0</v>
      </c>
      <c r="AH607" s="13"/>
    </row>
    <row r="608">
      <c r="A608" s="14">
        <v>44403.864554722226</v>
      </c>
      <c r="B608" s="8">
        <f t="shared" si="1"/>
        <v>2021</v>
      </c>
      <c r="C608" s="8" t="s">
        <v>49</v>
      </c>
      <c r="D608" s="8">
        <v>23.0</v>
      </c>
      <c r="E608" s="8" t="s">
        <v>35</v>
      </c>
      <c r="F608" s="8" t="s">
        <v>36</v>
      </c>
      <c r="G608" s="8" t="s">
        <v>74</v>
      </c>
      <c r="H608" s="8" t="s">
        <v>482</v>
      </c>
      <c r="I608" s="8" t="s">
        <v>38</v>
      </c>
      <c r="J608" s="9" t="s">
        <v>75</v>
      </c>
      <c r="K608" s="8" t="s">
        <v>161</v>
      </c>
      <c r="L608" s="8" t="s">
        <v>39</v>
      </c>
      <c r="M608" s="8" t="s">
        <v>39</v>
      </c>
      <c r="N608" s="8" t="s">
        <v>40</v>
      </c>
      <c r="O608" s="8" t="s">
        <v>2034</v>
      </c>
      <c r="P608" s="15"/>
      <c r="Q608" s="8" t="s">
        <v>2035</v>
      </c>
      <c r="R608" s="9" t="s">
        <v>42</v>
      </c>
      <c r="S608" s="16">
        <v>4000.0</v>
      </c>
      <c r="T608" s="17">
        <v>0.0</v>
      </c>
      <c r="U608" s="8">
        <v>0.0</v>
      </c>
      <c r="V608" s="8">
        <v>12.0</v>
      </c>
      <c r="W608" s="8" t="s">
        <v>2036</v>
      </c>
      <c r="X608" s="8" t="s">
        <v>78</v>
      </c>
      <c r="Y608" s="8" t="s">
        <v>2037</v>
      </c>
      <c r="Z608" s="8" t="s">
        <v>1013</v>
      </c>
      <c r="AA608" s="8" t="s">
        <v>132</v>
      </c>
      <c r="AB608" s="8" t="s">
        <v>61</v>
      </c>
      <c r="AC608" s="15"/>
      <c r="AD608" s="8">
        <v>8.0</v>
      </c>
      <c r="AE608" s="8">
        <v>0.7</v>
      </c>
      <c r="AF608" s="8">
        <v>0.0</v>
      </c>
      <c r="AG608" s="18">
        <v>4000.0</v>
      </c>
      <c r="AH608" s="13"/>
      <c r="AI608" s="15"/>
      <c r="AJ608" s="15"/>
      <c r="AK608" s="15"/>
      <c r="AL608" s="15"/>
      <c r="AM608" s="15"/>
      <c r="AN608" s="15"/>
    </row>
    <row r="609">
      <c r="A609" s="14">
        <v>44403.85815459491</v>
      </c>
      <c r="B609" s="8">
        <f t="shared" si="1"/>
        <v>2021</v>
      </c>
      <c r="C609" s="8" t="s">
        <v>49</v>
      </c>
      <c r="D609" s="8">
        <v>23.0</v>
      </c>
      <c r="E609" s="8" t="s">
        <v>35</v>
      </c>
      <c r="F609" s="8" t="s">
        <v>36</v>
      </c>
      <c r="G609" s="8" t="s">
        <v>164</v>
      </c>
      <c r="H609" s="8" t="s">
        <v>1463</v>
      </c>
      <c r="I609" s="8" t="s">
        <v>38</v>
      </c>
      <c r="J609" s="9" t="s">
        <v>75</v>
      </c>
      <c r="K609" s="9" t="s">
        <v>84</v>
      </c>
      <c r="L609" s="8" t="s">
        <v>39</v>
      </c>
      <c r="M609" s="8" t="s">
        <v>40</v>
      </c>
      <c r="N609" s="8" t="s">
        <v>40</v>
      </c>
      <c r="O609" s="15"/>
      <c r="P609" s="15"/>
      <c r="Q609" s="8" t="s">
        <v>128</v>
      </c>
      <c r="R609" s="9" t="s">
        <v>42</v>
      </c>
      <c r="S609" s="16">
        <v>5250.0</v>
      </c>
      <c r="T609" s="17">
        <v>0.0</v>
      </c>
      <c r="U609" s="8">
        <v>0.0</v>
      </c>
      <c r="V609" s="8">
        <v>12.0</v>
      </c>
      <c r="W609" s="8" t="s">
        <v>697</v>
      </c>
      <c r="X609" s="8" t="s">
        <v>87</v>
      </c>
      <c r="Y609" s="8" t="s">
        <v>246</v>
      </c>
      <c r="Z609" s="8" t="s">
        <v>2038</v>
      </c>
      <c r="AA609" s="8" t="s">
        <v>71</v>
      </c>
      <c r="AB609" s="8" t="s">
        <v>61</v>
      </c>
      <c r="AC609" s="8" t="s">
        <v>2039</v>
      </c>
      <c r="AD609" s="8">
        <v>8.0</v>
      </c>
      <c r="AE609" s="8">
        <v>1.0</v>
      </c>
      <c r="AF609" s="8">
        <v>1.0</v>
      </c>
      <c r="AG609" s="18">
        <v>4000.0</v>
      </c>
      <c r="AH609" s="13"/>
      <c r="AI609" s="15"/>
      <c r="AJ609" s="15"/>
      <c r="AK609" s="15"/>
      <c r="AL609" s="15"/>
      <c r="AM609" s="15"/>
      <c r="AN609" s="15"/>
    </row>
    <row r="610">
      <c r="A610" s="14">
        <v>44403.83907278936</v>
      </c>
      <c r="B610" s="8">
        <f t="shared" si="1"/>
        <v>2021</v>
      </c>
      <c r="C610" s="8" t="s">
        <v>49</v>
      </c>
      <c r="D610" s="8">
        <v>24.0</v>
      </c>
      <c r="E610" s="8" t="s">
        <v>35</v>
      </c>
      <c r="F610" s="8" t="s">
        <v>36</v>
      </c>
      <c r="G610" s="8" t="s">
        <v>124</v>
      </c>
      <c r="H610" s="8" t="s">
        <v>460</v>
      </c>
      <c r="I610" s="8" t="s">
        <v>38</v>
      </c>
      <c r="J610" s="9" t="s">
        <v>910</v>
      </c>
      <c r="K610" s="9" t="s">
        <v>66</v>
      </c>
      <c r="L610" s="9" t="s">
        <v>40</v>
      </c>
      <c r="M610" s="8" t="s">
        <v>40</v>
      </c>
      <c r="N610" s="8" t="s">
        <v>40</v>
      </c>
      <c r="O610" s="15"/>
      <c r="P610" s="15"/>
      <c r="Q610" s="8" t="s">
        <v>2040</v>
      </c>
      <c r="R610" s="9" t="s">
        <v>42</v>
      </c>
      <c r="S610" s="16">
        <v>4000.0</v>
      </c>
      <c r="T610" s="17">
        <v>0.0</v>
      </c>
      <c r="U610" s="8">
        <v>0.0</v>
      </c>
      <c r="V610" s="8">
        <v>14.0</v>
      </c>
      <c r="W610" s="8" t="s">
        <v>223</v>
      </c>
      <c r="X610" s="8" t="s">
        <v>508</v>
      </c>
      <c r="Y610" s="8" t="s">
        <v>604</v>
      </c>
      <c r="Z610" s="8" t="s">
        <v>59</v>
      </c>
      <c r="AA610" s="8" t="s">
        <v>132</v>
      </c>
      <c r="AB610" s="8" t="s">
        <v>61</v>
      </c>
      <c r="AC610" s="15"/>
      <c r="AD610" s="8">
        <v>7.0</v>
      </c>
      <c r="AE610" s="8">
        <v>1.0</v>
      </c>
      <c r="AF610" s="8">
        <v>1.0</v>
      </c>
      <c r="AG610" s="18">
        <v>4000.0</v>
      </c>
      <c r="AH610" s="13"/>
      <c r="AI610" s="15"/>
      <c r="AJ610" s="15"/>
      <c r="AK610" s="15"/>
      <c r="AL610" s="15"/>
      <c r="AM610" s="15"/>
      <c r="AN610" s="15"/>
    </row>
    <row r="611">
      <c r="A611" s="7">
        <v>44404.479506261574</v>
      </c>
      <c r="B611" s="8">
        <f t="shared" si="1"/>
        <v>2021</v>
      </c>
      <c r="C611" s="9" t="s">
        <v>49</v>
      </c>
      <c r="D611" s="9">
        <v>26.0</v>
      </c>
      <c r="E611" s="9" t="s">
        <v>35</v>
      </c>
      <c r="F611" s="9" t="s">
        <v>36</v>
      </c>
      <c r="G611" s="8" t="s">
        <v>50</v>
      </c>
      <c r="H611" s="9" t="s">
        <v>206</v>
      </c>
      <c r="I611" s="9" t="s">
        <v>38</v>
      </c>
      <c r="J611" s="9" t="s">
        <v>160</v>
      </c>
      <c r="K611" s="9" t="s">
        <v>414</v>
      </c>
      <c r="L611" s="9" t="s">
        <v>39</v>
      </c>
      <c r="M611" s="9" t="s">
        <v>40</v>
      </c>
      <c r="N611" s="9" t="s">
        <v>39</v>
      </c>
      <c r="P611" s="9" t="s">
        <v>1794</v>
      </c>
      <c r="Q611" s="9" t="s">
        <v>544</v>
      </c>
      <c r="R611" s="9" t="s">
        <v>42</v>
      </c>
      <c r="S611" s="10">
        <v>6800.0</v>
      </c>
      <c r="T611" s="11">
        <v>0.0</v>
      </c>
      <c r="U611" s="9">
        <v>0.0</v>
      </c>
      <c r="V611" s="9">
        <v>14.0</v>
      </c>
      <c r="W611" s="9" t="s">
        <v>393</v>
      </c>
      <c r="X611" s="9" t="s">
        <v>2041</v>
      </c>
      <c r="Y611" s="9" t="s">
        <v>82</v>
      </c>
      <c r="Z611" s="9" t="s">
        <v>89</v>
      </c>
      <c r="AA611" s="9" t="s">
        <v>47</v>
      </c>
      <c r="AB611" s="9" t="s">
        <v>61</v>
      </c>
      <c r="AD611" s="9">
        <v>9.0</v>
      </c>
      <c r="AE611" s="9">
        <v>3.0</v>
      </c>
      <c r="AF611" s="9">
        <v>1.0</v>
      </c>
      <c r="AG611" s="12">
        <v>4000.0</v>
      </c>
      <c r="AH611" s="13"/>
    </row>
    <row r="612">
      <c r="A612" s="7">
        <v>44403.940994386576</v>
      </c>
      <c r="B612" s="8">
        <f t="shared" si="1"/>
        <v>2021</v>
      </c>
      <c r="C612" s="9" t="s">
        <v>49</v>
      </c>
      <c r="D612" s="9">
        <v>23.0</v>
      </c>
      <c r="E612" s="9" t="s">
        <v>35</v>
      </c>
      <c r="F612" s="9" t="s">
        <v>36</v>
      </c>
      <c r="G612" s="8" t="s">
        <v>50</v>
      </c>
      <c r="H612" s="9" t="s">
        <v>117</v>
      </c>
      <c r="I612" s="9" t="s">
        <v>38</v>
      </c>
      <c r="J612" s="9" t="s">
        <v>75</v>
      </c>
      <c r="K612" s="9" t="s">
        <v>161</v>
      </c>
      <c r="L612" s="9" t="s">
        <v>39</v>
      </c>
      <c r="M612" s="9" t="s">
        <v>40</v>
      </c>
      <c r="N612" s="9" t="s">
        <v>40</v>
      </c>
      <c r="Q612" s="8" t="s">
        <v>255</v>
      </c>
      <c r="R612" s="9" t="s">
        <v>42</v>
      </c>
      <c r="S612" s="10">
        <v>7000.0</v>
      </c>
      <c r="T612" s="11">
        <v>0.0</v>
      </c>
      <c r="U612" s="9">
        <v>0.0</v>
      </c>
      <c r="V612" s="9">
        <v>14.0</v>
      </c>
      <c r="W612" s="9" t="s">
        <v>67</v>
      </c>
      <c r="X612" s="9" t="s">
        <v>2042</v>
      </c>
      <c r="Y612" s="9" t="s">
        <v>122</v>
      </c>
      <c r="Z612" s="9" t="s">
        <v>2043</v>
      </c>
      <c r="AA612" s="9" t="s">
        <v>47</v>
      </c>
      <c r="AB612" s="9" t="s">
        <v>61</v>
      </c>
      <c r="AD612" s="9">
        <v>6.0</v>
      </c>
      <c r="AE612" s="9">
        <v>2.0</v>
      </c>
      <c r="AF612" s="9">
        <v>2.0</v>
      </c>
      <c r="AG612" s="12">
        <v>4000.0</v>
      </c>
      <c r="AH612" s="13"/>
    </row>
    <row r="613">
      <c r="A613" s="7">
        <v>44403.92518849537</v>
      </c>
      <c r="B613" s="8">
        <f t="shared" si="1"/>
        <v>2021</v>
      </c>
      <c r="C613" s="9" t="s">
        <v>49</v>
      </c>
      <c r="D613" s="9">
        <v>29.0</v>
      </c>
      <c r="E613" s="9" t="s">
        <v>35</v>
      </c>
      <c r="F613" s="9" t="s">
        <v>36</v>
      </c>
      <c r="G613" s="8" t="s">
        <v>74</v>
      </c>
      <c r="H613" s="9" t="s">
        <v>437</v>
      </c>
      <c r="I613" s="9" t="s">
        <v>38</v>
      </c>
      <c r="J613" s="9" t="s">
        <v>910</v>
      </c>
      <c r="K613" s="9" t="s">
        <v>414</v>
      </c>
      <c r="L613" s="9" t="s">
        <v>40</v>
      </c>
      <c r="M613" s="9" t="s">
        <v>40</v>
      </c>
      <c r="N613" s="9" t="s">
        <v>40</v>
      </c>
      <c r="Q613" s="9" t="s">
        <v>128</v>
      </c>
      <c r="R613" s="9" t="s">
        <v>42</v>
      </c>
      <c r="S613" s="10">
        <v>6700.0</v>
      </c>
      <c r="T613" s="11">
        <v>15000.0</v>
      </c>
      <c r="U613" s="9">
        <v>10000.0</v>
      </c>
      <c r="V613" s="9">
        <v>14.0</v>
      </c>
      <c r="W613" s="9" t="s">
        <v>2044</v>
      </c>
      <c r="X613" s="9" t="s">
        <v>2045</v>
      </c>
      <c r="Y613" s="9" t="s">
        <v>79</v>
      </c>
      <c r="Z613" s="9" t="s">
        <v>80</v>
      </c>
      <c r="AA613" s="9" t="s">
        <v>71</v>
      </c>
      <c r="AB613" s="9" t="s">
        <v>61</v>
      </c>
      <c r="AD613" s="9">
        <v>9.0</v>
      </c>
      <c r="AE613" s="9">
        <v>2.0</v>
      </c>
      <c r="AF613" s="9">
        <v>3.0</v>
      </c>
      <c r="AG613" s="12">
        <v>4000.0</v>
      </c>
      <c r="AH613" s="13"/>
    </row>
    <row r="614">
      <c r="A614" s="14">
        <v>44403.851487893524</v>
      </c>
      <c r="B614" s="8">
        <f t="shared" si="1"/>
        <v>2021</v>
      </c>
      <c r="C614" s="8" t="s">
        <v>49</v>
      </c>
      <c r="D614" s="8">
        <v>24.0</v>
      </c>
      <c r="E614" s="8" t="s">
        <v>35</v>
      </c>
      <c r="F614" s="8" t="s">
        <v>36</v>
      </c>
      <c r="G614" s="8" t="s">
        <v>74</v>
      </c>
      <c r="H614" s="8" t="s">
        <v>482</v>
      </c>
      <c r="I614" s="8" t="s">
        <v>38</v>
      </c>
      <c r="J614" s="9" t="s">
        <v>75</v>
      </c>
      <c r="K614" s="8" t="s">
        <v>188</v>
      </c>
      <c r="L614" s="8" t="s">
        <v>39</v>
      </c>
      <c r="M614" s="8" t="s">
        <v>40</v>
      </c>
      <c r="N614" s="8" t="s">
        <v>40</v>
      </c>
      <c r="O614" s="15"/>
      <c r="P614" s="15"/>
      <c r="Q614" s="8" t="s">
        <v>128</v>
      </c>
      <c r="R614" s="9" t="s">
        <v>42</v>
      </c>
      <c r="S614" s="16">
        <v>4000.0</v>
      </c>
      <c r="T614" s="17">
        <v>0.0</v>
      </c>
      <c r="U614" s="8">
        <v>0.0</v>
      </c>
      <c r="V614" s="8">
        <v>15.0</v>
      </c>
      <c r="W614" s="8" t="s">
        <v>2046</v>
      </c>
      <c r="X614" s="8" t="s">
        <v>2047</v>
      </c>
      <c r="Y614" s="8" t="s">
        <v>246</v>
      </c>
      <c r="Z614" s="8" t="s">
        <v>97</v>
      </c>
      <c r="AA614" s="8" t="s">
        <v>71</v>
      </c>
      <c r="AB614" s="8" t="s">
        <v>61</v>
      </c>
      <c r="AC614" s="15"/>
      <c r="AD614" s="8">
        <v>6.0</v>
      </c>
      <c r="AE614" s="8">
        <v>0.0</v>
      </c>
      <c r="AF614" s="8">
        <v>0.0</v>
      </c>
      <c r="AG614" s="18">
        <v>4000.0</v>
      </c>
      <c r="AH614" s="13"/>
      <c r="AI614" s="15"/>
      <c r="AJ614" s="15"/>
      <c r="AK614" s="15"/>
      <c r="AL614" s="15"/>
      <c r="AM614" s="15"/>
      <c r="AN614" s="15"/>
    </row>
    <row r="615">
      <c r="A615" s="7">
        <v>44403.8969760301</v>
      </c>
      <c r="B615" s="8">
        <f t="shared" si="1"/>
        <v>2021</v>
      </c>
      <c r="C615" s="9" t="s">
        <v>49</v>
      </c>
      <c r="D615" s="9">
        <v>26.0</v>
      </c>
      <c r="E615" s="9" t="s">
        <v>35</v>
      </c>
      <c r="F615" s="9" t="s">
        <v>36</v>
      </c>
      <c r="G615" s="8" t="s">
        <v>74</v>
      </c>
      <c r="H615" s="9" t="s">
        <v>2048</v>
      </c>
      <c r="I615" s="9" t="s">
        <v>247</v>
      </c>
      <c r="J615" s="9" t="s">
        <v>475</v>
      </c>
      <c r="K615" s="8" t="s">
        <v>188</v>
      </c>
      <c r="L615" s="9" t="s">
        <v>39</v>
      </c>
      <c r="M615" s="9" t="s">
        <v>40</v>
      </c>
      <c r="N615" s="9" t="s">
        <v>40</v>
      </c>
      <c r="Q615" s="9" t="s">
        <v>736</v>
      </c>
      <c r="R615" s="9" t="s">
        <v>42</v>
      </c>
      <c r="S615" s="10">
        <v>5200.0</v>
      </c>
      <c r="T615" s="11">
        <v>5200.0</v>
      </c>
      <c r="U615" s="9">
        <v>0.0</v>
      </c>
      <c r="V615" s="9">
        <v>15.0</v>
      </c>
      <c r="W615" s="9" t="s">
        <v>2049</v>
      </c>
      <c r="X615" s="9" t="s">
        <v>2050</v>
      </c>
      <c r="Y615" s="9" t="s">
        <v>79</v>
      </c>
      <c r="Z615" s="9" t="s">
        <v>2051</v>
      </c>
      <c r="AA615" s="9" t="s">
        <v>60</v>
      </c>
      <c r="AB615" s="9" t="s">
        <v>61</v>
      </c>
      <c r="AD615" s="9">
        <v>7.0</v>
      </c>
      <c r="AE615" s="9">
        <v>3.0</v>
      </c>
      <c r="AF615" s="9">
        <v>0.0</v>
      </c>
      <c r="AG615" s="12">
        <v>4000.0</v>
      </c>
      <c r="AH615" s="13"/>
    </row>
    <row r="616">
      <c r="A616" s="14">
        <v>44403.83718771991</v>
      </c>
      <c r="B616" s="8">
        <f t="shared" si="1"/>
        <v>2021</v>
      </c>
      <c r="C616" s="8" t="s">
        <v>49</v>
      </c>
      <c r="D616" s="8">
        <v>22.0</v>
      </c>
      <c r="E616" s="8" t="s">
        <v>35</v>
      </c>
      <c r="F616" s="8" t="s">
        <v>36</v>
      </c>
      <c r="G616" s="8" t="s">
        <v>50</v>
      </c>
      <c r="H616" s="8" t="s">
        <v>180</v>
      </c>
      <c r="I616" s="8" t="s">
        <v>38</v>
      </c>
      <c r="J616" s="9" t="s">
        <v>160</v>
      </c>
      <c r="K616" s="9" t="s">
        <v>84</v>
      </c>
      <c r="L616" s="8" t="s">
        <v>39</v>
      </c>
      <c r="M616" s="8" t="s">
        <v>40</v>
      </c>
      <c r="N616" s="8" t="s">
        <v>40</v>
      </c>
      <c r="O616" s="15"/>
      <c r="P616" s="15"/>
      <c r="Q616" s="8" t="s">
        <v>1481</v>
      </c>
      <c r="R616" s="9" t="s">
        <v>42</v>
      </c>
      <c r="S616" s="16">
        <v>4000.0</v>
      </c>
      <c r="T616" s="17">
        <v>0.0</v>
      </c>
      <c r="U616" s="8">
        <v>0.0</v>
      </c>
      <c r="V616" s="8">
        <v>16.0</v>
      </c>
      <c r="W616" s="8" t="s">
        <v>2052</v>
      </c>
      <c r="X616" s="8" t="s">
        <v>163</v>
      </c>
      <c r="Y616" s="8" t="s">
        <v>106</v>
      </c>
      <c r="Z616" s="8" t="s">
        <v>159</v>
      </c>
      <c r="AA616" s="8" t="s">
        <v>60</v>
      </c>
      <c r="AB616" s="8" t="s">
        <v>61</v>
      </c>
      <c r="AC616" s="15"/>
      <c r="AD616" s="8">
        <v>8.0</v>
      </c>
      <c r="AE616" s="8">
        <v>1.0</v>
      </c>
      <c r="AF616" s="8">
        <v>0.0</v>
      </c>
      <c r="AG616" s="18">
        <v>4000.0</v>
      </c>
      <c r="AH616" s="13"/>
      <c r="AI616" s="15"/>
      <c r="AJ616" s="15"/>
      <c r="AK616" s="15"/>
      <c r="AL616" s="15"/>
      <c r="AM616" s="15"/>
      <c r="AN616" s="15"/>
    </row>
    <row r="617">
      <c r="A617" s="14">
        <v>44403.86767016204</v>
      </c>
      <c r="B617" s="8">
        <f t="shared" si="1"/>
        <v>2021</v>
      </c>
      <c r="C617" s="8" t="s">
        <v>49</v>
      </c>
      <c r="D617" s="8">
        <v>25.0</v>
      </c>
      <c r="E617" s="8" t="s">
        <v>35</v>
      </c>
      <c r="F617" s="8" t="s">
        <v>36</v>
      </c>
      <c r="G617" s="8" t="s">
        <v>50</v>
      </c>
      <c r="H617" s="8" t="s">
        <v>37</v>
      </c>
      <c r="I617" s="8" t="s">
        <v>38</v>
      </c>
      <c r="J617" s="9" t="s">
        <v>75</v>
      </c>
      <c r="K617" s="9" t="s">
        <v>84</v>
      </c>
      <c r="L617" s="8" t="s">
        <v>39</v>
      </c>
      <c r="M617" s="8" t="s">
        <v>40</v>
      </c>
      <c r="N617" s="8" t="s">
        <v>40</v>
      </c>
      <c r="O617" s="15"/>
      <c r="P617" s="15"/>
      <c r="Q617" s="9" t="s">
        <v>1658</v>
      </c>
      <c r="R617" s="9" t="s">
        <v>42</v>
      </c>
      <c r="S617" s="16">
        <v>4800.0</v>
      </c>
      <c r="T617" s="17">
        <v>1000.0</v>
      </c>
      <c r="U617" s="8">
        <v>0.0</v>
      </c>
      <c r="V617" s="8">
        <v>16.0</v>
      </c>
      <c r="W617" s="8" t="s">
        <v>2053</v>
      </c>
      <c r="X617" s="8" t="s">
        <v>2054</v>
      </c>
      <c r="Y617" s="8" t="s">
        <v>122</v>
      </c>
      <c r="Z617" s="8" t="s">
        <v>155</v>
      </c>
      <c r="AA617" s="8" t="s">
        <v>90</v>
      </c>
      <c r="AB617" s="8" t="s">
        <v>61</v>
      </c>
      <c r="AC617" s="8" t="s">
        <v>2055</v>
      </c>
      <c r="AD617" s="8">
        <v>9.0</v>
      </c>
      <c r="AE617" s="8">
        <v>1.0</v>
      </c>
      <c r="AF617" s="8">
        <v>0.0</v>
      </c>
      <c r="AG617" s="18">
        <v>4000.0</v>
      </c>
      <c r="AH617" s="13"/>
      <c r="AI617" s="15"/>
      <c r="AJ617" s="15"/>
      <c r="AK617" s="15"/>
      <c r="AL617" s="15"/>
      <c r="AM617" s="15"/>
      <c r="AN617" s="15"/>
    </row>
    <row r="618">
      <c r="A618" s="14">
        <v>44403.85139502315</v>
      </c>
      <c r="B618" s="8">
        <f t="shared" si="1"/>
        <v>2021</v>
      </c>
      <c r="C618" s="8" t="s">
        <v>49</v>
      </c>
      <c r="D618" s="8">
        <v>27.0</v>
      </c>
      <c r="E618" s="8" t="s">
        <v>35</v>
      </c>
      <c r="F618" s="8" t="s">
        <v>36</v>
      </c>
      <c r="G618" s="8" t="s">
        <v>124</v>
      </c>
      <c r="H618" s="8" t="s">
        <v>298</v>
      </c>
      <c r="I618" s="8" t="s">
        <v>38</v>
      </c>
      <c r="J618" s="9" t="s">
        <v>75</v>
      </c>
      <c r="K618" s="9" t="s">
        <v>84</v>
      </c>
      <c r="L618" s="8" t="s">
        <v>39</v>
      </c>
      <c r="M618" s="8" t="s">
        <v>40</v>
      </c>
      <c r="N618" s="8" t="s">
        <v>40</v>
      </c>
      <c r="O618" s="15"/>
      <c r="P618" s="15"/>
      <c r="Q618" s="9" t="s">
        <v>128</v>
      </c>
      <c r="R618" s="9" t="s">
        <v>42</v>
      </c>
      <c r="S618" s="16">
        <v>7500.0</v>
      </c>
      <c r="T618" s="17">
        <v>7500.0</v>
      </c>
      <c r="U618" s="8">
        <v>0.0</v>
      </c>
      <c r="V618" s="8">
        <v>16.0</v>
      </c>
      <c r="W618" s="8" t="s">
        <v>223</v>
      </c>
      <c r="X618" s="8" t="s">
        <v>224</v>
      </c>
      <c r="Y618" s="8" t="s">
        <v>390</v>
      </c>
      <c r="Z618" s="8" t="s">
        <v>2056</v>
      </c>
      <c r="AA618" s="8" t="s">
        <v>71</v>
      </c>
      <c r="AB618" s="8" t="s">
        <v>91</v>
      </c>
      <c r="AC618" s="15"/>
      <c r="AD618" s="8">
        <v>7.0</v>
      </c>
      <c r="AE618" s="8">
        <v>4.0</v>
      </c>
      <c r="AF618" s="8">
        <v>0.0</v>
      </c>
      <c r="AG618" s="18">
        <v>4000.0</v>
      </c>
      <c r="AH618" s="13"/>
      <c r="AI618" s="15"/>
      <c r="AJ618" s="15"/>
      <c r="AK618" s="15"/>
      <c r="AL618" s="15"/>
      <c r="AM618" s="15"/>
      <c r="AN618" s="15"/>
    </row>
    <row r="619">
      <c r="A619" s="7">
        <v>44403.92144766204</v>
      </c>
      <c r="B619" s="8">
        <f t="shared" si="1"/>
        <v>2021</v>
      </c>
      <c r="C619" s="9" t="s">
        <v>49</v>
      </c>
      <c r="D619" s="9">
        <v>37.0</v>
      </c>
      <c r="E619" s="9" t="s">
        <v>35</v>
      </c>
      <c r="F619" s="9" t="s">
        <v>36</v>
      </c>
      <c r="G619" s="8" t="s">
        <v>124</v>
      </c>
      <c r="H619" s="9" t="s">
        <v>156</v>
      </c>
      <c r="I619" s="9" t="s">
        <v>247</v>
      </c>
      <c r="J619" s="9" t="s">
        <v>75</v>
      </c>
      <c r="K619" s="9" t="s">
        <v>84</v>
      </c>
      <c r="L619" s="9" t="s">
        <v>39</v>
      </c>
      <c r="M619" s="9" t="s">
        <v>40</v>
      </c>
      <c r="N619" s="9" t="s">
        <v>39</v>
      </c>
      <c r="P619" s="9" t="s">
        <v>2057</v>
      </c>
      <c r="Q619" s="9" t="s">
        <v>182</v>
      </c>
      <c r="R619" s="9" t="s">
        <v>42</v>
      </c>
      <c r="S619" s="10">
        <v>15000.0</v>
      </c>
      <c r="T619" s="11">
        <v>24000.0</v>
      </c>
      <c r="U619" s="9">
        <v>0.0</v>
      </c>
      <c r="V619" s="9">
        <v>16.0</v>
      </c>
      <c r="W619" s="9" t="s">
        <v>2058</v>
      </c>
      <c r="X619" s="9" t="s">
        <v>2059</v>
      </c>
      <c r="Y619" s="9" t="s">
        <v>124</v>
      </c>
      <c r="Z619" s="9" t="s">
        <v>59</v>
      </c>
      <c r="AA619" s="9" t="s">
        <v>90</v>
      </c>
      <c r="AB619" s="9" t="s">
        <v>61</v>
      </c>
      <c r="AD619" s="9">
        <v>10.0</v>
      </c>
      <c r="AE619" s="9">
        <v>14.0</v>
      </c>
      <c r="AF619" s="9">
        <v>3.0</v>
      </c>
      <c r="AG619" s="12">
        <v>4000.0</v>
      </c>
      <c r="AH619" s="13"/>
    </row>
    <row r="620">
      <c r="A620" s="14">
        <v>44403.86590181713</v>
      </c>
      <c r="B620" s="8">
        <f t="shared" si="1"/>
        <v>2021</v>
      </c>
      <c r="C620" s="8" t="s">
        <v>49</v>
      </c>
      <c r="D620" s="8">
        <v>25.0</v>
      </c>
      <c r="E620" s="8" t="s">
        <v>35</v>
      </c>
      <c r="F620" s="8" t="s">
        <v>36</v>
      </c>
      <c r="G620" s="8" t="s">
        <v>124</v>
      </c>
      <c r="H620" s="8" t="s">
        <v>125</v>
      </c>
      <c r="I620" s="8" t="s">
        <v>38</v>
      </c>
      <c r="J620" s="9" t="s">
        <v>75</v>
      </c>
      <c r="K620" s="15"/>
      <c r="L620" s="8" t="s">
        <v>39</v>
      </c>
      <c r="M620" s="8" t="s">
        <v>40</v>
      </c>
      <c r="N620" s="8" t="s">
        <v>40</v>
      </c>
      <c r="O620" s="15"/>
      <c r="P620" s="15"/>
      <c r="Q620" s="8" t="s">
        <v>255</v>
      </c>
      <c r="R620" s="9" t="s">
        <v>42</v>
      </c>
      <c r="S620" s="16">
        <v>8000.0</v>
      </c>
      <c r="T620" s="11" t="s">
        <v>37</v>
      </c>
      <c r="U620" s="15"/>
      <c r="V620" s="8">
        <v>16.0</v>
      </c>
      <c r="W620" s="8" t="s">
        <v>2060</v>
      </c>
      <c r="X620" s="8" t="s">
        <v>2061</v>
      </c>
      <c r="Y620" s="8" t="s">
        <v>131</v>
      </c>
      <c r="Z620" s="8" t="s">
        <v>105</v>
      </c>
      <c r="AA620" s="8" t="s">
        <v>71</v>
      </c>
      <c r="AB620" s="8" t="s">
        <v>91</v>
      </c>
      <c r="AC620" s="15"/>
      <c r="AD620" s="8">
        <v>8.0</v>
      </c>
      <c r="AE620" s="8">
        <v>6.0</v>
      </c>
      <c r="AF620" s="8">
        <v>2.0</v>
      </c>
      <c r="AG620" s="18">
        <v>4000.0</v>
      </c>
      <c r="AH620" s="13"/>
      <c r="AI620" s="15"/>
      <c r="AJ620" s="15"/>
      <c r="AK620" s="15"/>
      <c r="AL620" s="15"/>
      <c r="AM620" s="15"/>
      <c r="AN620" s="15"/>
    </row>
    <row r="621">
      <c r="A621" s="14">
        <v>44403.855719513886</v>
      </c>
      <c r="B621" s="8">
        <f t="shared" si="1"/>
        <v>2021</v>
      </c>
      <c r="C621" s="8" t="s">
        <v>49</v>
      </c>
      <c r="D621" s="8">
        <v>25.0</v>
      </c>
      <c r="E621" s="8" t="s">
        <v>35</v>
      </c>
      <c r="F621" s="8" t="s">
        <v>246</v>
      </c>
      <c r="G621" s="8" t="s">
        <v>246</v>
      </c>
      <c r="H621" s="8" t="s">
        <v>246</v>
      </c>
      <c r="I621" s="8" t="s">
        <v>38</v>
      </c>
      <c r="J621" s="8" t="s">
        <v>2062</v>
      </c>
      <c r="K621" s="8"/>
      <c r="L621" s="8" t="s">
        <v>39</v>
      </c>
      <c r="M621" s="8" t="s">
        <v>40</v>
      </c>
      <c r="N621" s="8" t="s">
        <v>39</v>
      </c>
      <c r="O621" s="15"/>
      <c r="P621" s="15"/>
      <c r="Q621" s="8" t="s">
        <v>128</v>
      </c>
      <c r="R621" s="8" t="s">
        <v>250</v>
      </c>
      <c r="S621" s="16">
        <v>6800.0</v>
      </c>
      <c r="T621" s="17">
        <v>12240.0</v>
      </c>
      <c r="U621" s="8">
        <v>37570.0</v>
      </c>
      <c r="V621" s="8">
        <v>18.0</v>
      </c>
      <c r="W621" s="8" t="s">
        <v>2063</v>
      </c>
      <c r="X621" s="8" t="s">
        <v>2064</v>
      </c>
      <c r="Y621" s="8" t="s">
        <v>246</v>
      </c>
      <c r="Z621" s="8" t="s">
        <v>1013</v>
      </c>
      <c r="AA621" s="8" t="s">
        <v>81</v>
      </c>
      <c r="AB621" s="8" t="s">
        <v>61</v>
      </c>
      <c r="AC621" s="15"/>
      <c r="AD621" s="8">
        <v>5.0</v>
      </c>
      <c r="AE621" s="8">
        <v>3.0</v>
      </c>
      <c r="AF621" s="8">
        <v>2.0</v>
      </c>
      <c r="AG621" s="18">
        <v>4000.0</v>
      </c>
      <c r="AH621" s="13"/>
      <c r="AI621" s="15"/>
      <c r="AJ621" s="15"/>
      <c r="AK621" s="15"/>
      <c r="AL621" s="15"/>
      <c r="AM621" s="15"/>
      <c r="AN621" s="15"/>
    </row>
    <row r="622">
      <c r="A622" s="7">
        <v>44404.70323381944</v>
      </c>
      <c r="B622" s="8">
        <f t="shared" si="1"/>
        <v>2021</v>
      </c>
      <c r="C622" s="9" t="s">
        <v>49</v>
      </c>
      <c r="D622" s="9">
        <v>27.0</v>
      </c>
      <c r="E622" s="9" t="s">
        <v>35</v>
      </c>
      <c r="F622" s="9" t="s">
        <v>36</v>
      </c>
      <c r="G622" s="8" t="s">
        <v>124</v>
      </c>
      <c r="H622" s="9" t="s">
        <v>156</v>
      </c>
      <c r="I622" s="9" t="s">
        <v>38</v>
      </c>
      <c r="J622" s="9" t="s">
        <v>160</v>
      </c>
      <c r="K622" s="9" t="s">
        <v>534</v>
      </c>
      <c r="L622" s="9" t="s">
        <v>39</v>
      </c>
      <c r="M622" s="9" t="s">
        <v>40</v>
      </c>
      <c r="N622" s="9" t="s">
        <v>40</v>
      </c>
      <c r="Q622" s="8" t="s">
        <v>602</v>
      </c>
      <c r="R622" s="9" t="s">
        <v>42</v>
      </c>
      <c r="S622" s="10">
        <v>8800.0</v>
      </c>
      <c r="T622" s="11">
        <v>12000.0</v>
      </c>
      <c r="U622" s="9">
        <v>0.0</v>
      </c>
      <c r="V622" s="9">
        <v>19.0</v>
      </c>
      <c r="W622" s="9" t="s">
        <v>2065</v>
      </c>
      <c r="X622" s="9" t="s">
        <v>2066</v>
      </c>
      <c r="Y622" s="9" t="s">
        <v>58</v>
      </c>
      <c r="Z622" s="9" t="s">
        <v>80</v>
      </c>
      <c r="AA622" s="9" t="s">
        <v>81</v>
      </c>
      <c r="AB622" s="9" t="s">
        <v>611</v>
      </c>
      <c r="AD622" s="9">
        <v>7.0</v>
      </c>
      <c r="AE622" s="9">
        <v>5.0</v>
      </c>
      <c r="AF622" s="9">
        <v>0.0</v>
      </c>
      <c r="AG622" s="12">
        <v>4000.0</v>
      </c>
      <c r="AH622" s="13"/>
    </row>
    <row r="623">
      <c r="A623" s="7">
        <v>44404.69176832176</v>
      </c>
      <c r="B623" s="8">
        <f t="shared" si="1"/>
        <v>2021</v>
      </c>
      <c r="C623" s="9" t="s">
        <v>73</v>
      </c>
      <c r="D623" s="9">
        <v>24.0</v>
      </c>
      <c r="E623" s="9" t="s">
        <v>35</v>
      </c>
      <c r="F623" s="9" t="s">
        <v>36</v>
      </c>
      <c r="G623" s="8" t="s">
        <v>50</v>
      </c>
      <c r="H623" s="9" t="s">
        <v>106</v>
      </c>
      <c r="I623" s="9" t="s">
        <v>38</v>
      </c>
      <c r="J623" s="9" t="s">
        <v>160</v>
      </c>
      <c r="K623" s="9" t="s">
        <v>534</v>
      </c>
      <c r="L623" s="9" t="s">
        <v>39</v>
      </c>
      <c r="M623" s="9" t="s">
        <v>40</v>
      </c>
      <c r="N623" s="9" t="s">
        <v>40</v>
      </c>
      <c r="Q623" s="9" t="s">
        <v>634</v>
      </c>
      <c r="R623" s="9" t="s">
        <v>42</v>
      </c>
      <c r="S623" s="10">
        <v>4800.0</v>
      </c>
      <c r="T623" s="11">
        <v>7000.0</v>
      </c>
      <c r="U623" s="9">
        <v>0.0</v>
      </c>
      <c r="V623" s="9">
        <v>20.0</v>
      </c>
      <c r="W623" s="9" t="s">
        <v>2067</v>
      </c>
      <c r="X623" s="9" t="s">
        <v>2068</v>
      </c>
      <c r="Y623" s="9" t="s">
        <v>58</v>
      </c>
      <c r="Z623" s="9" t="s">
        <v>80</v>
      </c>
      <c r="AA623" s="9" t="s">
        <v>60</v>
      </c>
      <c r="AB623" s="9" t="s">
        <v>91</v>
      </c>
      <c r="AD623" s="9">
        <v>7.0</v>
      </c>
      <c r="AE623" s="9">
        <v>2.0</v>
      </c>
      <c r="AF623" s="9">
        <v>0.0</v>
      </c>
      <c r="AG623" s="12">
        <v>4000.0</v>
      </c>
      <c r="AH623" s="13"/>
    </row>
    <row r="624">
      <c r="A624" s="7">
        <v>44403.89922755787</v>
      </c>
      <c r="B624" s="8">
        <f t="shared" si="1"/>
        <v>2021</v>
      </c>
      <c r="C624" s="9" t="s">
        <v>49</v>
      </c>
      <c r="D624" s="9">
        <v>30.0</v>
      </c>
      <c r="E624" s="9" t="s">
        <v>35</v>
      </c>
      <c r="F624" s="9" t="s">
        <v>36</v>
      </c>
      <c r="G624" s="8" t="s">
        <v>63</v>
      </c>
      <c r="H624" s="9" t="s">
        <v>301</v>
      </c>
      <c r="I624" s="9" t="s">
        <v>38</v>
      </c>
      <c r="J624" s="9" t="s">
        <v>910</v>
      </c>
      <c r="K624" s="9" t="s">
        <v>66</v>
      </c>
      <c r="L624" s="9" t="s">
        <v>39</v>
      </c>
      <c r="M624" s="9" t="s">
        <v>40</v>
      </c>
      <c r="N624" s="9" t="s">
        <v>40</v>
      </c>
      <c r="Q624" s="9" t="s">
        <v>128</v>
      </c>
      <c r="R624" s="9" t="s">
        <v>42</v>
      </c>
      <c r="S624" s="10">
        <v>5000.0</v>
      </c>
      <c r="T624" s="11">
        <v>5000.0</v>
      </c>
      <c r="U624" s="9">
        <v>0.0</v>
      </c>
      <c r="V624" s="9">
        <v>22.0</v>
      </c>
      <c r="W624" s="9" t="s">
        <v>1218</v>
      </c>
      <c r="X624" s="9" t="s">
        <v>2069</v>
      </c>
      <c r="Y624" s="9" t="s">
        <v>2070</v>
      </c>
      <c r="Z624" s="9" t="s">
        <v>80</v>
      </c>
      <c r="AA624" s="9" t="s">
        <v>81</v>
      </c>
      <c r="AB624" s="9" t="s">
        <v>61</v>
      </c>
      <c r="AD624" s="9">
        <v>7.0</v>
      </c>
      <c r="AE624" s="9">
        <v>3.0</v>
      </c>
      <c r="AF624" s="9">
        <v>2.0</v>
      </c>
      <c r="AG624" s="12">
        <v>4000.0</v>
      </c>
      <c r="AH624" s="13"/>
    </row>
    <row r="625">
      <c r="A625" s="7">
        <v>44404.92407998843</v>
      </c>
      <c r="B625" s="8">
        <f t="shared" si="1"/>
        <v>2021</v>
      </c>
      <c r="C625" s="9" t="s">
        <v>49</v>
      </c>
      <c r="D625" s="9">
        <v>27.0</v>
      </c>
      <c r="E625" s="9" t="s">
        <v>35</v>
      </c>
      <c r="F625" s="9" t="s">
        <v>36</v>
      </c>
      <c r="G625" s="8" t="s">
        <v>50</v>
      </c>
      <c r="H625" s="9" t="s">
        <v>570</v>
      </c>
      <c r="I625" s="9" t="s">
        <v>38</v>
      </c>
      <c r="J625" s="9" t="s">
        <v>828</v>
      </c>
      <c r="K625" s="9" t="s">
        <v>84</v>
      </c>
      <c r="L625" s="9" t="s">
        <v>40</v>
      </c>
      <c r="M625" s="9" t="s">
        <v>40</v>
      </c>
      <c r="N625" s="9" t="s">
        <v>40</v>
      </c>
      <c r="P625" s="9" t="s">
        <v>2071</v>
      </c>
      <c r="Q625" s="8" t="s">
        <v>293</v>
      </c>
      <c r="R625" s="9" t="s">
        <v>42</v>
      </c>
      <c r="S625" s="10">
        <v>4200.0</v>
      </c>
      <c r="T625" s="11">
        <v>12300.0</v>
      </c>
      <c r="U625" s="9">
        <v>0.0</v>
      </c>
      <c r="V625" s="9">
        <v>24.0</v>
      </c>
      <c r="W625" s="9" t="s">
        <v>2072</v>
      </c>
      <c r="X625" s="9" t="s">
        <v>1698</v>
      </c>
      <c r="Y625" s="9" t="s">
        <v>122</v>
      </c>
      <c r="Z625" s="9" t="s">
        <v>59</v>
      </c>
      <c r="AA625" s="9" t="s">
        <v>132</v>
      </c>
      <c r="AB625" s="9" t="s">
        <v>91</v>
      </c>
      <c r="AD625" s="9">
        <v>5.0</v>
      </c>
      <c r="AE625" s="9">
        <v>2.8</v>
      </c>
      <c r="AF625" s="9">
        <v>2.0</v>
      </c>
      <c r="AG625" s="12">
        <v>4100.0</v>
      </c>
      <c r="AH625" s="13"/>
    </row>
    <row r="626">
      <c r="A626" s="7">
        <v>44403.92346032408</v>
      </c>
      <c r="B626" s="8">
        <f t="shared" si="1"/>
        <v>2021</v>
      </c>
      <c r="C626" s="9" t="s">
        <v>49</v>
      </c>
      <c r="D626" s="9">
        <v>25.0</v>
      </c>
      <c r="E626" s="9" t="s">
        <v>35</v>
      </c>
      <c r="F626" s="9" t="s">
        <v>36</v>
      </c>
      <c r="G626" s="8" t="s">
        <v>124</v>
      </c>
      <c r="H626" s="9" t="s">
        <v>156</v>
      </c>
      <c r="I626" s="9" t="s">
        <v>38</v>
      </c>
      <c r="J626" s="9" t="s">
        <v>75</v>
      </c>
      <c r="K626" s="9" t="s">
        <v>944</v>
      </c>
      <c r="L626" s="9" t="s">
        <v>39</v>
      </c>
      <c r="M626" s="9" t="s">
        <v>40</v>
      </c>
      <c r="N626" s="9" t="s">
        <v>40</v>
      </c>
      <c r="Q626" s="9" t="s">
        <v>548</v>
      </c>
      <c r="R626" s="9" t="s">
        <v>42</v>
      </c>
      <c r="S626" s="10">
        <v>6980.0</v>
      </c>
      <c r="T626" s="11">
        <v>2000.0</v>
      </c>
      <c r="U626" s="9">
        <v>0.0</v>
      </c>
      <c r="V626" s="9">
        <v>15.0</v>
      </c>
      <c r="W626" s="9" t="s">
        <v>2073</v>
      </c>
      <c r="X626" s="9" t="s">
        <v>1467</v>
      </c>
      <c r="Y626" s="9" t="s">
        <v>122</v>
      </c>
      <c r="Z626" s="9" t="s">
        <v>89</v>
      </c>
      <c r="AA626" s="9" t="s">
        <v>81</v>
      </c>
      <c r="AB626" s="9" t="s">
        <v>91</v>
      </c>
      <c r="AD626" s="9">
        <v>8.0</v>
      </c>
      <c r="AE626" s="9">
        <v>3.0</v>
      </c>
      <c r="AF626" s="9">
        <v>0.0</v>
      </c>
      <c r="AG626" s="12">
        <v>4100.0</v>
      </c>
      <c r="AH626" s="13"/>
    </row>
    <row r="627">
      <c r="A627" s="7">
        <v>44404.98631136574</v>
      </c>
      <c r="B627" s="8">
        <f t="shared" si="1"/>
        <v>2021</v>
      </c>
      <c r="C627" s="9" t="s">
        <v>73</v>
      </c>
      <c r="D627" s="9">
        <v>26.0</v>
      </c>
      <c r="E627" s="9" t="s">
        <v>35</v>
      </c>
      <c r="F627" s="9" t="s">
        <v>36</v>
      </c>
      <c r="G627" s="8" t="s">
        <v>50</v>
      </c>
      <c r="H627" s="9" t="s">
        <v>106</v>
      </c>
      <c r="I627" s="9" t="s">
        <v>38</v>
      </c>
      <c r="J627" s="9" t="s">
        <v>2074</v>
      </c>
      <c r="K627" s="9" t="s">
        <v>166</v>
      </c>
      <c r="L627" s="9" t="s">
        <v>39</v>
      </c>
      <c r="M627" s="9" t="s">
        <v>40</v>
      </c>
      <c r="N627" s="9" t="s">
        <v>40</v>
      </c>
      <c r="Q627" s="9" t="s">
        <v>2075</v>
      </c>
      <c r="R627" s="9" t="s">
        <v>42</v>
      </c>
      <c r="S627" s="10">
        <v>7800.0</v>
      </c>
      <c r="T627" s="11">
        <v>7800.0</v>
      </c>
      <c r="U627" s="9">
        <v>0.0</v>
      </c>
      <c r="V627" s="9">
        <v>20.0</v>
      </c>
      <c r="W627" s="9" t="s">
        <v>2076</v>
      </c>
      <c r="X627" s="9" t="s">
        <v>2077</v>
      </c>
      <c r="Y627" s="9" t="s">
        <v>58</v>
      </c>
      <c r="Z627" s="9" t="s">
        <v>59</v>
      </c>
      <c r="AA627" s="9" t="s">
        <v>81</v>
      </c>
      <c r="AB627" s="9" t="s">
        <v>133</v>
      </c>
      <c r="AD627" s="9">
        <v>8.0</v>
      </c>
      <c r="AE627" s="9">
        <v>2.75</v>
      </c>
      <c r="AF627" s="9">
        <v>2.0</v>
      </c>
      <c r="AG627" s="12">
        <v>4130.0</v>
      </c>
      <c r="AH627" s="13"/>
    </row>
    <row r="628">
      <c r="A628" s="14">
        <v>44403.85019016203</v>
      </c>
      <c r="B628" s="8">
        <f t="shared" si="1"/>
        <v>2021</v>
      </c>
      <c r="C628" s="8" t="s">
        <v>49</v>
      </c>
      <c r="D628" s="8">
        <v>28.0</v>
      </c>
      <c r="E628" s="8" t="s">
        <v>35</v>
      </c>
      <c r="F628" s="8" t="s">
        <v>36</v>
      </c>
      <c r="G628" s="8" t="s">
        <v>124</v>
      </c>
      <c r="H628" s="8" t="s">
        <v>37</v>
      </c>
      <c r="I628" s="8" t="s">
        <v>247</v>
      </c>
      <c r="K628" s="15"/>
      <c r="L628" s="8" t="s">
        <v>40</v>
      </c>
      <c r="M628" s="8" t="s">
        <v>39</v>
      </c>
      <c r="N628" s="8" t="s">
        <v>39</v>
      </c>
      <c r="O628" s="8" t="s">
        <v>2078</v>
      </c>
      <c r="P628" s="8" t="s">
        <v>2079</v>
      </c>
      <c r="Q628" s="8" t="s">
        <v>2080</v>
      </c>
      <c r="R628" s="9" t="s">
        <v>42</v>
      </c>
      <c r="S628" s="16">
        <v>4700.0</v>
      </c>
      <c r="T628" s="17">
        <v>6500.0</v>
      </c>
      <c r="U628" s="15"/>
      <c r="V628" s="8">
        <v>15.0</v>
      </c>
      <c r="W628" s="8" t="s">
        <v>2081</v>
      </c>
      <c r="X628" s="8" t="s">
        <v>2082</v>
      </c>
      <c r="Y628" s="8" t="s">
        <v>122</v>
      </c>
      <c r="Z628" s="8" t="s">
        <v>89</v>
      </c>
      <c r="AA628" s="8" t="s">
        <v>90</v>
      </c>
      <c r="AB628" s="8" t="s">
        <v>611</v>
      </c>
      <c r="AC628" s="15"/>
      <c r="AD628" s="8">
        <v>8.0</v>
      </c>
      <c r="AE628" s="8">
        <v>3.0</v>
      </c>
      <c r="AF628" s="8">
        <v>0.0</v>
      </c>
      <c r="AG628" s="18">
        <v>4130.0</v>
      </c>
      <c r="AH628" s="13"/>
      <c r="AI628" s="15"/>
      <c r="AJ628" s="15"/>
      <c r="AK628" s="15"/>
      <c r="AL628" s="15"/>
      <c r="AM628" s="15"/>
      <c r="AN628" s="15"/>
    </row>
    <row r="629">
      <c r="A629" s="7">
        <v>44404.92220994213</v>
      </c>
      <c r="B629" s="8">
        <f t="shared" si="1"/>
        <v>2021</v>
      </c>
      <c r="C629" s="9" t="s">
        <v>49</v>
      </c>
      <c r="D629" s="9">
        <v>27.0</v>
      </c>
      <c r="E629" s="9" t="s">
        <v>35</v>
      </c>
      <c r="F629" s="9" t="s">
        <v>36</v>
      </c>
      <c r="G629" s="8" t="s">
        <v>124</v>
      </c>
      <c r="H629" s="9" t="s">
        <v>298</v>
      </c>
      <c r="I629" s="9" t="s">
        <v>38</v>
      </c>
      <c r="J629" s="9" t="s">
        <v>160</v>
      </c>
      <c r="K629" s="9" t="s">
        <v>161</v>
      </c>
      <c r="L629" s="9" t="s">
        <v>39</v>
      </c>
      <c r="M629" s="9" t="s">
        <v>40</v>
      </c>
      <c r="N629" s="9" t="s">
        <v>40</v>
      </c>
      <c r="Q629" s="9" t="s">
        <v>146</v>
      </c>
      <c r="R629" s="9" t="s">
        <v>112</v>
      </c>
      <c r="S629" s="10">
        <v>4300.0</v>
      </c>
      <c r="T629" s="11">
        <v>0.0</v>
      </c>
      <c r="V629" s="9">
        <v>0.0</v>
      </c>
      <c r="W629" s="9" t="s">
        <v>67</v>
      </c>
      <c r="X629" s="9" t="s">
        <v>1979</v>
      </c>
      <c r="Y629" s="9" t="s">
        <v>36</v>
      </c>
      <c r="Z629" s="9" t="s">
        <v>97</v>
      </c>
      <c r="AA629" s="9" t="s">
        <v>47</v>
      </c>
      <c r="AB629" s="9" t="s">
        <v>61</v>
      </c>
      <c r="AD629" s="9">
        <v>7.0</v>
      </c>
      <c r="AE629" s="9">
        <v>3.0</v>
      </c>
      <c r="AF629" s="9">
        <v>1.0</v>
      </c>
      <c r="AG629" s="12">
        <v>4200.0</v>
      </c>
      <c r="AH629" s="9" t="s">
        <v>42</v>
      </c>
    </row>
    <row r="630">
      <c r="A630" s="7">
        <v>44409.08740409723</v>
      </c>
      <c r="B630" s="8">
        <f t="shared" si="1"/>
        <v>2021</v>
      </c>
      <c r="C630" s="9" t="s">
        <v>49</v>
      </c>
      <c r="D630" s="9">
        <v>23.0</v>
      </c>
      <c r="E630" s="9" t="s">
        <v>35</v>
      </c>
      <c r="F630" s="9" t="s">
        <v>36</v>
      </c>
      <c r="G630" s="8" t="s">
        <v>50</v>
      </c>
      <c r="H630" s="9" t="s">
        <v>82</v>
      </c>
      <c r="I630" s="9" t="s">
        <v>38</v>
      </c>
      <c r="J630" s="9" t="s">
        <v>160</v>
      </c>
      <c r="K630" s="9" t="s">
        <v>84</v>
      </c>
      <c r="L630" s="9" t="s">
        <v>39</v>
      </c>
      <c r="M630" s="9" t="s">
        <v>40</v>
      </c>
      <c r="N630" s="9" t="s">
        <v>40</v>
      </c>
      <c r="Q630" s="9" t="s">
        <v>41</v>
      </c>
      <c r="R630" s="9" t="s">
        <v>42</v>
      </c>
      <c r="S630" s="10">
        <v>4200.0</v>
      </c>
      <c r="T630" s="11">
        <v>0.0</v>
      </c>
      <c r="U630" s="9">
        <v>0.0</v>
      </c>
      <c r="V630" s="9">
        <v>14.0</v>
      </c>
      <c r="W630" s="9" t="s">
        <v>2083</v>
      </c>
      <c r="X630" s="9" t="s">
        <v>2084</v>
      </c>
      <c r="Y630" s="9" t="s">
        <v>2085</v>
      </c>
      <c r="Z630" s="9" t="s">
        <v>197</v>
      </c>
      <c r="AA630" s="9" t="s">
        <v>60</v>
      </c>
      <c r="AB630" s="9" t="s">
        <v>61</v>
      </c>
      <c r="AD630" s="9">
        <v>6.0</v>
      </c>
      <c r="AE630" s="9">
        <v>1.0</v>
      </c>
      <c r="AF630" s="9">
        <v>1.0</v>
      </c>
      <c r="AG630" s="12">
        <v>4200.0</v>
      </c>
      <c r="AH630" s="13"/>
    </row>
    <row r="631">
      <c r="A631" s="7">
        <v>44408.77559319444</v>
      </c>
      <c r="B631" s="8">
        <f t="shared" si="1"/>
        <v>2021</v>
      </c>
      <c r="C631" s="9" t="s">
        <v>49</v>
      </c>
      <c r="D631" s="9">
        <v>24.0</v>
      </c>
      <c r="E631" s="9" t="s">
        <v>35</v>
      </c>
      <c r="F631" s="9" t="s">
        <v>36</v>
      </c>
      <c r="G631" s="8" t="s">
        <v>50</v>
      </c>
      <c r="H631" s="9" t="s">
        <v>117</v>
      </c>
      <c r="I631" s="9" t="s">
        <v>38</v>
      </c>
      <c r="J631" s="9" t="s">
        <v>75</v>
      </c>
      <c r="K631" s="9" t="s">
        <v>534</v>
      </c>
      <c r="L631" s="9" t="s">
        <v>39</v>
      </c>
      <c r="M631" s="9" t="s">
        <v>40</v>
      </c>
      <c r="N631" s="9" t="s">
        <v>39</v>
      </c>
      <c r="P631" s="9" t="s">
        <v>2086</v>
      </c>
      <c r="Q631" s="9" t="s">
        <v>146</v>
      </c>
      <c r="R631" s="9" t="s">
        <v>42</v>
      </c>
      <c r="S631" s="10">
        <v>5500.0</v>
      </c>
      <c r="T631" s="11">
        <v>15000.0</v>
      </c>
      <c r="U631" s="9">
        <v>0.0</v>
      </c>
      <c r="V631" s="9">
        <v>21.0</v>
      </c>
      <c r="W631" s="9" t="s">
        <v>2087</v>
      </c>
      <c r="X631" s="9" t="s">
        <v>2088</v>
      </c>
      <c r="Y631" s="9" t="s">
        <v>604</v>
      </c>
      <c r="Z631" s="9" t="s">
        <v>70</v>
      </c>
      <c r="AA631" s="9" t="s">
        <v>81</v>
      </c>
      <c r="AB631" s="9" t="s">
        <v>61</v>
      </c>
      <c r="AD631" s="9">
        <v>6.0</v>
      </c>
      <c r="AE631" s="9">
        <v>3.0</v>
      </c>
      <c r="AF631" s="9">
        <v>1.0</v>
      </c>
      <c r="AG631" s="12">
        <v>4200.0</v>
      </c>
      <c r="AH631" s="13"/>
    </row>
    <row r="632">
      <c r="A632" s="7">
        <v>44614.95810403935</v>
      </c>
      <c r="B632" s="8">
        <f t="shared" si="1"/>
        <v>2022</v>
      </c>
      <c r="C632" s="9" t="s">
        <v>49</v>
      </c>
      <c r="D632" s="9">
        <v>26.0</v>
      </c>
      <c r="E632" s="9" t="s">
        <v>35</v>
      </c>
      <c r="F632" s="9" t="s">
        <v>246</v>
      </c>
      <c r="G632" s="9" t="s">
        <v>246</v>
      </c>
      <c r="H632" s="8" t="s">
        <v>37</v>
      </c>
      <c r="I632" s="9" t="s">
        <v>38</v>
      </c>
      <c r="J632" s="9" t="s">
        <v>342</v>
      </c>
      <c r="K632" s="9" t="s">
        <v>2089</v>
      </c>
      <c r="L632" s="9" t="s">
        <v>39</v>
      </c>
      <c r="M632" s="9" t="s">
        <v>40</v>
      </c>
      <c r="N632" s="9" t="s">
        <v>40</v>
      </c>
      <c r="Q632" s="9" t="s">
        <v>128</v>
      </c>
      <c r="R632" s="9" t="s">
        <v>250</v>
      </c>
      <c r="S632" s="10">
        <v>8700.0</v>
      </c>
      <c r="T632" s="11">
        <v>20000.0</v>
      </c>
      <c r="U632" s="9">
        <v>50000.0</v>
      </c>
      <c r="V632" s="9">
        <v>19.0</v>
      </c>
      <c r="W632" s="9" t="s">
        <v>2090</v>
      </c>
      <c r="X632" s="9" t="s">
        <v>2091</v>
      </c>
      <c r="Y632" s="9" t="s">
        <v>246</v>
      </c>
      <c r="Z632" s="9" t="s">
        <v>297</v>
      </c>
      <c r="AA632" s="9" t="s">
        <v>81</v>
      </c>
      <c r="AB632" s="9" t="s">
        <v>91</v>
      </c>
      <c r="AD632" s="9">
        <v>8.0</v>
      </c>
      <c r="AE632" s="9">
        <v>2.0</v>
      </c>
      <c r="AF632" s="9">
        <v>1.0</v>
      </c>
      <c r="AG632" s="12">
        <v>4300.0</v>
      </c>
      <c r="AH632" s="13"/>
    </row>
    <row r="633">
      <c r="A633" s="7">
        <v>44404.94580981482</v>
      </c>
      <c r="B633" s="8">
        <f t="shared" si="1"/>
        <v>2021</v>
      </c>
      <c r="C633" s="9" t="s">
        <v>49</v>
      </c>
      <c r="D633" s="9">
        <v>25.0</v>
      </c>
      <c r="E633" s="9" t="s">
        <v>35</v>
      </c>
      <c r="F633" s="9" t="s">
        <v>36</v>
      </c>
      <c r="G633" s="8" t="s">
        <v>124</v>
      </c>
      <c r="H633" s="9" t="s">
        <v>156</v>
      </c>
      <c r="I633" s="9" t="s">
        <v>38</v>
      </c>
      <c r="J633" s="9" t="s">
        <v>239</v>
      </c>
      <c r="K633" s="9" t="s">
        <v>414</v>
      </c>
      <c r="L633" s="9" t="s">
        <v>39</v>
      </c>
      <c r="M633" s="9" t="s">
        <v>39</v>
      </c>
      <c r="N633" s="9" t="s">
        <v>39</v>
      </c>
      <c r="P633" s="9" t="s">
        <v>2092</v>
      </c>
      <c r="Q633" s="9" t="s">
        <v>584</v>
      </c>
      <c r="R633" s="9" t="s">
        <v>42</v>
      </c>
      <c r="S633" s="10">
        <v>6500.0</v>
      </c>
      <c r="T633" s="11">
        <v>0.0</v>
      </c>
      <c r="V633" s="9">
        <v>15.0</v>
      </c>
      <c r="W633" s="9" t="s">
        <v>2093</v>
      </c>
      <c r="X633" s="9" t="s">
        <v>2094</v>
      </c>
      <c r="Y633" s="9" t="s">
        <v>36</v>
      </c>
      <c r="Z633" s="9" t="s">
        <v>155</v>
      </c>
      <c r="AA633" s="9" t="s">
        <v>90</v>
      </c>
      <c r="AB633" s="9" t="s">
        <v>91</v>
      </c>
      <c r="AD633" s="9">
        <v>9.0</v>
      </c>
      <c r="AE633" s="9">
        <v>2.0</v>
      </c>
      <c r="AF633" s="9">
        <v>0.0</v>
      </c>
      <c r="AG633" s="12">
        <v>4310.0</v>
      </c>
      <c r="AH633" s="13"/>
    </row>
    <row r="634">
      <c r="A634" s="7">
        <v>44403.926768715275</v>
      </c>
      <c r="B634" s="8">
        <f t="shared" si="1"/>
        <v>2021</v>
      </c>
      <c r="C634" s="9" t="s">
        <v>49</v>
      </c>
      <c r="D634" s="9">
        <v>23.0</v>
      </c>
      <c r="E634" s="9" t="s">
        <v>35</v>
      </c>
      <c r="F634" s="9" t="s">
        <v>36</v>
      </c>
      <c r="G634" s="8" t="s">
        <v>50</v>
      </c>
      <c r="H634" s="9" t="s">
        <v>82</v>
      </c>
      <c r="I634" s="9" t="s">
        <v>38</v>
      </c>
      <c r="J634" s="9" t="s">
        <v>75</v>
      </c>
      <c r="K634" s="9" t="s">
        <v>161</v>
      </c>
      <c r="L634" s="9" t="s">
        <v>39</v>
      </c>
      <c r="M634" s="9" t="s">
        <v>40</v>
      </c>
      <c r="N634" s="9" t="s">
        <v>40</v>
      </c>
      <c r="Q634" s="9" t="s">
        <v>128</v>
      </c>
      <c r="R634" s="9" t="s">
        <v>42</v>
      </c>
      <c r="S634" s="10">
        <v>5200.0</v>
      </c>
      <c r="T634" s="11" t="s">
        <v>37</v>
      </c>
      <c r="V634" s="9">
        <v>15.0</v>
      </c>
      <c r="W634" s="9" t="s">
        <v>2095</v>
      </c>
      <c r="X634" s="9" t="s">
        <v>2096</v>
      </c>
      <c r="Y634" s="9" t="s">
        <v>2097</v>
      </c>
      <c r="Z634" s="9" t="s">
        <v>80</v>
      </c>
      <c r="AA634" s="9" t="s">
        <v>81</v>
      </c>
      <c r="AB634" s="9" t="s">
        <v>91</v>
      </c>
      <c r="AC634" s="9" t="s">
        <v>2098</v>
      </c>
      <c r="AD634" s="9">
        <v>8.0</v>
      </c>
      <c r="AE634" s="9">
        <v>1.0</v>
      </c>
      <c r="AF634" s="9">
        <v>1.0</v>
      </c>
      <c r="AG634" s="12">
        <v>4400.0</v>
      </c>
      <c r="AH634" s="13"/>
    </row>
    <row r="635">
      <c r="A635" s="7">
        <v>44403.906153275464</v>
      </c>
      <c r="B635" s="8">
        <f t="shared" si="1"/>
        <v>2021</v>
      </c>
      <c r="C635" s="9" t="s">
        <v>49</v>
      </c>
      <c r="D635" s="9">
        <v>22.0</v>
      </c>
      <c r="E635" s="9" t="s">
        <v>35</v>
      </c>
      <c r="F635" s="9" t="s">
        <v>36</v>
      </c>
      <c r="G635" s="8" t="s">
        <v>50</v>
      </c>
      <c r="H635" s="9" t="s">
        <v>106</v>
      </c>
      <c r="I635" s="9" t="s">
        <v>38</v>
      </c>
      <c r="J635" s="9" t="s">
        <v>75</v>
      </c>
      <c r="K635" s="9" t="s">
        <v>100</v>
      </c>
      <c r="L635" s="9" t="s">
        <v>39</v>
      </c>
      <c r="M635" s="9" t="s">
        <v>40</v>
      </c>
      <c r="N635" s="9" t="s">
        <v>40</v>
      </c>
      <c r="Q635" s="9" t="s">
        <v>128</v>
      </c>
      <c r="R635" s="9" t="s">
        <v>42</v>
      </c>
      <c r="S635" s="10">
        <v>4400.0</v>
      </c>
      <c r="T635" s="11">
        <v>0.0</v>
      </c>
      <c r="U635" s="9">
        <v>0.0</v>
      </c>
      <c r="V635" s="9">
        <v>18.0</v>
      </c>
      <c r="W635" s="9" t="s">
        <v>2099</v>
      </c>
      <c r="X635" s="9" t="s">
        <v>224</v>
      </c>
      <c r="Y635" s="9" t="s">
        <v>58</v>
      </c>
      <c r="Z635" s="9" t="s">
        <v>80</v>
      </c>
      <c r="AA635" s="9" t="s">
        <v>90</v>
      </c>
      <c r="AB635" s="9" t="s">
        <v>91</v>
      </c>
      <c r="AD635" s="9">
        <v>8.0</v>
      </c>
      <c r="AE635" s="9">
        <v>0.0</v>
      </c>
      <c r="AF635" s="9">
        <v>0.0</v>
      </c>
      <c r="AG635" s="12">
        <v>4400.0</v>
      </c>
      <c r="AH635" s="13"/>
    </row>
    <row r="636">
      <c r="A636" s="14">
        <v>44403.878106006945</v>
      </c>
      <c r="B636" s="8">
        <f t="shared" si="1"/>
        <v>2021</v>
      </c>
      <c r="C636" s="8" t="s">
        <v>49</v>
      </c>
      <c r="D636" s="8">
        <v>28.0</v>
      </c>
      <c r="E636" s="8" t="s">
        <v>35</v>
      </c>
      <c r="F636" s="8" t="s">
        <v>246</v>
      </c>
      <c r="G636" s="8" t="s">
        <v>246</v>
      </c>
      <c r="H636" s="8" t="s">
        <v>246</v>
      </c>
      <c r="I636" s="8" t="s">
        <v>38</v>
      </c>
      <c r="J636" s="9" t="s">
        <v>75</v>
      </c>
      <c r="K636" s="9" t="s">
        <v>188</v>
      </c>
      <c r="L636" s="8" t="s">
        <v>39</v>
      </c>
      <c r="M636" s="8" t="s">
        <v>40</v>
      </c>
      <c r="N636" s="8" t="s">
        <v>40</v>
      </c>
      <c r="O636" s="15"/>
      <c r="P636" s="15"/>
      <c r="Q636" s="8" t="s">
        <v>1874</v>
      </c>
      <c r="R636" s="8" t="s">
        <v>250</v>
      </c>
      <c r="S636" s="16">
        <v>6100.0</v>
      </c>
      <c r="T636" s="17">
        <v>15000.0</v>
      </c>
      <c r="U636" s="8">
        <v>0.0</v>
      </c>
      <c r="V636" s="8">
        <v>18.0</v>
      </c>
      <c r="W636" s="8" t="s">
        <v>2100</v>
      </c>
      <c r="X636" s="8" t="s">
        <v>1790</v>
      </c>
      <c r="Y636" s="8" t="s">
        <v>246</v>
      </c>
      <c r="Z636" s="8" t="s">
        <v>481</v>
      </c>
      <c r="AA636" s="8" t="s">
        <v>81</v>
      </c>
      <c r="AB636" s="8" t="s">
        <v>91</v>
      </c>
      <c r="AC636" s="15"/>
      <c r="AD636" s="8">
        <v>8.0</v>
      </c>
      <c r="AE636" s="8">
        <v>5.0</v>
      </c>
      <c r="AF636" s="8">
        <v>0.0</v>
      </c>
      <c r="AG636" s="18">
        <v>4400.0</v>
      </c>
      <c r="AH636" s="13"/>
      <c r="AI636" s="15"/>
      <c r="AJ636" s="15"/>
      <c r="AK636" s="15"/>
      <c r="AL636" s="15"/>
      <c r="AM636" s="15"/>
      <c r="AN636" s="15"/>
    </row>
    <row r="637">
      <c r="A637" s="7">
        <v>44553.50975452546</v>
      </c>
      <c r="B637" s="8">
        <f t="shared" si="1"/>
        <v>2021</v>
      </c>
      <c r="C637" s="9" t="s">
        <v>49</v>
      </c>
      <c r="D637" s="9">
        <v>26.0</v>
      </c>
      <c r="E637" s="9" t="s">
        <v>35</v>
      </c>
      <c r="F637" s="9" t="s">
        <v>36</v>
      </c>
      <c r="G637" s="8" t="s">
        <v>50</v>
      </c>
      <c r="H637" s="8" t="s">
        <v>493</v>
      </c>
      <c r="I637" s="9" t="s">
        <v>247</v>
      </c>
      <c r="J637" s="9" t="s">
        <v>910</v>
      </c>
      <c r="K637" s="9" t="s">
        <v>959</v>
      </c>
      <c r="L637" s="9" t="s">
        <v>40</v>
      </c>
      <c r="M637" s="9" t="s">
        <v>40</v>
      </c>
      <c r="N637" s="9" t="s">
        <v>39</v>
      </c>
      <c r="P637" s="9" t="s">
        <v>1616</v>
      </c>
      <c r="Q637" s="9" t="s">
        <v>2101</v>
      </c>
      <c r="R637" s="9" t="s">
        <v>42</v>
      </c>
      <c r="S637" s="10">
        <v>8000.0</v>
      </c>
      <c r="T637" s="11">
        <v>7000.0</v>
      </c>
      <c r="U637" s="9">
        <v>0.0</v>
      </c>
      <c r="V637" s="9">
        <v>15.0</v>
      </c>
      <c r="W637" s="9" t="s">
        <v>2102</v>
      </c>
      <c r="X637" s="9" t="s">
        <v>2103</v>
      </c>
      <c r="Y637" s="9" t="s">
        <v>36</v>
      </c>
      <c r="Z637" s="9" t="s">
        <v>89</v>
      </c>
      <c r="AA637" s="9" t="s">
        <v>81</v>
      </c>
      <c r="AB637" s="9" t="s">
        <v>133</v>
      </c>
      <c r="AD637" s="9">
        <v>9.0</v>
      </c>
      <c r="AE637" s="9">
        <v>3.0</v>
      </c>
      <c r="AF637" s="9">
        <v>1.0</v>
      </c>
      <c r="AG637" s="12">
        <v>4500.0</v>
      </c>
      <c r="AH637" s="13"/>
    </row>
    <row r="638">
      <c r="A638" s="7">
        <v>44415.29255103009</v>
      </c>
      <c r="B638" s="8">
        <f t="shared" si="1"/>
        <v>2021</v>
      </c>
      <c r="C638" s="9" t="s">
        <v>49</v>
      </c>
      <c r="D638" s="9">
        <v>24.0</v>
      </c>
      <c r="E638" s="9" t="s">
        <v>2104</v>
      </c>
      <c r="F638" s="9" t="s">
        <v>36</v>
      </c>
      <c r="G638" s="8" t="s">
        <v>50</v>
      </c>
      <c r="H638" s="9" t="s">
        <v>106</v>
      </c>
      <c r="I638" s="9" t="s">
        <v>38</v>
      </c>
      <c r="J638" s="9" t="s">
        <v>220</v>
      </c>
      <c r="K638" s="9" t="s">
        <v>134</v>
      </c>
      <c r="L638" s="9" t="s">
        <v>39</v>
      </c>
      <c r="M638" s="9" t="s">
        <v>40</v>
      </c>
      <c r="N638" s="9" t="s">
        <v>40</v>
      </c>
      <c r="Q638" s="9" t="s">
        <v>128</v>
      </c>
      <c r="R638" s="9" t="s">
        <v>42</v>
      </c>
      <c r="S638" s="10">
        <v>5000.0</v>
      </c>
      <c r="T638" s="11">
        <v>44593.0</v>
      </c>
      <c r="U638" s="9">
        <v>0.0</v>
      </c>
      <c r="V638" s="9">
        <v>18.0</v>
      </c>
      <c r="W638" s="9" t="s">
        <v>2105</v>
      </c>
      <c r="X638" s="9" t="s">
        <v>2106</v>
      </c>
      <c r="Y638" s="9" t="s">
        <v>88</v>
      </c>
      <c r="Z638" s="9" t="s">
        <v>116</v>
      </c>
      <c r="AA638" s="9" t="s">
        <v>71</v>
      </c>
      <c r="AB638" s="9" t="s">
        <v>61</v>
      </c>
      <c r="AD638" s="9">
        <v>8.0</v>
      </c>
      <c r="AE638" s="9" t="s">
        <v>2107</v>
      </c>
      <c r="AF638" s="9" t="s">
        <v>2108</v>
      </c>
      <c r="AG638" s="12">
        <v>4500.0</v>
      </c>
      <c r="AH638" s="13"/>
    </row>
    <row r="639">
      <c r="A639" s="7">
        <v>44408.78249409722</v>
      </c>
      <c r="B639" s="8">
        <f t="shared" si="1"/>
        <v>2021</v>
      </c>
      <c r="C639" s="9" t="s">
        <v>49</v>
      </c>
      <c r="D639" s="9">
        <v>26.0</v>
      </c>
      <c r="E639" s="9" t="s">
        <v>35</v>
      </c>
      <c r="F639" s="9" t="s">
        <v>36</v>
      </c>
      <c r="G639" s="9" t="s">
        <v>172</v>
      </c>
      <c r="H639" s="9" t="s">
        <v>173</v>
      </c>
      <c r="I639" s="9" t="s">
        <v>247</v>
      </c>
      <c r="J639" s="9" t="s">
        <v>75</v>
      </c>
      <c r="K639" s="9" t="s">
        <v>322</v>
      </c>
      <c r="L639" s="9" t="s">
        <v>39</v>
      </c>
      <c r="M639" s="9" t="s">
        <v>39</v>
      </c>
      <c r="N639" s="9" t="s">
        <v>39</v>
      </c>
      <c r="O639" s="9" t="s">
        <v>2109</v>
      </c>
      <c r="P639" s="9" t="s">
        <v>2110</v>
      </c>
      <c r="Q639" s="9" t="s">
        <v>2111</v>
      </c>
      <c r="R639" s="9" t="s">
        <v>42</v>
      </c>
      <c r="S639" s="10">
        <v>18000.0</v>
      </c>
      <c r="T639" s="11">
        <v>180000.0</v>
      </c>
      <c r="U639" s="9">
        <v>5000.0</v>
      </c>
      <c r="V639" s="9">
        <v>21.0</v>
      </c>
      <c r="W639" s="9" t="s">
        <v>2112</v>
      </c>
      <c r="X639" s="9" t="s">
        <v>2113</v>
      </c>
      <c r="Y639" s="9" t="s">
        <v>178</v>
      </c>
      <c r="Z639" s="9" t="s">
        <v>155</v>
      </c>
      <c r="AA639" s="9" t="s">
        <v>71</v>
      </c>
      <c r="AB639" s="9" t="s">
        <v>61</v>
      </c>
      <c r="AC639" s="9" t="s">
        <v>72</v>
      </c>
      <c r="AD639" s="9">
        <v>9.0</v>
      </c>
      <c r="AE639" s="9">
        <v>8.0</v>
      </c>
      <c r="AF639" s="9">
        <v>3.0</v>
      </c>
      <c r="AG639" s="12">
        <v>4500.0</v>
      </c>
      <c r="AH639" s="13"/>
    </row>
    <row r="640">
      <c r="A640" s="7">
        <v>44405.954036875</v>
      </c>
      <c r="B640" s="8">
        <f t="shared" si="1"/>
        <v>2021</v>
      </c>
      <c r="C640" s="9" t="s">
        <v>49</v>
      </c>
      <c r="D640" s="9">
        <v>36.0</v>
      </c>
      <c r="E640" s="9" t="s">
        <v>35</v>
      </c>
      <c r="F640" s="9" t="s">
        <v>36</v>
      </c>
      <c r="G640" s="8" t="s">
        <v>50</v>
      </c>
      <c r="H640" s="8" t="s">
        <v>37</v>
      </c>
      <c r="I640" s="9" t="s">
        <v>107</v>
      </c>
      <c r="L640" s="9" t="s">
        <v>40</v>
      </c>
      <c r="M640" s="9" t="s">
        <v>40</v>
      </c>
      <c r="N640" s="9" t="s">
        <v>40</v>
      </c>
      <c r="Q640" s="8" t="s">
        <v>293</v>
      </c>
      <c r="R640" s="9" t="s">
        <v>42</v>
      </c>
      <c r="S640" s="10">
        <v>14000.0</v>
      </c>
      <c r="T640" s="11" t="s">
        <v>37</v>
      </c>
      <c r="V640" s="9">
        <v>25.0</v>
      </c>
      <c r="W640" s="9" t="s">
        <v>2114</v>
      </c>
      <c r="X640" s="9" t="s">
        <v>2115</v>
      </c>
      <c r="Y640" s="9" t="s">
        <v>122</v>
      </c>
      <c r="Z640" s="9" t="s">
        <v>59</v>
      </c>
      <c r="AA640" s="9" t="s">
        <v>90</v>
      </c>
      <c r="AB640" s="9" t="s">
        <v>91</v>
      </c>
      <c r="AD640" s="9">
        <v>7.0</v>
      </c>
      <c r="AE640" s="9">
        <v>7.0</v>
      </c>
      <c r="AF640" s="9">
        <v>3.0</v>
      </c>
      <c r="AG640" s="12">
        <v>4500.0</v>
      </c>
      <c r="AH640" s="13"/>
    </row>
    <row r="641">
      <c r="A641" s="14">
        <v>44403.86409307871</v>
      </c>
      <c r="B641" s="8">
        <f t="shared" si="1"/>
        <v>2021</v>
      </c>
      <c r="C641" s="8" t="s">
        <v>49</v>
      </c>
      <c r="D641" s="8">
        <v>25.0</v>
      </c>
      <c r="E641" s="8" t="s">
        <v>35</v>
      </c>
      <c r="F641" s="8" t="s">
        <v>36</v>
      </c>
      <c r="G641" s="8" t="s">
        <v>50</v>
      </c>
      <c r="H641" s="8" t="s">
        <v>37</v>
      </c>
      <c r="I641" s="8" t="s">
        <v>38</v>
      </c>
      <c r="J641" s="8" t="s">
        <v>239</v>
      </c>
      <c r="K641" s="8" t="s">
        <v>2116</v>
      </c>
      <c r="L641" s="8" t="s">
        <v>39</v>
      </c>
      <c r="M641" s="8" t="s">
        <v>39</v>
      </c>
      <c r="N641" s="8" t="s">
        <v>40</v>
      </c>
      <c r="O641" s="8" t="s">
        <v>2117</v>
      </c>
      <c r="P641" s="15"/>
      <c r="Q641" s="9" t="s">
        <v>855</v>
      </c>
      <c r="R641" s="9" t="s">
        <v>42</v>
      </c>
      <c r="S641" s="16">
        <v>4500.0</v>
      </c>
      <c r="T641" s="17">
        <v>0.0</v>
      </c>
      <c r="U641" s="8">
        <v>0.0</v>
      </c>
      <c r="V641" s="8">
        <v>14.0</v>
      </c>
      <c r="W641" s="8" t="s">
        <v>2118</v>
      </c>
      <c r="X641" s="8" t="s">
        <v>857</v>
      </c>
      <c r="Y641" s="8" t="s">
        <v>58</v>
      </c>
      <c r="Z641" s="8" t="s">
        <v>2119</v>
      </c>
      <c r="AA641" s="8" t="s">
        <v>71</v>
      </c>
      <c r="AB641" s="8" t="s">
        <v>61</v>
      </c>
      <c r="AC641" s="15"/>
      <c r="AD641" s="8">
        <v>3.0</v>
      </c>
      <c r="AE641" s="8">
        <v>1.0</v>
      </c>
      <c r="AF641" s="8">
        <v>1.0</v>
      </c>
      <c r="AG641" s="18">
        <v>4500.0</v>
      </c>
      <c r="AH641" s="13"/>
      <c r="AI641" s="15"/>
      <c r="AJ641" s="15"/>
      <c r="AK641" s="15"/>
      <c r="AL641" s="15"/>
      <c r="AM641" s="15"/>
      <c r="AN641" s="15"/>
    </row>
    <row r="642">
      <c r="A642" s="14">
        <v>44403.867952754634</v>
      </c>
      <c r="B642" s="8">
        <f t="shared" si="1"/>
        <v>2021</v>
      </c>
      <c r="C642" s="8" t="s">
        <v>49</v>
      </c>
      <c r="D642" s="8">
        <v>24.0</v>
      </c>
      <c r="E642" s="8" t="s">
        <v>35</v>
      </c>
      <c r="F642" s="8" t="s">
        <v>36</v>
      </c>
      <c r="G642" s="8" t="s">
        <v>50</v>
      </c>
      <c r="H642" s="8" t="s">
        <v>1522</v>
      </c>
      <c r="I642" s="8" t="s">
        <v>38</v>
      </c>
      <c r="J642" s="9" t="s">
        <v>75</v>
      </c>
      <c r="K642" s="8" t="s">
        <v>944</v>
      </c>
      <c r="L642" s="8" t="s">
        <v>39</v>
      </c>
      <c r="M642" s="8" t="s">
        <v>40</v>
      </c>
      <c r="N642" s="8" t="s">
        <v>40</v>
      </c>
      <c r="O642" s="15"/>
      <c r="P642" s="15"/>
      <c r="Q642" s="9" t="s">
        <v>146</v>
      </c>
      <c r="R642" s="9" t="s">
        <v>42</v>
      </c>
      <c r="S642" s="16">
        <v>5150.0</v>
      </c>
      <c r="T642" s="17">
        <v>0.0</v>
      </c>
      <c r="U642" s="8">
        <v>0.0</v>
      </c>
      <c r="V642" s="8">
        <v>14.0</v>
      </c>
      <c r="W642" s="8" t="s">
        <v>2120</v>
      </c>
      <c r="X642" s="8" t="s">
        <v>2121</v>
      </c>
      <c r="Y642" s="8" t="s">
        <v>122</v>
      </c>
      <c r="Z642" s="8" t="s">
        <v>155</v>
      </c>
      <c r="AA642" s="8" t="s">
        <v>81</v>
      </c>
      <c r="AB642" s="8" t="s">
        <v>61</v>
      </c>
      <c r="AC642" s="15"/>
      <c r="AD642" s="8">
        <v>6.0</v>
      </c>
      <c r="AE642" s="8">
        <v>2.5</v>
      </c>
      <c r="AF642" s="8">
        <v>1.0</v>
      </c>
      <c r="AG642" s="18">
        <v>4500.0</v>
      </c>
      <c r="AH642" s="13"/>
      <c r="AI642" s="15"/>
      <c r="AJ642" s="15"/>
      <c r="AK642" s="15"/>
      <c r="AL642" s="15"/>
      <c r="AM642" s="15"/>
      <c r="AN642" s="15"/>
    </row>
    <row r="643">
      <c r="A643" s="7">
        <v>44404.6821112037</v>
      </c>
      <c r="B643" s="8">
        <f t="shared" si="1"/>
        <v>2021</v>
      </c>
      <c r="C643" s="9" t="s">
        <v>73</v>
      </c>
      <c r="D643" s="9">
        <v>30.0</v>
      </c>
      <c r="E643" s="9" t="s">
        <v>35</v>
      </c>
      <c r="F643" s="9" t="s">
        <v>36</v>
      </c>
      <c r="G643" s="8" t="s">
        <v>50</v>
      </c>
      <c r="H643" s="9" t="s">
        <v>106</v>
      </c>
      <c r="I643" s="9" t="s">
        <v>247</v>
      </c>
      <c r="J643" s="9" t="s">
        <v>2122</v>
      </c>
      <c r="K643" s="9" t="s">
        <v>2123</v>
      </c>
      <c r="L643" s="9" t="s">
        <v>40</v>
      </c>
      <c r="M643" s="9" t="s">
        <v>40</v>
      </c>
      <c r="N643" s="9" t="s">
        <v>40</v>
      </c>
      <c r="Q643" s="9" t="s">
        <v>128</v>
      </c>
      <c r="R643" s="9" t="s">
        <v>42</v>
      </c>
      <c r="S643" s="10">
        <v>6426.0</v>
      </c>
      <c r="T643" s="11">
        <v>3000.0</v>
      </c>
      <c r="V643" s="9">
        <v>14.0</v>
      </c>
      <c r="W643" s="9" t="s">
        <v>2124</v>
      </c>
      <c r="X643" s="9" t="s">
        <v>2125</v>
      </c>
      <c r="Y643" s="9" t="s">
        <v>2126</v>
      </c>
      <c r="Z643" s="9" t="s">
        <v>350</v>
      </c>
      <c r="AA643" s="9" t="s">
        <v>132</v>
      </c>
      <c r="AB643" s="9" t="s">
        <v>91</v>
      </c>
      <c r="AD643" s="9">
        <v>10.0</v>
      </c>
      <c r="AE643" s="9">
        <v>1.0</v>
      </c>
      <c r="AF643" s="9">
        <v>1.0</v>
      </c>
      <c r="AG643" s="12">
        <v>4500.0</v>
      </c>
      <c r="AH643" s="13"/>
    </row>
    <row r="644">
      <c r="A644" s="14">
        <v>44403.85366231481</v>
      </c>
      <c r="B644" s="8">
        <f t="shared" si="1"/>
        <v>2021</v>
      </c>
      <c r="C644" s="8" t="s">
        <v>49</v>
      </c>
      <c r="D644" s="8">
        <v>24.0</v>
      </c>
      <c r="E644" s="8" t="s">
        <v>35</v>
      </c>
      <c r="F644" s="8" t="s">
        <v>36</v>
      </c>
      <c r="G644" s="8" t="s">
        <v>186</v>
      </c>
      <c r="H644" s="8" t="s">
        <v>187</v>
      </c>
      <c r="I644" s="8" t="s">
        <v>38</v>
      </c>
      <c r="J644" s="9" t="s">
        <v>75</v>
      </c>
      <c r="K644" s="9" t="s">
        <v>84</v>
      </c>
      <c r="L644" s="8" t="s">
        <v>39</v>
      </c>
      <c r="M644" s="8" t="s">
        <v>40</v>
      </c>
      <c r="N644" s="8" t="s">
        <v>40</v>
      </c>
      <c r="O644" s="15"/>
      <c r="P644" s="15"/>
      <c r="Q644" s="8" t="s">
        <v>128</v>
      </c>
      <c r="R644" s="9" t="s">
        <v>42</v>
      </c>
      <c r="S644" s="16">
        <v>4500.0</v>
      </c>
      <c r="T644" s="17">
        <v>0.0</v>
      </c>
      <c r="U644" s="8">
        <v>0.0</v>
      </c>
      <c r="V644" s="8">
        <v>15.0</v>
      </c>
      <c r="W644" s="8" t="s">
        <v>323</v>
      </c>
      <c r="X644" s="8" t="s">
        <v>2127</v>
      </c>
      <c r="Y644" s="8" t="s">
        <v>2128</v>
      </c>
      <c r="Z644" s="8" t="s">
        <v>1996</v>
      </c>
      <c r="AA644" s="8" t="s">
        <v>81</v>
      </c>
      <c r="AB644" s="8" t="s">
        <v>61</v>
      </c>
      <c r="AC644" s="15"/>
      <c r="AD644" s="8">
        <v>7.0</v>
      </c>
      <c r="AE644" s="8">
        <v>0.0</v>
      </c>
      <c r="AF644" s="8">
        <v>0.0</v>
      </c>
      <c r="AG644" s="18">
        <v>4500.0</v>
      </c>
      <c r="AH644" s="13"/>
      <c r="AI644" s="15"/>
      <c r="AJ644" s="15"/>
      <c r="AK644" s="15"/>
      <c r="AL644" s="15"/>
      <c r="AM644" s="15"/>
      <c r="AN644" s="15"/>
    </row>
    <row r="645">
      <c r="A645" s="7">
        <v>44403.95066071759</v>
      </c>
      <c r="B645" s="8">
        <f t="shared" si="1"/>
        <v>2021</v>
      </c>
      <c r="C645" s="9" t="s">
        <v>49</v>
      </c>
      <c r="D645" s="9">
        <v>28.0</v>
      </c>
      <c r="E645" s="9" t="s">
        <v>35</v>
      </c>
      <c r="F645" s="9" t="s">
        <v>36</v>
      </c>
      <c r="G645" s="8" t="s">
        <v>50</v>
      </c>
      <c r="H645" s="9" t="s">
        <v>570</v>
      </c>
      <c r="I645" s="9" t="s">
        <v>38</v>
      </c>
      <c r="J645" s="9" t="s">
        <v>160</v>
      </c>
      <c r="K645" s="9" t="s">
        <v>161</v>
      </c>
      <c r="L645" s="9" t="s">
        <v>39</v>
      </c>
      <c r="M645" s="9" t="s">
        <v>40</v>
      </c>
      <c r="N645" s="9" t="s">
        <v>39</v>
      </c>
      <c r="P645" s="9" t="s">
        <v>2129</v>
      </c>
      <c r="Q645" s="9" t="s">
        <v>308</v>
      </c>
      <c r="R645" s="9" t="s">
        <v>42</v>
      </c>
      <c r="S645" s="10">
        <v>7850.0</v>
      </c>
      <c r="T645" s="11">
        <v>18000.0</v>
      </c>
      <c r="U645" s="9">
        <v>0.0</v>
      </c>
      <c r="V645" s="9">
        <v>15.0</v>
      </c>
      <c r="W645" s="9" t="s">
        <v>2130</v>
      </c>
      <c r="X645" s="9" t="s">
        <v>2131</v>
      </c>
      <c r="Y645" s="9" t="s">
        <v>2132</v>
      </c>
      <c r="Z645" s="9" t="s">
        <v>159</v>
      </c>
      <c r="AA645" s="9" t="s">
        <v>132</v>
      </c>
      <c r="AB645" s="9" t="s">
        <v>61</v>
      </c>
      <c r="AC645" s="9" t="s">
        <v>2133</v>
      </c>
      <c r="AD645" s="9">
        <v>3.0</v>
      </c>
      <c r="AE645" s="9">
        <v>6.0</v>
      </c>
      <c r="AF645" s="9">
        <v>1.0</v>
      </c>
      <c r="AG645" s="12">
        <v>4500.0</v>
      </c>
      <c r="AH645" s="13"/>
    </row>
    <row r="646">
      <c r="A646" s="7">
        <v>44403.9233558912</v>
      </c>
      <c r="B646" s="8">
        <f t="shared" si="1"/>
        <v>2021</v>
      </c>
      <c r="C646" s="9" t="s">
        <v>49</v>
      </c>
      <c r="D646" s="9">
        <v>28.0</v>
      </c>
      <c r="E646" s="9" t="s">
        <v>35</v>
      </c>
      <c r="F646" s="9" t="s">
        <v>246</v>
      </c>
      <c r="G646" s="9" t="s">
        <v>246</v>
      </c>
      <c r="H646" s="8" t="s">
        <v>37</v>
      </c>
      <c r="I646" s="9" t="s">
        <v>38</v>
      </c>
      <c r="J646" s="9" t="s">
        <v>2134</v>
      </c>
      <c r="L646" s="9" t="s">
        <v>39</v>
      </c>
      <c r="M646" s="9" t="s">
        <v>40</v>
      </c>
      <c r="N646" s="9" t="s">
        <v>40</v>
      </c>
      <c r="Q646" s="8" t="s">
        <v>255</v>
      </c>
      <c r="R646" s="9" t="s">
        <v>250</v>
      </c>
      <c r="S646" s="10">
        <v>9000.0</v>
      </c>
      <c r="T646" s="11">
        <v>0.0</v>
      </c>
      <c r="U646" s="9">
        <v>10000.0</v>
      </c>
      <c r="V646" s="9">
        <v>18.0</v>
      </c>
      <c r="W646" s="9" t="s">
        <v>2135</v>
      </c>
      <c r="X646" s="9" t="s">
        <v>2136</v>
      </c>
      <c r="Y646" s="9" t="s">
        <v>2137</v>
      </c>
      <c r="Z646" s="9" t="s">
        <v>1013</v>
      </c>
      <c r="AA646" s="9" t="s">
        <v>60</v>
      </c>
      <c r="AB646" s="9" t="s">
        <v>61</v>
      </c>
      <c r="AD646" s="9">
        <v>7.0</v>
      </c>
      <c r="AE646" s="9">
        <v>4.0</v>
      </c>
      <c r="AF646" s="9">
        <v>1.0</v>
      </c>
      <c r="AG646" s="12">
        <v>4500.0</v>
      </c>
      <c r="AH646" s="13"/>
    </row>
    <row r="647">
      <c r="A647" s="14">
        <v>44403.836685277776</v>
      </c>
      <c r="B647" s="8">
        <f t="shared" si="1"/>
        <v>2021</v>
      </c>
      <c r="C647" s="8" t="s">
        <v>49</v>
      </c>
      <c r="D647" s="8">
        <v>28.0</v>
      </c>
      <c r="E647" s="8" t="s">
        <v>35</v>
      </c>
      <c r="F647" s="8" t="s">
        <v>36</v>
      </c>
      <c r="G647" s="8" t="s">
        <v>164</v>
      </c>
      <c r="H647" s="8" t="s">
        <v>2138</v>
      </c>
      <c r="I647" s="8" t="s">
        <v>302</v>
      </c>
      <c r="K647" s="9" t="s">
        <v>84</v>
      </c>
      <c r="L647" s="9" t="s">
        <v>40</v>
      </c>
      <c r="M647" s="8" t="s">
        <v>40</v>
      </c>
      <c r="N647" s="8" t="s">
        <v>40</v>
      </c>
      <c r="O647" s="15"/>
      <c r="P647" s="15"/>
      <c r="Q647" s="9" t="s">
        <v>2139</v>
      </c>
      <c r="R647" s="9" t="s">
        <v>42</v>
      </c>
      <c r="S647" s="16">
        <v>4500.0</v>
      </c>
      <c r="T647" s="11" t="s">
        <v>37</v>
      </c>
      <c r="U647" s="15"/>
      <c r="V647" s="8">
        <v>18.0</v>
      </c>
      <c r="W647" s="8" t="s">
        <v>1003</v>
      </c>
      <c r="X647" s="8" t="s">
        <v>2140</v>
      </c>
      <c r="Y647" s="8" t="s">
        <v>267</v>
      </c>
      <c r="Z647" s="8" t="s">
        <v>350</v>
      </c>
      <c r="AA647" s="8" t="s">
        <v>47</v>
      </c>
      <c r="AB647" s="8" t="s">
        <v>61</v>
      </c>
      <c r="AC647" s="15"/>
      <c r="AD647" s="8">
        <v>8.0</v>
      </c>
      <c r="AE647" s="8">
        <v>5.0</v>
      </c>
      <c r="AF647" s="8">
        <v>6.0</v>
      </c>
      <c r="AG647" s="18">
        <v>4500.0</v>
      </c>
      <c r="AH647" s="13"/>
      <c r="AI647" s="15"/>
      <c r="AJ647" s="15"/>
      <c r="AK647" s="15"/>
      <c r="AL647" s="15"/>
      <c r="AM647" s="15"/>
      <c r="AN647" s="15"/>
    </row>
    <row r="648">
      <c r="A648" s="7">
        <v>44403.9495999537</v>
      </c>
      <c r="B648" s="8">
        <f t="shared" si="1"/>
        <v>2021</v>
      </c>
      <c r="C648" s="9" t="s">
        <v>73</v>
      </c>
      <c r="D648" s="9">
        <v>25.0</v>
      </c>
      <c r="E648" s="9" t="s">
        <v>35</v>
      </c>
      <c r="F648" s="9" t="s">
        <v>36</v>
      </c>
      <c r="G648" s="8" t="s">
        <v>50</v>
      </c>
      <c r="H648" s="9" t="s">
        <v>106</v>
      </c>
      <c r="I648" s="9" t="s">
        <v>38</v>
      </c>
      <c r="J648" s="9" t="s">
        <v>75</v>
      </c>
      <c r="K648" s="9" t="s">
        <v>234</v>
      </c>
      <c r="L648" s="9" t="s">
        <v>39</v>
      </c>
      <c r="M648" s="9" t="s">
        <v>40</v>
      </c>
      <c r="N648" s="9" t="s">
        <v>40</v>
      </c>
      <c r="Q648" s="9" t="s">
        <v>128</v>
      </c>
      <c r="R648" s="9" t="s">
        <v>42</v>
      </c>
      <c r="S648" s="10">
        <v>5000.0</v>
      </c>
      <c r="T648" s="11">
        <v>6500.0</v>
      </c>
      <c r="U648" s="9">
        <v>0.0</v>
      </c>
      <c r="V648" s="9">
        <v>22.0</v>
      </c>
      <c r="W648" s="9" t="s">
        <v>2141</v>
      </c>
      <c r="X648" s="9" t="s">
        <v>2142</v>
      </c>
      <c r="Y648" s="9" t="s">
        <v>36</v>
      </c>
      <c r="Z648" s="9" t="s">
        <v>423</v>
      </c>
      <c r="AA648" s="9" t="s">
        <v>90</v>
      </c>
      <c r="AB648" s="9" t="s">
        <v>91</v>
      </c>
      <c r="AD648" s="9">
        <v>10.0</v>
      </c>
      <c r="AE648" s="9">
        <v>1.0</v>
      </c>
      <c r="AF648" s="9">
        <v>1.0</v>
      </c>
      <c r="AG648" s="12">
        <v>4500.0</v>
      </c>
      <c r="AH648" s="13"/>
    </row>
    <row r="649">
      <c r="A649" s="7">
        <v>44409.01701892361</v>
      </c>
      <c r="B649" s="8">
        <f t="shared" si="1"/>
        <v>2021</v>
      </c>
      <c r="C649" s="9" t="s">
        <v>49</v>
      </c>
      <c r="D649" s="9">
        <v>31.0</v>
      </c>
      <c r="E649" s="9" t="s">
        <v>35</v>
      </c>
      <c r="F649" s="9" t="s">
        <v>36</v>
      </c>
      <c r="G649" s="8" t="s">
        <v>50</v>
      </c>
      <c r="H649" s="9" t="s">
        <v>1302</v>
      </c>
      <c r="I649" s="9" t="s">
        <v>38</v>
      </c>
      <c r="J649" s="9" t="s">
        <v>75</v>
      </c>
      <c r="K649" s="9" t="s">
        <v>2143</v>
      </c>
      <c r="L649" s="9" t="s">
        <v>39</v>
      </c>
      <c r="M649" s="9" t="s">
        <v>40</v>
      </c>
      <c r="N649" s="9" t="s">
        <v>40</v>
      </c>
      <c r="Q649" s="8" t="s">
        <v>255</v>
      </c>
      <c r="R649" s="9" t="s">
        <v>42</v>
      </c>
      <c r="S649" s="10">
        <v>4930.0</v>
      </c>
      <c r="T649" s="11">
        <v>21819.0</v>
      </c>
      <c r="V649" s="9">
        <v>21.0</v>
      </c>
      <c r="W649" s="9" t="s">
        <v>2144</v>
      </c>
      <c r="X649" s="9" t="s">
        <v>2145</v>
      </c>
      <c r="Y649" s="9" t="s">
        <v>58</v>
      </c>
      <c r="Z649" s="9" t="s">
        <v>59</v>
      </c>
      <c r="AA649" s="9" t="s">
        <v>132</v>
      </c>
      <c r="AB649" s="9" t="s">
        <v>61</v>
      </c>
      <c r="AD649" s="9">
        <v>9.0</v>
      </c>
      <c r="AE649" s="9">
        <v>7.0</v>
      </c>
      <c r="AF649" s="9">
        <v>3.0</v>
      </c>
      <c r="AG649" s="12">
        <v>4700.0</v>
      </c>
      <c r="AH649" s="13"/>
    </row>
    <row r="650">
      <c r="A650" s="14">
        <v>44403.84263298611</v>
      </c>
      <c r="B650" s="8">
        <f t="shared" si="1"/>
        <v>2021</v>
      </c>
      <c r="C650" s="8" t="s">
        <v>49</v>
      </c>
      <c r="D650" s="8">
        <v>24.0</v>
      </c>
      <c r="E650" s="8" t="s">
        <v>35</v>
      </c>
      <c r="F650" s="8" t="s">
        <v>36</v>
      </c>
      <c r="G650" s="8" t="s">
        <v>50</v>
      </c>
      <c r="H650" s="9" t="s">
        <v>570</v>
      </c>
      <c r="I650" s="8" t="s">
        <v>38</v>
      </c>
      <c r="J650" s="9" t="s">
        <v>160</v>
      </c>
      <c r="K650" s="8" t="s">
        <v>161</v>
      </c>
      <c r="L650" s="8" t="s">
        <v>39</v>
      </c>
      <c r="M650" s="8" t="s">
        <v>40</v>
      </c>
      <c r="N650" s="8" t="s">
        <v>40</v>
      </c>
      <c r="O650" s="15"/>
      <c r="P650" s="15"/>
      <c r="Q650" s="8" t="s">
        <v>128</v>
      </c>
      <c r="R650" s="9" t="s">
        <v>42</v>
      </c>
      <c r="S650" s="16">
        <v>5200.0</v>
      </c>
      <c r="T650" s="17">
        <v>0.0</v>
      </c>
      <c r="U650" s="8">
        <v>0.0</v>
      </c>
      <c r="V650" s="8">
        <v>14.0</v>
      </c>
      <c r="W650" s="8" t="s">
        <v>940</v>
      </c>
      <c r="X650" s="8" t="s">
        <v>2146</v>
      </c>
      <c r="Y650" s="8" t="s">
        <v>122</v>
      </c>
      <c r="Z650" s="8" t="s">
        <v>232</v>
      </c>
      <c r="AA650" s="8" t="s">
        <v>71</v>
      </c>
      <c r="AB650" s="8" t="s">
        <v>61</v>
      </c>
      <c r="AC650" s="24" t="s">
        <v>2147</v>
      </c>
      <c r="AD650" s="8">
        <v>9.0</v>
      </c>
      <c r="AE650" s="8">
        <v>2.0</v>
      </c>
      <c r="AF650" s="8">
        <v>2.0</v>
      </c>
      <c r="AG650" s="18">
        <v>4800.0</v>
      </c>
      <c r="AH650" s="13"/>
      <c r="AI650" s="15"/>
      <c r="AJ650" s="15"/>
      <c r="AK650" s="15"/>
      <c r="AL650" s="15"/>
      <c r="AM650" s="15"/>
      <c r="AN650" s="15"/>
    </row>
    <row r="651">
      <c r="A651" s="7">
        <v>44404.40723725695</v>
      </c>
      <c r="B651" s="8">
        <f t="shared" si="1"/>
        <v>2021</v>
      </c>
      <c r="C651" s="9" t="s">
        <v>73</v>
      </c>
      <c r="D651" s="9">
        <v>31.0</v>
      </c>
      <c r="E651" s="9" t="s">
        <v>35</v>
      </c>
      <c r="F651" s="9" t="s">
        <v>36</v>
      </c>
      <c r="G651" s="8" t="s">
        <v>50</v>
      </c>
      <c r="H651" s="9" t="s">
        <v>106</v>
      </c>
      <c r="I651" s="9" t="s">
        <v>247</v>
      </c>
      <c r="J651" s="9" t="s">
        <v>2148</v>
      </c>
      <c r="K651" s="9" t="s">
        <v>2149</v>
      </c>
      <c r="L651" s="9" t="s">
        <v>40</v>
      </c>
      <c r="M651" s="9" t="s">
        <v>39</v>
      </c>
      <c r="N651" s="9" t="s">
        <v>40</v>
      </c>
      <c r="O651" s="9" t="s">
        <v>2150</v>
      </c>
      <c r="Q651" s="9" t="s">
        <v>566</v>
      </c>
      <c r="R651" s="9" t="s">
        <v>42</v>
      </c>
      <c r="S651" s="10">
        <v>13000.0</v>
      </c>
      <c r="T651" s="11">
        <v>0.0</v>
      </c>
      <c r="U651" s="9">
        <v>0.0</v>
      </c>
      <c r="V651" s="9">
        <v>100.0</v>
      </c>
      <c r="W651" s="9" t="s">
        <v>2151</v>
      </c>
      <c r="X651" s="9" t="s">
        <v>549</v>
      </c>
      <c r="Y651" s="9" t="s">
        <v>122</v>
      </c>
      <c r="Z651" s="9" t="s">
        <v>59</v>
      </c>
      <c r="AA651" s="9" t="s">
        <v>60</v>
      </c>
      <c r="AB651" s="9" t="s">
        <v>133</v>
      </c>
      <c r="AC651" s="9" t="s">
        <v>588</v>
      </c>
      <c r="AD651" s="9">
        <v>7.0</v>
      </c>
      <c r="AE651" s="9">
        <v>6.0</v>
      </c>
      <c r="AF651" s="9">
        <v>4.0</v>
      </c>
      <c r="AG651" s="12">
        <v>4800.0</v>
      </c>
      <c r="AH651" s="13"/>
    </row>
    <row r="652">
      <c r="A652" s="7">
        <v>44407.5207030787</v>
      </c>
      <c r="B652" s="8">
        <f t="shared" si="1"/>
        <v>2021</v>
      </c>
      <c r="C652" s="9" t="s">
        <v>49</v>
      </c>
      <c r="D652" s="9">
        <v>24.0</v>
      </c>
      <c r="E652" s="9" t="s">
        <v>35</v>
      </c>
      <c r="F652" s="9" t="s">
        <v>36</v>
      </c>
      <c r="G652" s="8" t="s">
        <v>50</v>
      </c>
      <c r="H652" s="8" t="s">
        <v>341</v>
      </c>
      <c r="I652" s="9" t="s">
        <v>38</v>
      </c>
      <c r="J652" s="9" t="s">
        <v>75</v>
      </c>
      <c r="K652" s="9" t="s">
        <v>355</v>
      </c>
      <c r="L652" s="9" t="s">
        <v>39</v>
      </c>
      <c r="M652" s="9" t="s">
        <v>40</v>
      </c>
      <c r="N652" s="9" t="s">
        <v>39</v>
      </c>
      <c r="P652" s="9" t="s">
        <v>1616</v>
      </c>
      <c r="Q652" s="9" t="s">
        <v>2152</v>
      </c>
      <c r="R652" s="9" t="s">
        <v>42</v>
      </c>
      <c r="S652" s="10">
        <v>5000.0</v>
      </c>
      <c r="T652" s="11">
        <v>0.0</v>
      </c>
      <c r="U652" s="9">
        <v>0.0</v>
      </c>
      <c r="V652" s="9">
        <v>0.0</v>
      </c>
      <c r="W652" s="9" t="s">
        <v>2153</v>
      </c>
      <c r="X652" s="9" t="s">
        <v>2154</v>
      </c>
      <c r="Y652" s="9" t="s">
        <v>124</v>
      </c>
      <c r="Z652" s="9" t="s">
        <v>1245</v>
      </c>
      <c r="AA652" s="9" t="s">
        <v>90</v>
      </c>
      <c r="AB652" s="9" t="s">
        <v>61</v>
      </c>
      <c r="AD652" s="9">
        <v>10.0</v>
      </c>
      <c r="AE652" s="9">
        <v>1.0</v>
      </c>
      <c r="AF652" s="9">
        <v>2.0</v>
      </c>
      <c r="AG652" s="12">
        <v>5000.0</v>
      </c>
      <c r="AH652" s="9" t="s">
        <v>42</v>
      </c>
    </row>
    <row r="653">
      <c r="A653" s="7">
        <v>44476.924903067134</v>
      </c>
      <c r="B653" s="8">
        <f t="shared" si="1"/>
        <v>2021</v>
      </c>
      <c r="C653" s="9" t="s">
        <v>49</v>
      </c>
      <c r="D653" s="9">
        <v>25.0</v>
      </c>
      <c r="E653" s="9" t="s">
        <v>35</v>
      </c>
      <c r="F653" s="9" t="s">
        <v>36</v>
      </c>
      <c r="G653" s="8" t="s">
        <v>50</v>
      </c>
      <c r="H653" s="9" t="s">
        <v>106</v>
      </c>
      <c r="I653" s="9" t="s">
        <v>38</v>
      </c>
      <c r="J653" s="9" t="s">
        <v>160</v>
      </c>
      <c r="L653" s="9" t="s">
        <v>39</v>
      </c>
      <c r="M653" s="9" t="s">
        <v>40</v>
      </c>
      <c r="N653" s="9" t="s">
        <v>40</v>
      </c>
      <c r="Q653" s="9" t="s">
        <v>119</v>
      </c>
      <c r="R653" s="9" t="s">
        <v>42</v>
      </c>
      <c r="S653" s="10">
        <v>19600.0</v>
      </c>
      <c r="T653" s="11">
        <v>19600.0</v>
      </c>
      <c r="V653" s="9">
        <v>0.0</v>
      </c>
      <c r="W653" s="9" t="s">
        <v>536</v>
      </c>
      <c r="X653" s="9" t="s">
        <v>2155</v>
      </c>
      <c r="Y653" s="9" t="s">
        <v>2156</v>
      </c>
      <c r="Z653" s="9" t="s">
        <v>350</v>
      </c>
      <c r="AA653" s="9" t="s">
        <v>60</v>
      </c>
      <c r="AB653" s="9" t="s">
        <v>61</v>
      </c>
      <c r="AD653" s="9">
        <v>3.0</v>
      </c>
      <c r="AE653" s="9">
        <v>3.0</v>
      </c>
      <c r="AF653" s="9">
        <v>1.0</v>
      </c>
      <c r="AG653" s="12">
        <v>5000.0</v>
      </c>
      <c r="AH653" s="9" t="s">
        <v>42</v>
      </c>
    </row>
    <row r="654">
      <c r="A654" s="7">
        <v>44440.33894271991</v>
      </c>
      <c r="B654" s="8">
        <f t="shared" si="1"/>
        <v>2021</v>
      </c>
      <c r="C654" s="9" t="s">
        <v>49</v>
      </c>
      <c r="D654" s="9">
        <v>21.0</v>
      </c>
      <c r="E654" s="9" t="s">
        <v>35</v>
      </c>
      <c r="F654" s="9" t="s">
        <v>36</v>
      </c>
      <c r="G654" s="8" t="s">
        <v>50</v>
      </c>
      <c r="H654" s="8" t="s">
        <v>499</v>
      </c>
      <c r="I654" s="9" t="s">
        <v>38</v>
      </c>
      <c r="J654" s="9" t="s">
        <v>75</v>
      </c>
      <c r="K654" s="9" t="s">
        <v>534</v>
      </c>
      <c r="L654" s="9" t="s">
        <v>39</v>
      </c>
      <c r="M654" s="9" t="s">
        <v>40</v>
      </c>
      <c r="N654" s="9" t="s">
        <v>39</v>
      </c>
      <c r="P654" s="9" t="s">
        <v>2157</v>
      </c>
      <c r="Q654" s="9" t="s">
        <v>2158</v>
      </c>
      <c r="R654" s="9" t="s">
        <v>42</v>
      </c>
      <c r="S654" s="10">
        <v>5000.0</v>
      </c>
      <c r="T654" s="11">
        <v>0.0</v>
      </c>
      <c r="U654" s="9">
        <v>0.0</v>
      </c>
      <c r="V654" s="9">
        <v>1.0</v>
      </c>
      <c r="W654" s="9" t="s">
        <v>2159</v>
      </c>
      <c r="X654" s="9" t="s">
        <v>1233</v>
      </c>
      <c r="Y654" s="9" t="s">
        <v>122</v>
      </c>
      <c r="Z654" s="9" t="s">
        <v>155</v>
      </c>
      <c r="AA654" s="9" t="s">
        <v>90</v>
      </c>
      <c r="AB654" s="9" t="s">
        <v>611</v>
      </c>
      <c r="AC654" s="9" t="s">
        <v>2160</v>
      </c>
      <c r="AD654" s="9">
        <v>9.0</v>
      </c>
      <c r="AE654" s="9">
        <v>0.0</v>
      </c>
      <c r="AF654" s="9">
        <v>2.0</v>
      </c>
      <c r="AG654" s="12">
        <v>5000.0</v>
      </c>
      <c r="AH654" s="9" t="s">
        <v>42</v>
      </c>
    </row>
    <row r="655">
      <c r="A655" s="7">
        <v>44409.45658174768</v>
      </c>
      <c r="B655" s="8">
        <f t="shared" si="1"/>
        <v>2021</v>
      </c>
      <c r="C655" s="9" t="s">
        <v>49</v>
      </c>
      <c r="D655" s="9">
        <v>26.0</v>
      </c>
      <c r="E655" s="9" t="s">
        <v>35</v>
      </c>
      <c r="F655" s="9" t="s">
        <v>36</v>
      </c>
      <c r="G655" s="8" t="s">
        <v>124</v>
      </c>
      <c r="H655" s="9" t="s">
        <v>156</v>
      </c>
      <c r="I655" s="9" t="s">
        <v>38</v>
      </c>
      <c r="J655" s="9" t="s">
        <v>75</v>
      </c>
      <c r="K655" s="9" t="s">
        <v>875</v>
      </c>
      <c r="L655" s="9" t="s">
        <v>39</v>
      </c>
      <c r="M655" s="9" t="s">
        <v>40</v>
      </c>
      <c r="N655" s="9" t="s">
        <v>40</v>
      </c>
      <c r="Q655" s="9" t="s">
        <v>128</v>
      </c>
      <c r="R655" s="9" t="s">
        <v>42</v>
      </c>
      <c r="S655" s="10">
        <v>5200.0</v>
      </c>
      <c r="T655" s="11">
        <v>0.0</v>
      </c>
      <c r="U655" s="9">
        <v>0.0</v>
      </c>
      <c r="V655" s="9">
        <v>12.0</v>
      </c>
      <c r="W655" s="9" t="s">
        <v>2161</v>
      </c>
      <c r="X655" s="9" t="s">
        <v>2162</v>
      </c>
      <c r="Y655" s="9" t="s">
        <v>2163</v>
      </c>
      <c r="Z655" s="9" t="s">
        <v>350</v>
      </c>
      <c r="AA655" s="9" t="s">
        <v>132</v>
      </c>
      <c r="AB655" s="9" t="s">
        <v>91</v>
      </c>
      <c r="AD655" s="9">
        <v>8.0</v>
      </c>
      <c r="AE655" s="9">
        <v>4.0</v>
      </c>
      <c r="AF655" s="9">
        <v>1.0</v>
      </c>
      <c r="AG655" s="12">
        <v>5000.0</v>
      </c>
      <c r="AH655" s="9" t="s">
        <v>42</v>
      </c>
    </row>
    <row r="656">
      <c r="A656" s="7">
        <v>44620.034039756945</v>
      </c>
      <c r="B656" s="8">
        <f t="shared" si="1"/>
        <v>2022</v>
      </c>
      <c r="C656" s="9" t="s">
        <v>49</v>
      </c>
      <c r="D656" s="9">
        <v>30.0</v>
      </c>
      <c r="E656" s="9" t="s">
        <v>35</v>
      </c>
      <c r="F656" s="9" t="s">
        <v>36</v>
      </c>
      <c r="G656" s="8" t="s">
        <v>50</v>
      </c>
      <c r="H656" s="9" t="s">
        <v>106</v>
      </c>
      <c r="I656" s="9" t="s">
        <v>38</v>
      </c>
      <c r="J656" s="9" t="s">
        <v>2164</v>
      </c>
      <c r="K656" s="9" t="s">
        <v>1494</v>
      </c>
      <c r="L656" s="9" t="s">
        <v>39</v>
      </c>
      <c r="M656" s="9" t="s">
        <v>40</v>
      </c>
      <c r="N656" s="9" t="s">
        <v>40</v>
      </c>
      <c r="Q656" s="8" t="s">
        <v>255</v>
      </c>
      <c r="R656" s="9" t="s">
        <v>42</v>
      </c>
      <c r="S656" s="10">
        <v>5700.0</v>
      </c>
      <c r="T656" s="11">
        <v>6000.0</v>
      </c>
      <c r="U656" s="9">
        <v>0.0</v>
      </c>
      <c r="V656" s="9">
        <v>14.0</v>
      </c>
      <c r="W656" s="9" t="s">
        <v>2165</v>
      </c>
      <c r="X656" s="9" t="s">
        <v>2166</v>
      </c>
      <c r="Y656" s="9" t="s">
        <v>58</v>
      </c>
      <c r="Z656" s="9" t="s">
        <v>2167</v>
      </c>
      <c r="AA656" s="9" t="s">
        <v>60</v>
      </c>
      <c r="AB656" s="9" t="s">
        <v>91</v>
      </c>
      <c r="AD656" s="9">
        <v>4.0</v>
      </c>
      <c r="AE656" s="9">
        <v>2.0</v>
      </c>
      <c r="AF656" s="9">
        <v>3.0</v>
      </c>
      <c r="AG656" s="12">
        <v>5000.0</v>
      </c>
      <c r="AH656" s="13"/>
    </row>
    <row r="657">
      <c r="A657" s="7">
        <v>44476.88006585649</v>
      </c>
      <c r="B657" s="8">
        <f t="shared" si="1"/>
        <v>2021</v>
      </c>
      <c r="C657" s="9" t="s">
        <v>49</v>
      </c>
      <c r="D657" s="9">
        <v>25.0</v>
      </c>
      <c r="E657" s="9" t="s">
        <v>35</v>
      </c>
      <c r="F657" s="9" t="s">
        <v>36</v>
      </c>
      <c r="G657" s="8" t="s">
        <v>124</v>
      </c>
      <c r="H657" s="9" t="s">
        <v>206</v>
      </c>
      <c r="I657" s="9" t="s">
        <v>247</v>
      </c>
      <c r="J657" s="9" t="s">
        <v>910</v>
      </c>
      <c r="K657" s="9" t="s">
        <v>959</v>
      </c>
      <c r="L657" s="9" t="s">
        <v>39</v>
      </c>
      <c r="M657" s="9" t="s">
        <v>40</v>
      </c>
      <c r="N657" s="9" t="s">
        <v>40</v>
      </c>
      <c r="Q657" s="9" t="s">
        <v>101</v>
      </c>
      <c r="R657" s="9" t="s">
        <v>42</v>
      </c>
      <c r="S657" s="10">
        <v>6900.0</v>
      </c>
      <c r="T657" s="11">
        <v>6900.0</v>
      </c>
      <c r="V657" s="9">
        <v>15.0</v>
      </c>
      <c r="W657" s="9" t="s">
        <v>2168</v>
      </c>
      <c r="X657" s="9" t="s">
        <v>2169</v>
      </c>
      <c r="Y657" s="9" t="s">
        <v>124</v>
      </c>
      <c r="Z657" s="9" t="s">
        <v>268</v>
      </c>
      <c r="AA657" s="9" t="s">
        <v>60</v>
      </c>
      <c r="AB657" s="9" t="s">
        <v>91</v>
      </c>
      <c r="AC657" s="9"/>
      <c r="AD657" s="9">
        <v>8.0</v>
      </c>
      <c r="AE657" s="9">
        <v>0.0</v>
      </c>
      <c r="AF657" s="9">
        <v>1.0</v>
      </c>
      <c r="AG657" s="12">
        <v>5000.0</v>
      </c>
      <c r="AH657" s="13"/>
    </row>
    <row r="658">
      <c r="A658" s="7">
        <v>44605.53990019676</v>
      </c>
      <c r="B658" s="8">
        <f t="shared" si="1"/>
        <v>2022</v>
      </c>
      <c r="C658" s="9" t="s">
        <v>73</v>
      </c>
      <c r="D658" s="9">
        <v>25.0</v>
      </c>
      <c r="E658" s="9" t="s">
        <v>2170</v>
      </c>
      <c r="F658" s="9" t="s">
        <v>36</v>
      </c>
      <c r="G658" s="8" t="s">
        <v>124</v>
      </c>
      <c r="H658" s="9" t="s">
        <v>460</v>
      </c>
      <c r="I658" s="9" t="s">
        <v>38</v>
      </c>
      <c r="L658" s="9" t="s">
        <v>40</v>
      </c>
      <c r="M658" s="9" t="s">
        <v>40</v>
      </c>
      <c r="N658" s="9" t="s">
        <v>40</v>
      </c>
      <c r="Q658" s="9" t="s">
        <v>877</v>
      </c>
      <c r="R658" s="9" t="s">
        <v>42</v>
      </c>
      <c r="S658" s="10">
        <v>5000.0</v>
      </c>
      <c r="T658" s="11" t="s">
        <v>37</v>
      </c>
      <c r="V658" s="9">
        <v>15.0</v>
      </c>
      <c r="W658" s="9" t="s">
        <v>2171</v>
      </c>
      <c r="X658" s="9" t="s">
        <v>224</v>
      </c>
      <c r="Y658" s="9" t="s">
        <v>349</v>
      </c>
      <c r="Z658" s="9" t="s">
        <v>347</v>
      </c>
      <c r="AA658" s="9" t="s">
        <v>81</v>
      </c>
      <c r="AB658" s="9" t="s">
        <v>61</v>
      </c>
      <c r="AD658" s="9">
        <v>10.0</v>
      </c>
      <c r="AE658" s="9">
        <v>5.0</v>
      </c>
      <c r="AF658" s="9">
        <v>2.0</v>
      </c>
      <c r="AG658" s="12">
        <v>5000.0</v>
      </c>
      <c r="AH658" s="13"/>
    </row>
    <row r="659">
      <c r="A659" s="7">
        <v>44577.88539203704</v>
      </c>
      <c r="B659" s="8">
        <f t="shared" si="1"/>
        <v>2022</v>
      </c>
      <c r="C659" s="9" t="s">
        <v>49</v>
      </c>
      <c r="D659" s="9">
        <v>29.0</v>
      </c>
      <c r="E659" s="9" t="s">
        <v>35</v>
      </c>
      <c r="F659" s="9" t="s">
        <v>36</v>
      </c>
      <c r="G659" s="8" t="s">
        <v>50</v>
      </c>
      <c r="H659" s="8" t="s">
        <v>493</v>
      </c>
      <c r="I659" s="9" t="s">
        <v>247</v>
      </c>
      <c r="J659" s="9" t="s">
        <v>160</v>
      </c>
      <c r="K659" s="9" t="s">
        <v>944</v>
      </c>
      <c r="L659" s="9" t="s">
        <v>39</v>
      </c>
      <c r="M659" s="9" t="s">
        <v>40</v>
      </c>
      <c r="N659" s="9" t="s">
        <v>39</v>
      </c>
      <c r="P659" s="9" t="s">
        <v>2172</v>
      </c>
      <c r="Q659" s="9" t="s">
        <v>146</v>
      </c>
      <c r="R659" s="9" t="s">
        <v>42</v>
      </c>
      <c r="S659" s="10">
        <v>6000.0</v>
      </c>
      <c r="T659" s="11">
        <v>0.0</v>
      </c>
      <c r="U659" s="9">
        <v>0.0</v>
      </c>
      <c r="V659" s="9">
        <v>18.0</v>
      </c>
      <c r="W659" s="9" t="s">
        <v>2173</v>
      </c>
      <c r="X659" s="9" t="s">
        <v>2174</v>
      </c>
      <c r="Y659" s="9" t="s">
        <v>122</v>
      </c>
      <c r="Z659" s="9" t="s">
        <v>423</v>
      </c>
      <c r="AA659" s="9" t="s">
        <v>90</v>
      </c>
      <c r="AB659" s="9" t="s">
        <v>61</v>
      </c>
      <c r="AD659" s="9">
        <v>9.0</v>
      </c>
      <c r="AE659" s="9">
        <v>2.0</v>
      </c>
      <c r="AF659" s="9">
        <v>1.0</v>
      </c>
      <c r="AG659" s="12">
        <v>5000.0</v>
      </c>
      <c r="AH659" s="13"/>
    </row>
    <row r="660">
      <c r="A660" s="7">
        <v>44405.77084170139</v>
      </c>
      <c r="B660" s="8">
        <f t="shared" si="1"/>
        <v>2021</v>
      </c>
      <c r="C660" s="9" t="s">
        <v>49</v>
      </c>
      <c r="D660" s="9">
        <v>32.0</v>
      </c>
      <c r="E660" s="9" t="s">
        <v>35</v>
      </c>
      <c r="F660" s="9" t="s">
        <v>36</v>
      </c>
      <c r="G660" s="8" t="s">
        <v>50</v>
      </c>
      <c r="H660" s="9" t="s">
        <v>117</v>
      </c>
      <c r="I660" s="9" t="s">
        <v>38</v>
      </c>
      <c r="J660" s="9" t="s">
        <v>160</v>
      </c>
      <c r="K660" s="9" t="s">
        <v>84</v>
      </c>
      <c r="L660" s="9" t="s">
        <v>39</v>
      </c>
      <c r="M660" s="9" t="s">
        <v>40</v>
      </c>
      <c r="N660" s="9" t="s">
        <v>40</v>
      </c>
      <c r="Q660" s="9" t="s">
        <v>128</v>
      </c>
      <c r="R660" s="9" t="s">
        <v>42</v>
      </c>
      <c r="S660" s="10">
        <v>7000.0</v>
      </c>
      <c r="T660" s="11">
        <v>0.0</v>
      </c>
      <c r="U660" s="9">
        <v>10000.0</v>
      </c>
      <c r="V660" s="9">
        <v>20.0</v>
      </c>
      <c r="W660" s="9" t="s">
        <v>2175</v>
      </c>
      <c r="X660" s="9" t="s">
        <v>2176</v>
      </c>
      <c r="Y660" s="9" t="s">
        <v>131</v>
      </c>
      <c r="Z660" s="9" t="s">
        <v>59</v>
      </c>
      <c r="AA660" s="9" t="s">
        <v>60</v>
      </c>
      <c r="AB660" s="9" t="s">
        <v>133</v>
      </c>
      <c r="AD660" s="9">
        <v>8.0</v>
      </c>
      <c r="AE660" s="9">
        <v>3.0</v>
      </c>
      <c r="AF660" s="9">
        <v>2.0</v>
      </c>
      <c r="AG660" s="12">
        <v>5000.0</v>
      </c>
      <c r="AH660" s="13"/>
    </row>
    <row r="661">
      <c r="A661" s="7">
        <v>44405.41152278935</v>
      </c>
      <c r="B661" s="8">
        <f t="shared" si="1"/>
        <v>2021</v>
      </c>
      <c r="C661" s="9" t="s">
        <v>49</v>
      </c>
      <c r="D661" s="9">
        <v>41.0</v>
      </c>
      <c r="E661" s="9" t="s">
        <v>2177</v>
      </c>
      <c r="F661" s="9" t="s">
        <v>36</v>
      </c>
      <c r="G661" s="8" t="s">
        <v>124</v>
      </c>
      <c r="H661" s="9" t="s">
        <v>156</v>
      </c>
      <c r="I661" s="9" t="s">
        <v>247</v>
      </c>
      <c r="J661" s="9" t="s">
        <v>1368</v>
      </c>
      <c r="K661" s="9" t="s">
        <v>234</v>
      </c>
      <c r="L661" s="9" t="s">
        <v>40</v>
      </c>
      <c r="M661" s="9" t="s">
        <v>40</v>
      </c>
      <c r="N661" s="9" t="s">
        <v>40</v>
      </c>
      <c r="Q661" s="9" t="s">
        <v>584</v>
      </c>
      <c r="R661" s="9" t="s">
        <v>42</v>
      </c>
      <c r="S661" s="10">
        <v>5500.0</v>
      </c>
      <c r="T661" s="11">
        <v>0.0</v>
      </c>
      <c r="U661" s="9">
        <v>0.0</v>
      </c>
      <c r="V661" s="9">
        <v>24.0</v>
      </c>
      <c r="W661" s="9" t="s">
        <v>2178</v>
      </c>
      <c r="X661" s="9" t="s">
        <v>2179</v>
      </c>
      <c r="Y661" s="9" t="s">
        <v>122</v>
      </c>
      <c r="Z661" s="9" t="s">
        <v>97</v>
      </c>
      <c r="AA661" s="9" t="s">
        <v>132</v>
      </c>
      <c r="AB661" s="9" t="s">
        <v>61</v>
      </c>
      <c r="AD661" s="9">
        <v>7.0</v>
      </c>
      <c r="AE661" s="9">
        <v>3.0</v>
      </c>
      <c r="AF661" s="9">
        <v>4.0</v>
      </c>
      <c r="AG661" s="12">
        <v>5000.0</v>
      </c>
      <c r="AH661" s="13"/>
    </row>
    <row r="662">
      <c r="A662" s="7">
        <v>44404.91118876157</v>
      </c>
      <c r="B662" s="8">
        <f t="shared" si="1"/>
        <v>2021</v>
      </c>
      <c r="C662" s="9" t="s">
        <v>49</v>
      </c>
      <c r="D662" s="9">
        <v>29.0</v>
      </c>
      <c r="E662" s="9" t="s">
        <v>35</v>
      </c>
      <c r="F662" s="9" t="s">
        <v>36</v>
      </c>
      <c r="G662" s="8" t="s">
        <v>50</v>
      </c>
      <c r="H662" s="8" t="s">
        <v>51</v>
      </c>
      <c r="I662" s="9" t="s">
        <v>38</v>
      </c>
      <c r="J662" s="9" t="s">
        <v>742</v>
      </c>
      <c r="K662" s="9" t="s">
        <v>337</v>
      </c>
      <c r="L662" s="9" t="s">
        <v>40</v>
      </c>
      <c r="M662" s="9" t="s">
        <v>39</v>
      </c>
      <c r="N662" s="9" t="s">
        <v>40</v>
      </c>
      <c r="O662" s="9" t="s">
        <v>642</v>
      </c>
      <c r="Q662" s="9" t="s">
        <v>548</v>
      </c>
      <c r="R662" s="9" t="s">
        <v>250</v>
      </c>
      <c r="S662" s="10">
        <v>3500.0</v>
      </c>
      <c r="T662" s="11">
        <v>0.0</v>
      </c>
      <c r="U662" s="9">
        <v>0.0</v>
      </c>
      <c r="V662" s="9">
        <v>14.0</v>
      </c>
      <c r="W662" s="9" t="s">
        <v>1003</v>
      </c>
      <c r="X662" s="9" t="s">
        <v>1762</v>
      </c>
      <c r="Y662" s="9" t="s">
        <v>246</v>
      </c>
      <c r="Z662" s="9" t="s">
        <v>97</v>
      </c>
      <c r="AA662" s="9" t="s">
        <v>71</v>
      </c>
      <c r="AB662" s="9" t="s">
        <v>91</v>
      </c>
      <c r="AD662" s="9">
        <v>8.0</v>
      </c>
      <c r="AE662" s="9">
        <v>5.0</v>
      </c>
      <c r="AF662" s="9">
        <v>3.0</v>
      </c>
      <c r="AG662" s="12">
        <v>5000.0</v>
      </c>
      <c r="AH662" s="13"/>
    </row>
    <row r="663">
      <c r="A663" s="14">
        <v>44403.87808490741</v>
      </c>
      <c r="B663" s="8">
        <f t="shared" si="1"/>
        <v>2021</v>
      </c>
      <c r="C663" s="8" t="s">
        <v>49</v>
      </c>
      <c r="D663" s="8">
        <v>24.0</v>
      </c>
      <c r="E663" s="8" t="s">
        <v>35</v>
      </c>
      <c r="F663" s="8" t="s">
        <v>36</v>
      </c>
      <c r="G663" s="8" t="s">
        <v>50</v>
      </c>
      <c r="H663" s="8" t="s">
        <v>106</v>
      </c>
      <c r="I663" s="8" t="s">
        <v>38</v>
      </c>
      <c r="J663" s="9" t="s">
        <v>75</v>
      </c>
      <c r="K663" s="8" t="s">
        <v>944</v>
      </c>
      <c r="L663" s="8" t="s">
        <v>39</v>
      </c>
      <c r="M663" s="8" t="s">
        <v>40</v>
      </c>
      <c r="N663" s="8" t="s">
        <v>40</v>
      </c>
      <c r="O663" s="15"/>
      <c r="P663" s="15"/>
      <c r="Q663" s="8" t="s">
        <v>146</v>
      </c>
      <c r="R663" s="9" t="s">
        <v>42</v>
      </c>
      <c r="S663" s="16">
        <v>6000.0</v>
      </c>
      <c r="T663" s="17">
        <v>0.0</v>
      </c>
      <c r="U663" s="8">
        <v>0.0</v>
      </c>
      <c r="V663" s="8">
        <v>10.0</v>
      </c>
      <c r="W663" s="8" t="s">
        <v>999</v>
      </c>
      <c r="X663" s="8" t="s">
        <v>2180</v>
      </c>
      <c r="Y663" s="8" t="s">
        <v>124</v>
      </c>
      <c r="Z663" s="8" t="s">
        <v>2181</v>
      </c>
      <c r="AA663" s="8" t="s">
        <v>132</v>
      </c>
      <c r="AB663" s="8" t="s">
        <v>91</v>
      </c>
      <c r="AC663" s="15"/>
      <c r="AD663" s="8">
        <v>7.0</v>
      </c>
      <c r="AE663" s="8">
        <v>2.0</v>
      </c>
      <c r="AF663" s="8">
        <v>2.0</v>
      </c>
      <c r="AG663" s="18">
        <v>5000.0</v>
      </c>
      <c r="AH663" s="13"/>
      <c r="AI663" s="15"/>
      <c r="AJ663" s="15"/>
      <c r="AK663" s="15"/>
      <c r="AL663" s="15"/>
      <c r="AM663" s="15"/>
      <c r="AN663" s="15"/>
    </row>
    <row r="664">
      <c r="A664" s="14">
        <v>44403.83693547454</v>
      </c>
      <c r="B664" s="8">
        <f t="shared" si="1"/>
        <v>2021</v>
      </c>
      <c r="C664" s="8" t="s">
        <v>49</v>
      </c>
      <c r="D664" s="8">
        <v>23.0</v>
      </c>
      <c r="E664" s="8" t="s">
        <v>35</v>
      </c>
      <c r="F664" s="8" t="s">
        <v>36</v>
      </c>
      <c r="G664" s="8" t="s">
        <v>124</v>
      </c>
      <c r="H664" s="8" t="s">
        <v>206</v>
      </c>
      <c r="I664" s="8" t="s">
        <v>38</v>
      </c>
      <c r="J664" s="9" t="s">
        <v>75</v>
      </c>
      <c r="K664" s="8" t="s">
        <v>944</v>
      </c>
      <c r="L664" s="8" t="s">
        <v>39</v>
      </c>
      <c r="M664" s="8" t="s">
        <v>40</v>
      </c>
      <c r="N664" s="8" t="s">
        <v>40</v>
      </c>
      <c r="O664" s="15"/>
      <c r="P664" s="15"/>
      <c r="Q664" s="8" t="s">
        <v>146</v>
      </c>
      <c r="R664" s="9" t="s">
        <v>42</v>
      </c>
      <c r="S664" s="16">
        <v>5000.0</v>
      </c>
      <c r="T664" s="17">
        <v>0.0</v>
      </c>
      <c r="U664" s="8">
        <v>0.0</v>
      </c>
      <c r="V664" s="8">
        <v>16.0</v>
      </c>
      <c r="W664" s="8" t="s">
        <v>2182</v>
      </c>
      <c r="X664" s="8" t="s">
        <v>2183</v>
      </c>
      <c r="Y664" s="8" t="s">
        <v>122</v>
      </c>
      <c r="Z664" s="8" t="s">
        <v>2184</v>
      </c>
      <c r="AA664" s="8" t="s">
        <v>60</v>
      </c>
      <c r="AB664" s="8" t="s">
        <v>133</v>
      </c>
      <c r="AC664" s="8" t="s">
        <v>2185</v>
      </c>
      <c r="AD664" s="8">
        <v>7.0</v>
      </c>
      <c r="AE664" s="8">
        <v>0.0</v>
      </c>
      <c r="AF664" s="8">
        <v>0.0</v>
      </c>
      <c r="AG664" s="18">
        <v>5000.0</v>
      </c>
      <c r="AH664" s="13"/>
      <c r="AI664" s="15"/>
      <c r="AJ664" s="15"/>
      <c r="AK664" s="15"/>
      <c r="AL664" s="15"/>
      <c r="AM664" s="15"/>
      <c r="AN664" s="15"/>
    </row>
    <row r="665">
      <c r="A665" s="7">
        <v>44405.05726233796</v>
      </c>
      <c r="B665" s="8">
        <f t="shared" si="1"/>
        <v>2021</v>
      </c>
      <c r="C665" s="9" t="s">
        <v>73</v>
      </c>
      <c r="D665" s="9">
        <v>22.0</v>
      </c>
      <c r="E665" s="9" t="s">
        <v>35</v>
      </c>
      <c r="F665" s="9" t="s">
        <v>36</v>
      </c>
      <c r="G665" s="8" t="s">
        <v>124</v>
      </c>
      <c r="H665" s="9" t="s">
        <v>156</v>
      </c>
      <c r="I665" s="9" t="s">
        <v>38</v>
      </c>
      <c r="J665" s="9" t="s">
        <v>75</v>
      </c>
      <c r="K665" s="9" t="s">
        <v>944</v>
      </c>
      <c r="L665" s="9" t="s">
        <v>39</v>
      </c>
      <c r="M665" s="9" t="s">
        <v>40</v>
      </c>
      <c r="N665" s="9" t="s">
        <v>40</v>
      </c>
      <c r="Q665" s="9" t="s">
        <v>101</v>
      </c>
      <c r="R665" s="9" t="s">
        <v>42</v>
      </c>
      <c r="S665" s="10">
        <v>5200.0</v>
      </c>
      <c r="T665" s="11" t="s">
        <v>37</v>
      </c>
      <c r="U665" s="9" t="s">
        <v>2186</v>
      </c>
      <c r="V665" s="9">
        <v>18.0</v>
      </c>
      <c r="W665" s="9" t="s">
        <v>2187</v>
      </c>
      <c r="X665" s="9" t="s">
        <v>2188</v>
      </c>
      <c r="Y665" s="9" t="s">
        <v>122</v>
      </c>
      <c r="Z665" s="9" t="s">
        <v>70</v>
      </c>
      <c r="AA665" s="9" t="s">
        <v>90</v>
      </c>
      <c r="AB665" s="9" t="s">
        <v>91</v>
      </c>
      <c r="AD665" s="9">
        <v>10.0</v>
      </c>
      <c r="AE665" s="9">
        <v>1.0</v>
      </c>
      <c r="AF665" s="9">
        <v>1.0</v>
      </c>
      <c r="AG665" s="12">
        <v>5200.0</v>
      </c>
      <c r="AH665" s="9" t="s">
        <v>42</v>
      </c>
    </row>
    <row r="666">
      <c r="A666" s="7">
        <v>44408.7638524537</v>
      </c>
      <c r="B666" s="8">
        <f t="shared" si="1"/>
        <v>2021</v>
      </c>
      <c r="C666" s="9" t="s">
        <v>49</v>
      </c>
      <c r="D666" s="9">
        <v>23.0</v>
      </c>
      <c r="E666" s="9" t="s">
        <v>35</v>
      </c>
      <c r="F666" s="9" t="s">
        <v>36</v>
      </c>
      <c r="G666" s="8" t="s">
        <v>124</v>
      </c>
      <c r="H666" s="9" t="s">
        <v>156</v>
      </c>
      <c r="I666" s="9" t="s">
        <v>38</v>
      </c>
      <c r="J666" s="9" t="s">
        <v>75</v>
      </c>
      <c r="K666" s="9" t="s">
        <v>84</v>
      </c>
      <c r="L666" s="9" t="s">
        <v>39</v>
      </c>
      <c r="M666" s="9" t="s">
        <v>40</v>
      </c>
      <c r="N666" s="9" t="s">
        <v>40</v>
      </c>
      <c r="Q666" s="9" t="s">
        <v>101</v>
      </c>
      <c r="R666" s="9" t="s">
        <v>42</v>
      </c>
      <c r="S666" s="10">
        <v>5200.0</v>
      </c>
      <c r="T666" s="11">
        <v>18720.0</v>
      </c>
      <c r="U666" s="9">
        <v>6000.0</v>
      </c>
      <c r="V666" s="9">
        <v>18.0</v>
      </c>
      <c r="W666" s="9" t="s">
        <v>2189</v>
      </c>
      <c r="X666" s="9" t="s">
        <v>2190</v>
      </c>
      <c r="Y666" s="9" t="s">
        <v>58</v>
      </c>
      <c r="Z666" s="9" t="s">
        <v>197</v>
      </c>
      <c r="AA666" s="9" t="s">
        <v>81</v>
      </c>
      <c r="AB666" s="9" t="s">
        <v>611</v>
      </c>
      <c r="AD666" s="9">
        <v>8.0</v>
      </c>
      <c r="AE666" s="9">
        <v>1.0</v>
      </c>
      <c r="AF666" s="9">
        <v>2.0</v>
      </c>
      <c r="AG666" s="12">
        <v>5200.0</v>
      </c>
      <c r="AH666" s="13"/>
    </row>
    <row r="667">
      <c r="A667" s="14">
        <v>44403.8416725</v>
      </c>
      <c r="B667" s="8">
        <f t="shared" si="1"/>
        <v>2021</v>
      </c>
      <c r="C667" s="8" t="s">
        <v>49</v>
      </c>
      <c r="D667" s="8">
        <v>23.0</v>
      </c>
      <c r="E667" s="8" t="s">
        <v>2191</v>
      </c>
      <c r="F667" s="8" t="s">
        <v>36</v>
      </c>
      <c r="G667" s="8" t="s">
        <v>124</v>
      </c>
      <c r="H667" s="8" t="s">
        <v>493</v>
      </c>
      <c r="I667" s="8" t="s">
        <v>38</v>
      </c>
      <c r="J667" s="9" t="s">
        <v>143</v>
      </c>
      <c r="K667" s="9" t="s">
        <v>944</v>
      </c>
      <c r="L667" s="8" t="s">
        <v>39</v>
      </c>
      <c r="M667" s="8" t="s">
        <v>40</v>
      </c>
      <c r="N667" s="8" t="s">
        <v>39</v>
      </c>
      <c r="O667" s="15"/>
      <c r="P667" s="8" t="s">
        <v>2192</v>
      </c>
      <c r="Q667" s="8" t="s">
        <v>1685</v>
      </c>
      <c r="R667" s="9" t="s">
        <v>42</v>
      </c>
      <c r="S667" s="16">
        <v>5253.0</v>
      </c>
      <c r="T667" s="17">
        <v>0.0</v>
      </c>
      <c r="U667" s="8">
        <v>0.0</v>
      </c>
      <c r="V667" s="8">
        <v>14.0</v>
      </c>
      <c r="W667" s="8" t="s">
        <v>2193</v>
      </c>
      <c r="X667" s="8" t="s">
        <v>2194</v>
      </c>
      <c r="Y667" s="8" t="s">
        <v>122</v>
      </c>
      <c r="Z667" s="8" t="s">
        <v>651</v>
      </c>
      <c r="AA667" s="8" t="s">
        <v>60</v>
      </c>
      <c r="AB667" s="8" t="s">
        <v>61</v>
      </c>
      <c r="AC667" s="15"/>
      <c r="AD667" s="8">
        <v>8.0</v>
      </c>
      <c r="AE667" s="8">
        <v>1.0</v>
      </c>
      <c r="AF667" s="8">
        <v>2.0</v>
      </c>
      <c r="AG667" s="18">
        <v>5253.0</v>
      </c>
      <c r="AH667" s="13"/>
      <c r="AI667" s="15"/>
      <c r="AJ667" s="15"/>
      <c r="AK667" s="15"/>
      <c r="AL667" s="15"/>
      <c r="AM667" s="15"/>
      <c r="AN667" s="15"/>
    </row>
    <row r="668">
      <c r="A668" s="7">
        <v>44404.485865532406</v>
      </c>
      <c r="B668" s="8">
        <f t="shared" si="1"/>
        <v>2021</v>
      </c>
      <c r="C668" s="9" t="s">
        <v>49</v>
      </c>
      <c r="D668" s="9">
        <v>26.0</v>
      </c>
      <c r="E668" s="9" t="s">
        <v>35</v>
      </c>
      <c r="F668" s="9" t="s">
        <v>36</v>
      </c>
      <c r="G668" s="8" t="s">
        <v>50</v>
      </c>
      <c r="H668" s="9" t="s">
        <v>2195</v>
      </c>
      <c r="I668" s="9" t="s">
        <v>38</v>
      </c>
      <c r="J668" s="9" t="s">
        <v>160</v>
      </c>
      <c r="K668" s="9" t="s">
        <v>84</v>
      </c>
      <c r="L668" s="9" t="s">
        <v>39</v>
      </c>
      <c r="M668" s="9" t="s">
        <v>40</v>
      </c>
      <c r="N668" s="9" t="s">
        <v>40</v>
      </c>
      <c r="Q668" s="9" t="s">
        <v>146</v>
      </c>
      <c r="R668" s="9" t="s">
        <v>42</v>
      </c>
      <c r="S668" s="10">
        <v>5300.0</v>
      </c>
      <c r="T668" s="11" t="s">
        <v>37</v>
      </c>
      <c r="U668" s="9">
        <v>0.0</v>
      </c>
      <c r="V668" s="9">
        <v>14.0</v>
      </c>
      <c r="W668" s="9" t="s">
        <v>459</v>
      </c>
      <c r="X668" s="9" t="s">
        <v>2196</v>
      </c>
      <c r="Y668" s="9" t="s">
        <v>50</v>
      </c>
      <c r="Z668" s="9" t="s">
        <v>116</v>
      </c>
      <c r="AA668" s="9" t="s">
        <v>132</v>
      </c>
      <c r="AB668" s="9" t="s">
        <v>61</v>
      </c>
      <c r="AD668" s="9">
        <v>6.0</v>
      </c>
      <c r="AE668" s="9">
        <v>4.0</v>
      </c>
      <c r="AF668" s="9">
        <v>2.0</v>
      </c>
      <c r="AG668" s="12">
        <v>5300.0</v>
      </c>
      <c r="AH668" s="13"/>
    </row>
    <row r="669">
      <c r="A669" s="7">
        <v>44407.00568336806</v>
      </c>
      <c r="B669" s="8">
        <f t="shared" si="1"/>
        <v>2021</v>
      </c>
      <c r="C669" s="9" t="s">
        <v>49</v>
      </c>
      <c r="D669" s="9">
        <v>25.0</v>
      </c>
      <c r="E669" s="9" t="s">
        <v>35</v>
      </c>
      <c r="F669" s="9" t="s">
        <v>36</v>
      </c>
      <c r="G669" s="8" t="s">
        <v>50</v>
      </c>
      <c r="H669" s="9" t="s">
        <v>106</v>
      </c>
      <c r="I669" s="9" t="s">
        <v>247</v>
      </c>
      <c r="J669" s="9" t="s">
        <v>742</v>
      </c>
      <c r="K669" s="9" t="s">
        <v>2197</v>
      </c>
      <c r="L669" s="9" t="s">
        <v>40</v>
      </c>
      <c r="M669" s="9" t="s">
        <v>40</v>
      </c>
      <c r="N669" s="9" t="s">
        <v>40</v>
      </c>
      <c r="Q669" s="9" t="s">
        <v>548</v>
      </c>
      <c r="R669" s="9" t="s">
        <v>42</v>
      </c>
      <c r="S669" s="10">
        <v>5500.0</v>
      </c>
      <c r="T669" s="11" t="s">
        <v>37</v>
      </c>
      <c r="U669" s="9" t="s">
        <v>890</v>
      </c>
      <c r="V669" s="9">
        <v>16.0</v>
      </c>
      <c r="W669" s="9" t="s">
        <v>2198</v>
      </c>
      <c r="X669" s="9" t="s">
        <v>2199</v>
      </c>
      <c r="Y669" s="9" t="s">
        <v>99</v>
      </c>
      <c r="Z669" s="9" t="s">
        <v>59</v>
      </c>
      <c r="AA669" s="9" t="s">
        <v>60</v>
      </c>
      <c r="AB669" s="9" t="s">
        <v>91</v>
      </c>
      <c r="AD669" s="9">
        <v>7.0</v>
      </c>
      <c r="AE669" s="9" t="s">
        <v>2200</v>
      </c>
      <c r="AF669" s="9" t="s">
        <v>2201</v>
      </c>
      <c r="AG669" s="12">
        <v>5350.0</v>
      </c>
      <c r="AH669" s="13"/>
    </row>
    <row r="670">
      <c r="A670" s="7">
        <v>44404.093346319445</v>
      </c>
      <c r="B670" s="8">
        <f t="shared" si="1"/>
        <v>2021</v>
      </c>
      <c r="C670" s="9" t="s">
        <v>49</v>
      </c>
      <c r="D670" s="9">
        <v>26.0</v>
      </c>
      <c r="E670" s="9" t="s">
        <v>35</v>
      </c>
      <c r="F670" s="9" t="s">
        <v>36</v>
      </c>
      <c r="G670" s="8" t="s">
        <v>50</v>
      </c>
      <c r="H670" s="9" t="s">
        <v>932</v>
      </c>
      <c r="I670" s="9" t="s">
        <v>38</v>
      </c>
      <c r="J670" s="8" t="s">
        <v>75</v>
      </c>
      <c r="K670" s="9" t="s">
        <v>534</v>
      </c>
      <c r="L670" s="9" t="s">
        <v>39</v>
      </c>
      <c r="M670" s="9" t="s">
        <v>40</v>
      </c>
      <c r="N670" s="9" t="s">
        <v>40</v>
      </c>
      <c r="Q670" s="8" t="s">
        <v>255</v>
      </c>
      <c r="R670" s="9" t="s">
        <v>42</v>
      </c>
      <c r="S670" s="10">
        <v>6000.0</v>
      </c>
      <c r="T670" s="11">
        <v>0.0</v>
      </c>
      <c r="U670" s="9">
        <v>0.0</v>
      </c>
      <c r="V670" s="9">
        <v>21.0</v>
      </c>
      <c r="W670" s="9" t="s">
        <v>2202</v>
      </c>
      <c r="X670" s="9" t="s">
        <v>87</v>
      </c>
      <c r="Y670" s="9" t="s">
        <v>349</v>
      </c>
      <c r="Z670" s="9" t="s">
        <v>59</v>
      </c>
      <c r="AA670" s="9" t="s">
        <v>81</v>
      </c>
      <c r="AB670" s="9" t="s">
        <v>91</v>
      </c>
      <c r="AD670" s="9">
        <v>10.0</v>
      </c>
      <c r="AE670" s="9">
        <v>2.0</v>
      </c>
      <c r="AF670" s="9">
        <v>2.0</v>
      </c>
      <c r="AG670" s="12">
        <v>5400.0</v>
      </c>
      <c r="AH670" s="13"/>
    </row>
    <row r="671">
      <c r="A671" s="7">
        <v>44421.739320162036</v>
      </c>
      <c r="B671" s="8">
        <f t="shared" si="1"/>
        <v>2021</v>
      </c>
      <c r="C671" s="9" t="s">
        <v>49</v>
      </c>
      <c r="D671" s="9">
        <v>34.0</v>
      </c>
      <c r="E671" s="9" t="s">
        <v>35</v>
      </c>
      <c r="F671" s="9" t="s">
        <v>36</v>
      </c>
      <c r="G671" s="8" t="s">
        <v>50</v>
      </c>
      <c r="H671" s="9" t="s">
        <v>499</v>
      </c>
      <c r="I671" s="9" t="s">
        <v>38</v>
      </c>
      <c r="J671" s="9" t="s">
        <v>75</v>
      </c>
      <c r="K671" s="9" t="s">
        <v>134</v>
      </c>
      <c r="L671" s="9" t="s">
        <v>39</v>
      </c>
      <c r="M671" s="9" t="s">
        <v>40</v>
      </c>
      <c r="N671" s="9" t="s">
        <v>39</v>
      </c>
      <c r="P671" s="9" t="s">
        <v>2203</v>
      </c>
      <c r="Q671" s="9" t="s">
        <v>128</v>
      </c>
      <c r="R671" s="9" t="s">
        <v>42</v>
      </c>
      <c r="S671" s="10">
        <v>5500.0</v>
      </c>
      <c r="T671" s="11">
        <v>0.0</v>
      </c>
      <c r="U671" s="9">
        <v>0.0</v>
      </c>
      <c r="V671" s="9">
        <v>15.0</v>
      </c>
      <c r="W671" s="9" t="s">
        <v>500</v>
      </c>
      <c r="X671" s="9" t="s">
        <v>163</v>
      </c>
      <c r="Y671" s="9" t="s">
        <v>58</v>
      </c>
      <c r="Z671" s="9" t="s">
        <v>481</v>
      </c>
      <c r="AA671" s="9" t="s">
        <v>60</v>
      </c>
      <c r="AB671" s="9" t="s">
        <v>61</v>
      </c>
      <c r="AD671" s="9">
        <v>4.0</v>
      </c>
      <c r="AE671" s="9">
        <v>12.0</v>
      </c>
      <c r="AF671" s="9">
        <v>4.0</v>
      </c>
      <c r="AG671" s="12">
        <v>5500.0</v>
      </c>
      <c r="AH671" s="13"/>
    </row>
    <row r="672">
      <c r="A672" s="14">
        <v>44403.8777525926</v>
      </c>
      <c r="B672" s="8">
        <f t="shared" si="1"/>
        <v>2021</v>
      </c>
      <c r="C672" s="8" t="s">
        <v>34</v>
      </c>
      <c r="D672" s="8">
        <v>21.0</v>
      </c>
      <c r="E672" s="8" t="s">
        <v>35</v>
      </c>
      <c r="F672" s="8" t="s">
        <v>36</v>
      </c>
      <c r="G672" s="8" t="s">
        <v>124</v>
      </c>
      <c r="H672" s="8" t="s">
        <v>37</v>
      </c>
      <c r="I672" s="8" t="s">
        <v>38</v>
      </c>
      <c r="J672" s="8" t="s">
        <v>75</v>
      </c>
      <c r="K672" s="15"/>
      <c r="L672" s="8" t="s">
        <v>39</v>
      </c>
      <c r="M672" s="8" t="s">
        <v>40</v>
      </c>
      <c r="N672" s="8" t="s">
        <v>40</v>
      </c>
      <c r="O672" s="15"/>
      <c r="P672" s="15"/>
      <c r="Q672" s="9" t="s">
        <v>548</v>
      </c>
      <c r="R672" s="9" t="s">
        <v>42</v>
      </c>
      <c r="S672" s="16">
        <v>27000.0</v>
      </c>
      <c r="T672" s="17">
        <v>0.0</v>
      </c>
      <c r="U672" s="8">
        <v>0.0</v>
      </c>
      <c r="V672" s="8">
        <v>0.0</v>
      </c>
      <c r="W672" s="8" t="s">
        <v>890</v>
      </c>
      <c r="X672" s="8" t="s">
        <v>712</v>
      </c>
      <c r="Y672" s="8" t="s">
        <v>2137</v>
      </c>
      <c r="Z672" s="8" t="s">
        <v>70</v>
      </c>
      <c r="AA672" s="8" t="s">
        <v>71</v>
      </c>
      <c r="AB672" s="8" t="s">
        <v>91</v>
      </c>
      <c r="AC672" s="15"/>
      <c r="AD672" s="8">
        <v>8.0</v>
      </c>
      <c r="AE672" s="8">
        <v>1.0</v>
      </c>
      <c r="AF672" s="8">
        <v>2.0</v>
      </c>
      <c r="AG672" s="18">
        <v>5500.0</v>
      </c>
      <c r="AH672" s="13"/>
      <c r="AI672" s="15"/>
      <c r="AJ672" s="15"/>
      <c r="AK672" s="15"/>
      <c r="AL672" s="15"/>
      <c r="AM672" s="15"/>
      <c r="AN672" s="15"/>
    </row>
    <row r="673">
      <c r="A673" s="14">
        <v>44403.88743358797</v>
      </c>
      <c r="B673" s="8">
        <f t="shared" si="1"/>
        <v>2021</v>
      </c>
      <c r="C673" s="8" t="s">
        <v>49</v>
      </c>
      <c r="D673" s="8">
        <v>26.0</v>
      </c>
      <c r="E673" s="8" t="s">
        <v>2204</v>
      </c>
      <c r="F673" s="8" t="s">
        <v>36</v>
      </c>
      <c r="G673" s="8" t="s">
        <v>50</v>
      </c>
      <c r="H673" s="9" t="s">
        <v>106</v>
      </c>
      <c r="I673" s="8" t="s">
        <v>38</v>
      </c>
      <c r="J673" s="9" t="s">
        <v>75</v>
      </c>
      <c r="K673" s="8"/>
      <c r="L673" s="8" t="s">
        <v>39</v>
      </c>
      <c r="M673" s="8" t="s">
        <v>40</v>
      </c>
      <c r="N673" s="8" t="s">
        <v>40</v>
      </c>
      <c r="O673" s="15"/>
      <c r="P673" s="15"/>
      <c r="Q673" s="9" t="s">
        <v>101</v>
      </c>
      <c r="R673" s="9" t="s">
        <v>42</v>
      </c>
      <c r="S673" s="16">
        <v>8000.0</v>
      </c>
      <c r="T673" s="17">
        <v>0.0</v>
      </c>
      <c r="U673" s="8">
        <v>0.0</v>
      </c>
      <c r="V673" s="8">
        <v>18.0</v>
      </c>
      <c r="W673" s="8" t="s">
        <v>223</v>
      </c>
      <c r="X673" s="8" t="s">
        <v>2204</v>
      </c>
      <c r="Y673" s="8" t="s">
        <v>58</v>
      </c>
      <c r="Z673" s="8" t="s">
        <v>59</v>
      </c>
      <c r="AA673" s="8" t="s">
        <v>132</v>
      </c>
      <c r="AB673" s="8" t="s">
        <v>61</v>
      </c>
      <c r="AC673" s="15"/>
      <c r="AD673" s="8">
        <v>7.0</v>
      </c>
      <c r="AE673" s="8">
        <v>5.0</v>
      </c>
      <c r="AF673" s="8">
        <v>3.0</v>
      </c>
      <c r="AG673" s="18">
        <v>5500.0</v>
      </c>
      <c r="AH673" s="13"/>
      <c r="AI673" s="15"/>
      <c r="AJ673" s="15"/>
      <c r="AK673" s="15"/>
      <c r="AL673" s="15"/>
      <c r="AM673" s="15"/>
      <c r="AN673" s="15"/>
    </row>
    <row r="674">
      <c r="A674" s="7">
        <v>44403.91745576389</v>
      </c>
      <c r="B674" s="8">
        <f t="shared" si="1"/>
        <v>2021</v>
      </c>
      <c r="C674" s="9" t="s">
        <v>49</v>
      </c>
      <c r="D674" s="9">
        <v>24.0</v>
      </c>
      <c r="E674" s="9" t="s">
        <v>35</v>
      </c>
      <c r="F674" s="9" t="s">
        <v>36</v>
      </c>
      <c r="G674" s="8" t="s">
        <v>164</v>
      </c>
      <c r="H674" s="9" t="s">
        <v>165</v>
      </c>
      <c r="I674" s="9" t="s">
        <v>38</v>
      </c>
      <c r="J674" s="9" t="s">
        <v>75</v>
      </c>
      <c r="K674" s="9" t="s">
        <v>161</v>
      </c>
      <c r="L674" s="9" t="s">
        <v>39</v>
      </c>
      <c r="M674" s="9" t="s">
        <v>40</v>
      </c>
      <c r="N674" s="9" t="s">
        <v>40</v>
      </c>
      <c r="Q674" s="8" t="s">
        <v>293</v>
      </c>
      <c r="R674" s="9" t="s">
        <v>42</v>
      </c>
      <c r="S674" s="10">
        <v>5500.0</v>
      </c>
      <c r="T674" s="11">
        <v>0.0</v>
      </c>
      <c r="U674" s="9">
        <v>0.0</v>
      </c>
      <c r="V674" s="9">
        <v>20.0</v>
      </c>
      <c r="W674" s="9" t="s">
        <v>2205</v>
      </c>
      <c r="X674" s="9" t="s">
        <v>2206</v>
      </c>
      <c r="Y674" s="9" t="s">
        <v>122</v>
      </c>
      <c r="Z674" s="9" t="s">
        <v>59</v>
      </c>
      <c r="AA674" s="9" t="s">
        <v>60</v>
      </c>
      <c r="AB674" s="9" t="s">
        <v>61</v>
      </c>
      <c r="AC674" s="9" t="s">
        <v>1397</v>
      </c>
      <c r="AD674" s="9">
        <v>8.0</v>
      </c>
      <c r="AE674" s="9">
        <v>0.0</v>
      </c>
      <c r="AF674" s="9">
        <v>0.0</v>
      </c>
      <c r="AG674" s="12">
        <v>5500.0</v>
      </c>
      <c r="AH674" s="13"/>
    </row>
    <row r="675">
      <c r="A675" s="7">
        <v>44421.87587256945</v>
      </c>
      <c r="B675" s="8">
        <f t="shared" si="1"/>
        <v>2021</v>
      </c>
      <c r="C675" s="9" t="s">
        <v>49</v>
      </c>
      <c r="D675" s="9">
        <v>29.0</v>
      </c>
      <c r="E675" s="9" t="s">
        <v>35</v>
      </c>
      <c r="F675" s="9" t="s">
        <v>36</v>
      </c>
      <c r="G675" s="8" t="s">
        <v>124</v>
      </c>
      <c r="H675" s="9" t="s">
        <v>156</v>
      </c>
      <c r="I675" s="9" t="s">
        <v>38</v>
      </c>
      <c r="J675" s="9" t="s">
        <v>160</v>
      </c>
      <c r="K675" s="9" t="s">
        <v>1217</v>
      </c>
      <c r="L675" s="9" t="s">
        <v>39</v>
      </c>
      <c r="M675" s="9" t="s">
        <v>40</v>
      </c>
      <c r="N675" s="9" t="s">
        <v>39</v>
      </c>
      <c r="P675" s="9" t="s">
        <v>1794</v>
      </c>
      <c r="Q675" s="9" t="s">
        <v>146</v>
      </c>
      <c r="R675" s="9" t="s">
        <v>42</v>
      </c>
      <c r="S675" s="10">
        <v>7500.0</v>
      </c>
      <c r="T675" s="11">
        <v>7500.0</v>
      </c>
      <c r="U675" s="9">
        <v>0.0</v>
      </c>
      <c r="V675" s="9">
        <v>10.0</v>
      </c>
      <c r="W675" s="9" t="s">
        <v>2207</v>
      </c>
      <c r="X675" s="9" t="s">
        <v>2208</v>
      </c>
      <c r="Y675" s="9" t="s">
        <v>106</v>
      </c>
      <c r="Z675" s="9" t="s">
        <v>297</v>
      </c>
      <c r="AA675" s="9" t="s">
        <v>132</v>
      </c>
      <c r="AB675" s="9" t="s">
        <v>91</v>
      </c>
      <c r="AD675" s="9">
        <v>3.0</v>
      </c>
      <c r="AE675" s="9">
        <v>4.0</v>
      </c>
      <c r="AF675" s="9">
        <v>5.0</v>
      </c>
      <c r="AG675" s="12">
        <v>6000.0</v>
      </c>
      <c r="AH675" s="9" t="s">
        <v>42</v>
      </c>
    </row>
    <row r="676">
      <c r="A676" s="7">
        <v>44421.55735765046</v>
      </c>
      <c r="B676" s="8">
        <f t="shared" si="1"/>
        <v>2021</v>
      </c>
      <c r="C676" s="9" t="s">
        <v>49</v>
      </c>
      <c r="D676" s="9">
        <v>27.0</v>
      </c>
      <c r="E676" s="9" t="s">
        <v>35</v>
      </c>
      <c r="F676" s="9" t="s">
        <v>36</v>
      </c>
      <c r="G676" s="8" t="s">
        <v>50</v>
      </c>
      <c r="H676" s="8" t="s">
        <v>51</v>
      </c>
      <c r="I676" s="9" t="s">
        <v>302</v>
      </c>
      <c r="L676" s="9" t="s">
        <v>39</v>
      </c>
      <c r="M676" s="9" t="s">
        <v>40</v>
      </c>
      <c r="N676" s="9" t="s">
        <v>40</v>
      </c>
      <c r="Q676" s="9" t="s">
        <v>2209</v>
      </c>
      <c r="R676" s="9" t="s">
        <v>42</v>
      </c>
      <c r="S676" s="10">
        <v>6000.0</v>
      </c>
      <c r="T676" s="11">
        <v>0.0</v>
      </c>
      <c r="U676" s="9">
        <v>0.0</v>
      </c>
      <c r="V676" s="9">
        <v>15.0</v>
      </c>
      <c r="W676" s="9" t="s">
        <v>1044</v>
      </c>
      <c r="X676" s="9" t="s">
        <v>457</v>
      </c>
      <c r="Y676" s="9" t="s">
        <v>58</v>
      </c>
      <c r="Z676" s="9" t="s">
        <v>159</v>
      </c>
      <c r="AA676" s="9" t="s">
        <v>71</v>
      </c>
      <c r="AB676" s="9" t="s">
        <v>61</v>
      </c>
      <c r="AD676" s="9">
        <v>2.0</v>
      </c>
      <c r="AE676" s="9">
        <v>5.0</v>
      </c>
      <c r="AF676" s="9">
        <v>1.0</v>
      </c>
      <c r="AG676" s="12">
        <v>6000.0</v>
      </c>
      <c r="AH676" s="13"/>
    </row>
    <row r="677">
      <c r="A677" s="7">
        <v>44403.92646863426</v>
      </c>
      <c r="B677" s="8">
        <f t="shared" si="1"/>
        <v>2021</v>
      </c>
      <c r="C677" s="9" t="s">
        <v>49</v>
      </c>
      <c r="D677" s="9">
        <v>30.0</v>
      </c>
      <c r="E677" s="9" t="s">
        <v>2210</v>
      </c>
      <c r="F677" s="9" t="s">
        <v>36</v>
      </c>
      <c r="G677" s="8" t="s">
        <v>50</v>
      </c>
      <c r="H677" s="9" t="s">
        <v>106</v>
      </c>
      <c r="I677" s="9" t="s">
        <v>38</v>
      </c>
      <c r="J677" s="9" t="s">
        <v>75</v>
      </c>
      <c r="K677" s="9" t="s">
        <v>1570</v>
      </c>
      <c r="L677" s="9" t="s">
        <v>39</v>
      </c>
      <c r="M677" s="9" t="s">
        <v>40</v>
      </c>
      <c r="N677" s="9" t="s">
        <v>40</v>
      </c>
      <c r="Q677" s="9" t="s">
        <v>182</v>
      </c>
      <c r="R677" s="9" t="s">
        <v>42</v>
      </c>
      <c r="S677" s="10">
        <v>8800.0</v>
      </c>
      <c r="T677" s="11">
        <v>0.0</v>
      </c>
      <c r="U677" s="9">
        <v>0.0</v>
      </c>
      <c r="V677" s="9">
        <v>14.0</v>
      </c>
      <c r="W677" s="9" t="s">
        <v>2211</v>
      </c>
      <c r="X677" s="9" t="s">
        <v>2212</v>
      </c>
      <c r="Y677" s="9" t="s">
        <v>58</v>
      </c>
      <c r="Z677" s="9" t="s">
        <v>228</v>
      </c>
      <c r="AA677" s="9" t="s">
        <v>71</v>
      </c>
      <c r="AB677" s="9" t="s">
        <v>91</v>
      </c>
      <c r="AD677" s="9">
        <v>1.0</v>
      </c>
      <c r="AE677" s="9">
        <v>10.0</v>
      </c>
      <c r="AF677" s="9">
        <v>4.0</v>
      </c>
      <c r="AG677" s="12">
        <v>6000.0</v>
      </c>
      <c r="AH677" s="13"/>
    </row>
    <row r="678">
      <c r="A678" s="14">
        <v>44403.8449090162</v>
      </c>
      <c r="B678" s="8">
        <f t="shared" si="1"/>
        <v>2021</v>
      </c>
      <c r="C678" s="8" t="s">
        <v>49</v>
      </c>
      <c r="D678" s="8">
        <v>25.0</v>
      </c>
      <c r="E678" s="8" t="s">
        <v>431</v>
      </c>
      <c r="F678" s="8" t="s">
        <v>36</v>
      </c>
      <c r="G678" s="8" t="s">
        <v>50</v>
      </c>
      <c r="H678" s="8" t="s">
        <v>1476</v>
      </c>
      <c r="I678" s="8" t="s">
        <v>38</v>
      </c>
      <c r="J678" s="8" t="s">
        <v>220</v>
      </c>
      <c r="K678" s="8" t="s">
        <v>2213</v>
      </c>
      <c r="L678" s="8" t="s">
        <v>39</v>
      </c>
      <c r="M678" s="8" t="s">
        <v>40</v>
      </c>
      <c r="N678" s="8" t="s">
        <v>40</v>
      </c>
      <c r="O678" s="15"/>
      <c r="P678" s="15"/>
      <c r="Q678" s="8" t="s">
        <v>2214</v>
      </c>
      <c r="R678" s="9" t="s">
        <v>42</v>
      </c>
      <c r="S678" s="16">
        <v>7000.0</v>
      </c>
      <c r="T678" s="17">
        <v>14000.0</v>
      </c>
      <c r="U678" s="8">
        <v>0.0</v>
      </c>
      <c r="V678" s="8">
        <v>14.0</v>
      </c>
      <c r="W678" s="8" t="s">
        <v>2215</v>
      </c>
      <c r="X678" s="8" t="s">
        <v>2216</v>
      </c>
      <c r="Y678" s="8" t="s">
        <v>1096</v>
      </c>
      <c r="Z678" s="8" t="s">
        <v>59</v>
      </c>
      <c r="AA678" s="8" t="s">
        <v>60</v>
      </c>
      <c r="AB678" s="8" t="s">
        <v>91</v>
      </c>
      <c r="AC678" s="24" t="s">
        <v>2217</v>
      </c>
      <c r="AD678" s="8">
        <v>5.0</v>
      </c>
      <c r="AE678" s="8">
        <v>2.0</v>
      </c>
      <c r="AF678" s="8">
        <v>0.0</v>
      </c>
      <c r="AG678" s="18">
        <v>6000.0</v>
      </c>
      <c r="AH678" s="13"/>
      <c r="AI678" s="15"/>
      <c r="AJ678" s="15"/>
      <c r="AK678" s="15"/>
      <c r="AL678" s="15"/>
      <c r="AM678" s="15"/>
      <c r="AN678" s="15"/>
    </row>
    <row r="679">
      <c r="A679" s="7">
        <v>44403.986635277775</v>
      </c>
      <c r="B679" s="8">
        <f t="shared" si="1"/>
        <v>2021</v>
      </c>
      <c r="C679" s="9" t="s">
        <v>49</v>
      </c>
      <c r="D679" s="9">
        <v>32.0</v>
      </c>
      <c r="E679" s="9" t="s">
        <v>35</v>
      </c>
      <c r="F679" s="9" t="s">
        <v>36</v>
      </c>
      <c r="G679" s="8" t="s">
        <v>63</v>
      </c>
      <c r="H679" s="8" t="s">
        <v>37</v>
      </c>
      <c r="I679" s="9" t="s">
        <v>38</v>
      </c>
      <c r="J679" s="9" t="s">
        <v>160</v>
      </c>
      <c r="K679" s="8" t="s">
        <v>407</v>
      </c>
      <c r="L679" s="9" t="s">
        <v>39</v>
      </c>
      <c r="M679" s="9" t="s">
        <v>40</v>
      </c>
      <c r="N679" s="9" t="s">
        <v>40</v>
      </c>
      <c r="Q679" s="9" t="s">
        <v>146</v>
      </c>
      <c r="R679" s="9" t="s">
        <v>42</v>
      </c>
      <c r="S679" s="10">
        <v>7000.0</v>
      </c>
      <c r="T679" s="11">
        <v>7000.0</v>
      </c>
      <c r="V679" s="9">
        <v>14.0</v>
      </c>
      <c r="W679" s="9" t="s">
        <v>2218</v>
      </c>
      <c r="X679" s="9" t="s">
        <v>1842</v>
      </c>
      <c r="Y679" s="9" t="s">
        <v>2219</v>
      </c>
      <c r="Z679" s="9" t="s">
        <v>105</v>
      </c>
      <c r="AA679" s="9" t="s">
        <v>71</v>
      </c>
      <c r="AB679" s="9" t="s">
        <v>61</v>
      </c>
      <c r="AD679" s="9">
        <v>8.0</v>
      </c>
      <c r="AE679" s="9">
        <v>4.0</v>
      </c>
      <c r="AF679" s="9">
        <v>4.0</v>
      </c>
      <c r="AG679" s="12">
        <v>6000.0</v>
      </c>
      <c r="AH679" s="13"/>
    </row>
    <row r="680">
      <c r="A680" s="7">
        <v>44403.954546319444</v>
      </c>
      <c r="B680" s="8">
        <f t="shared" si="1"/>
        <v>2021</v>
      </c>
      <c r="C680" s="9" t="s">
        <v>49</v>
      </c>
      <c r="D680" s="9">
        <v>29.0</v>
      </c>
      <c r="E680" s="9" t="s">
        <v>35</v>
      </c>
      <c r="F680" s="9" t="s">
        <v>36</v>
      </c>
      <c r="G680" s="8" t="s">
        <v>50</v>
      </c>
      <c r="H680" s="9" t="s">
        <v>493</v>
      </c>
      <c r="I680" s="9" t="s">
        <v>38</v>
      </c>
      <c r="J680" s="9" t="s">
        <v>83</v>
      </c>
      <c r="K680" s="9" t="s">
        <v>66</v>
      </c>
      <c r="L680" s="9" t="s">
        <v>40</v>
      </c>
      <c r="M680" s="9" t="s">
        <v>40</v>
      </c>
      <c r="N680" s="9" t="s">
        <v>40</v>
      </c>
      <c r="Q680" s="9" t="s">
        <v>249</v>
      </c>
      <c r="R680" s="9" t="s">
        <v>42</v>
      </c>
      <c r="S680" s="10">
        <v>8000.0</v>
      </c>
      <c r="T680" s="11">
        <v>0.0</v>
      </c>
      <c r="U680" s="9">
        <v>10000.0</v>
      </c>
      <c r="V680" s="9">
        <v>24.0</v>
      </c>
      <c r="W680" s="9" t="s">
        <v>2220</v>
      </c>
      <c r="X680" s="9" t="s">
        <v>44</v>
      </c>
      <c r="Y680" s="9" t="s">
        <v>122</v>
      </c>
      <c r="Z680" s="9" t="s">
        <v>89</v>
      </c>
      <c r="AA680" s="9" t="s">
        <v>47</v>
      </c>
      <c r="AB680" s="9" t="s">
        <v>61</v>
      </c>
      <c r="AD680" s="9">
        <v>9.0</v>
      </c>
      <c r="AE680" s="9">
        <v>6.0</v>
      </c>
      <c r="AF680" s="9">
        <v>2.0</v>
      </c>
      <c r="AG680" s="12">
        <v>6000.0</v>
      </c>
      <c r="AH680" s="13"/>
    </row>
    <row r="681">
      <c r="A681" s="7">
        <v>44404.08864199074</v>
      </c>
      <c r="B681" s="8">
        <f t="shared" si="1"/>
        <v>2021</v>
      </c>
      <c r="C681" s="9" t="s">
        <v>49</v>
      </c>
      <c r="D681" s="9">
        <v>27.0</v>
      </c>
      <c r="E681" s="9" t="s">
        <v>35</v>
      </c>
      <c r="F681" s="9" t="s">
        <v>425</v>
      </c>
      <c r="G681" s="9" t="s">
        <v>2221</v>
      </c>
      <c r="H681" s="9" t="s">
        <v>2222</v>
      </c>
      <c r="I681" s="9" t="s">
        <v>38</v>
      </c>
      <c r="J681" s="9" t="s">
        <v>75</v>
      </c>
      <c r="K681" s="9" t="s">
        <v>2223</v>
      </c>
      <c r="L681" s="9" t="s">
        <v>39</v>
      </c>
      <c r="M681" s="9" t="s">
        <v>40</v>
      </c>
      <c r="N681" s="9" t="s">
        <v>40</v>
      </c>
      <c r="Q681" s="9" t="s">
        <v>128</v>
      </c>
      <c r="R681" s="9" t="s">
        <v>112</v>
      </c>
      <c r="S681" s="10">
        <v>10800.0</v>
      </c>
      <c r="T681" s="11">
        <v>40000.0</v>
      </c>
      <c r="U681" s="9">
        <v>7000.0</v>
      </c>
      <c r="V681" s="9">
        <v>14.0</v>
      </c>
      <c r="W681" s="9" t="s">
        <v>2224</v>
      </c>
      <c r="X681" s="9" t="s">
        <v>224</v>
      </c>
      <c r="Y681" s="9" t="s">
        <v>2225</v>
      </c>
      <c r="Z681" s="9" t="s">
        <v>350</v>
      </c>
      <c r="AA681" s="9" t="s">
        <v>90</v>
      </c>
      <c r="AB681" s="9" t="s">
        <v>91</v>
      </c>
      <c r="AD681" s="9">
        <v>5.0</v>
      </c>
      <c r="AE681" s="9">
        <v>4.0</v>
      </c>
      <c r="AF681" s="9">
        <v>1.0</v>
      </c>
      <c r="AG681" s="12">
        <v>6250.0</v>
      </c>
      <c r="AH681" s="13"/>
    </row>
    <row r="682">
      <c r="A682" s="7">
        <v>44412.815129421295</v>
      </c>
      <c r="B682" s="8">
        <f t="shared" si="1"/>
        <v>2021</v>
      </c>
      <c r="C682" s="9" t="s">
        <v>49</v>
      </c>
      <c r="D682" s="9">
        <v>36.0</v>
      </c>
      <c r="E682" s="9" t="s">
        <v>35</v>
      </c>
      <c r="F682" s="9" t="s">
        <v>36</v>
      </c>
      <c r="G682" s="8" t="s">
        <v>50</v>
      </c>
      <c r="H682" s="9" t="s">
        <v>1338</v>
      </c>
      <c r="I682" s="9" t="s">
        <v>38</v>
      </c>
      <c r="J682" s="9" t="s">
        <v>143</v>
      </c>
      <c r="K682" s="9" t="s">
        <v>166</v>
      </c>
      <c r="L682" s="9" t="s">
        <v>40</v>
      </c>
      <c r="M682" s="9" t="s">
        <v>39</v>
      </c>
      <c r="N682" s="9" t="s">
        <v>40</v>
      </c>
      <c r="O682" s="9" t="s">
        <v>642</v>
      </c>
      <c r="Q682" s="9" t="s">
        <v>128</v>
      </c>
      <c r="R682" s="9" t="s">
        <v>42</v>
      </c>
      <c r="S682" s="10">
        <v>6500.0</v>
      </c>
      <c r="T682" s="11">
        <v>0.0</v>
      </c>
      <c r="U682" s="9">
        <v>0.0</v>
      </c>
      <c r="V682" s="9">
        <v>12.0</v>
      </c>
      <c r="W682" s="9" t="s">
        <v>157</v>
      </c>
      <c r="X682" s="9" t="s">
        <v>2226</v>
      </c>
      <c r="Y682" s="9" t="s">
        <v>58</v>
      </c>
      <c r="Z682" s="9" t="s">
        <v>116</v>
      </c>
      <c r="AA682" s="9" t="s">
        <v>71</v>
      </c>
      <c r="AB682" s="9" t="s">
        <v>61</v>
      </c>
      <c r="AD682" s="9">
        <v>2.0</v>
      </c>
      <c r="AE682" s="9">
        <v>13.0</v>
      </c>
      <c r="AF682" s="9">
        <v>9.0</v>
      </c>
      <c r="AG682" s="12">
        <v>6500.0</v>
      </c>
      <c r="AH682" s="9" t="s">
        <v>42</v>
      </c>
    </row>
    <row r="683">
      <c r="A683" s="7">
        <v>44405.84384780093</v>
      </c>
      <c r="B683" s="8">
        <f t="shared" si="1"/>
        <v>2021</v>
      </c>
      <c r="C683" s="9" t="s">
        <v>49</v>
      </c>
      <c r="D683" s="9">
        <v>25.0</v>
      </c>
      <c r="E683" s="9" t="s">
        <v>35</v>
      </c>
      <c r="F683" s="9" t="s">
        <v>36</v>
      </c>
      <c r="G683" s="8" t="s">
        <v>50</v>
      </c>
      <c r="H683" s="9" t="s">
        <v>341</v>
      </c>
      <c r="I683" s="9" t="s">
        <v>38</v>
      </c>
      <c r="J683" s="9" t="s">
        <v>910</v>
      </c>
      <c r="K683" s="9" t="s">
        <v>66</v>
      </c>
      <c r="L683" s="9" t="s">
        <v>40</v>
      </c>
      <c r="M683" s="9" t="s">
        <v>40</v>
      </c>
      <c r="N683" s="9" t="s">
        <v>40</v>
      </c>
      <c r="Q683" s="9" t="s">
        <v>101</v>
      </c>
      <c r="R683" s="9" t="s">
        <v>42</v>
      </c>
      <c r="S683" s="10">
        <v>6500.0</v>
      </c>
      <c r="T683" s="11">
        <v>11700.0</v>
      </c>
      <c r="U683" s="9">
        <v>3000.0</v>
      </c>
      <c r="V683" s="9">
        <v>18.0</v>
      </c>
      <c r="W683" s="9" t="s">
        <v>2227</v>
      </c>
      <c r="X683" s="9" t="s">
        <v>2228</v>
      </c>
      <c r="Y683" s="9" t="s">
        <v>50</v>
      </c>
      <c r="Z683" s="9" t="s">
        <v>2229</v>
      </c>
      <c r="AA683" s="9" t="s">
        <v>81</v>
      </c>
      <c r="AB683" s="9" t="s">
        <v>91</v>
      </c>
      <c r="AD683" s="9">
        <v>7.0</v>
      </c>
      <c r="AE683" s="9">
        <v>1.0</v>
      </c>
      <c r="AF683" s="9">
        <v>1.0</v>
      </c>
      <c r="AG683" s="12">
        <v>6500.0</v>
      </c>
      <c r="AH683" s="13"/>
    </row>
    <row r="684">
      <c r="A684" s="7">
        <v>44406.576362974534</v>
      </c>
      <c r="B684" s="8">
        <f t="shared" si="1"/>
        <v>2021</v>
      </c>
      <c r="C684" s="9" t="s">
        <v>49</v>
      </c>
      <c r="D684" s="9">
        <v>35.0</v>
      </c>
      <c r="E684" s="9" t="s">
        <v>35</v>
      </c>
      <c r="F684" s="9" t="s">
        <v>1533</v>
      </c>
      <c r="G684" s="9" t="s">
        <v>1535</v>
      </c>
      <c r="H684" s="8" t="s">
        <v>37</v>
      </c>
      <c r="I684" s="9" t="s">
        <v>38</v>
      </c>
      <c r="J684" s="9" t="s">
        <v>75</v>
      </c>
      <c r="L684" s="9" t="s">
        <v>39</v>
      </c>
      <c r="M684" s="9" t="s">
        <v>40</v>
      </c>
      <c r="N684" s="9" t="s">
        <v>40</v>
      </c>
      <c r="Q684" s="9" t="s">
        <v>128</v>
      </c>
      <c r="R684" s="9" t="s">
        <v>538</v>
      </c>
      <c r="S684" s="10">
        <v>6250.0</v>
      </c>
      <c r="T684" s="11">
        <v>0.0</v>
      </c>
      <c r="U684" s="9">
        <v>0.0</v>
      </c>
      <c r="V684" s="9">
        <v>14.0</v>
      </c>
      <c r="W684" s="9" t="s">
        <v>2230</v>
      </c>
      <c r="X684" s="9" t="s">
        <v>2231</v>
      </c>
      <c r="Y684" s="9" t="s">
        <v>1535</v>
      </c>
      <c r="Z684" s="9" t="s">
        <v>2232</v>
      </c>
      <c r="AA684" s="9" t="s">
        <v>71</v>
      </c>
      <c r="AB684" s="9" t="s">
        <v>61</v>
      </c>
      <c r="AD684" s="9">
        <v>8.0</v>
      </c>
      <c r="AE684" s="9">
        <v>4.0</v>
      </c>
      <c r="AF684" s="9">
        <v>1.0</v>
      </c>
      <c r="AG684" s="12">
        <v>6666.0</v>
      </c>
      <c r="AH684" s="9" t="s">
        <v>538</v>
      </c>
    </row>
    <row r="685">
      <c r="A685" s="7">
        <v>44579.57986916667</v>
      </c>
      <c r="B685" s="8">
        <f t="shared" si="1"/>
        <v>2022</v>
      </c>
      <c r="C685" s="9" t="s">
        <v>49</v>
      </c>
      <c r="D685" s="9">
        <v>41.0</v>
      </c>
      <c r="E685" s="9" t="s">
        <v>35</v>
      </c>
      <c r="F685" s="9" t="s">
        <v>2233</v>
      </c>
      <c r="G685" s="9" t="s">
        <v>2234</v>
      </c>
      <c r="H685" s="9" t="s">
        <v>2235</v>
      </c>
      <c r="I685" s="9" t="s">
        <v>247</v>
      </c>
      <c r="J685" s="9" t="s">
        <v>83</v>
      </c>
      <c r="K685" s="9" t="s">
        <v>2236</v>
      </c>
      <c r="L685" s="9" t="s">
        <v>40</v>
      </c>
      <c r="M685" s="9" t="s">
        <v>40</v>
      </c>
      <c r="N685" s="9" t="s">
        <v>40</v>
      </c>
      <c r="Q685" s="9" t="s">
        <v>119</v>
      </c>
      <c r="R685" s="9" t="s">
        <v>2237</v>
      </c>
      <c r="S685" s="10">
        <v>12000.0</v>
      </c>
      <c r="T685" s="11">
        <v>30000.0</v>
      </c>
      <c r="U685" s="9">
        <v>7000.0</v>
      </c>
      <c r="V685" s="9">
        <v>25.0</v>
      </c>
      <c r="W685" s="9" t="s">
        <v>2238</v>
      </c>
      <c r="X685" s="9" t="s">
        <v>2239</v>
      </c>
      <c r="Y685" s="9" t="s">
        <v>2240</v>
      </c>
      <c r="Z685" s="9" t="s">
        <v>423</v>
      </c>
      <c r="AA685" s="9" t="s">
        <v>81</v>
      </c>
      <c r="AB685" s="9" t="s">
        <v>61</v>
      </c>
      <c r="AC685" s="9" t="s">
        <v>2241</v>
      </c>
      <c r="AD685" s="9">
        <v>8.0</v>
      </c>
      <c r="AE685" s="9">
        <v>7.0</v>
      </c>
      <c r="AF685" s="9">
        <v>4.0</v>
      </c>
      <c r="AG685" s="12">
        <v>7000.0</v>
      </c>
      <c r="AH685" s="9" t="s">
        <v>2237</v>
      </c>
    </row>
    <row r="686">
      <c r="A686" s="7">
        <v>44420.5477321412</v>
      </c>
      <c r="B686" s="8">
        <f t="shared" si="1"/>
        <v>2021</v>
      </c>
      <c r="C686" s="9" t="s">
        <v>73</v>
      </c>
      <c r="D686" s="9">
        <v>33.0</v>
      </c>
      <c r="E686" s="9" t="s">
        <v>35</v>
      </c>
      <c r="F686" s="9" t="s">
        <v>36</v>
      </c>
      <c r="G686" s="8" t="s">
        <v>50</v>
      </c>
      <c r="H686" s="8" t="s">
        <v>180</v>
      </c>
      <c r="I686" s="9" t="s">
        <v>107</v>
      </c>
      <c r="J686" s="9" t="s">
        <v>83</v>
      </c>
      <c r="K686" s="9" t="s">
        <v>66</v>
      </c>
      <c r="L686" s="9" t="s">
        <v>39</v>
      </c>
      <c r="M686" s="9" t="s">
        <v>40</v>
      </c>
      <c r="N686" s="9" t="s">
        <v>40</v>
      </c>
      <c r="Q686" s="9" t="s">
        <v>2242</v>
      </c>
      <c r="R686" s="9" t="s">
        <v>42</v>
      </c>
      <c r="S686" s="10">
        <v>8150.0</v>
      </c>
      <c r="T686" s="11">
        <v>7900.0</v>
      </c>
      <c r="U686" s="9">
        <v>0.0</v>
      </c>
      <c r="V686" s="9">
        <v>14.0</v>
      </c>
      <c r="W686" s="9" t="s">
        <v>2243</v>
      </c>
      <c r="X686" s="9" t="s">
        <v>2244</v>
      </c>
      <c r="Y686" s="9" t="s">
        <v>246</v>
      </c>
      <c r="Z686" s="9" t="s">
        <v>2245</v>
      </c>
      <c r="AA686" s="9" t="s">
        <v>47</v>
      </c>
      <c r="AB686" s="9" t="s">
        <v>61</v>
      </c>
      <c r="AD686" s="9">
        <v>8.0</v>
      </c>
      <c r="AE686" s="9">
        <v>4.0</v>
      </c>
      <c r="AF686" s="9">
        <v>0.0</v>
      </c>
      <c r="AG686" s="12">
        <v>7000.0</v>
      </c>
      <c r="AH686" s="13"/>
    </row>
    <row r="687">
      <c r="A687" s="7">
        <v>44495.91755572917</v>
      </c>
      <c r="B687" s="8">
        <f t="shared" si="1"/>
        <v>2021</v>
      </c>
      <c r="C687" s="9" t="s">
        <v>49</v>
      </c>
      <c r="D687" s="9">
        <v>26.0</v>
      </c>
      <c r="E687" s="9" t="s">
        <v>35</v>
      </c>
      <c r="F687" s="9" t="s">
        <v>36</v>
      </c>
      <c r="G687" s="9" t="s">
        <v>37</v>
      </c>
      <c r="H687" s="8" t="s">
        <v>37</v>
      </c>
      <c r="I687" s="9" t="s">
        <v>247</v>
      </c>
      <c r="L687" s="9" t="s">
        <v>39</v>
      </c>
      <c r="M687" s="9" t="s">
        <v>39</v>
      </c>
      <c r="N687" s="9" t="s">
        <v>40</v>
      </c>
      <c r="Q687" s="9" t="s">
        <v>128</v>
      </c>
      <c r="R687" s="9" t="s">
        <v>42</v>
      </c>
      <c r="S687" s="10">
        <v>7000.0</v>
      </c>
      <c r="T687" s="11">
        <v>5000.0</v>
      </c>
      <c r="U687" s="9">
        <v>7000.0</v>
      </c>
      <c r="V687" s="9">
        <v>20.0</v>
      </c>
      <c r="W687" s="9" t="s">
        <v>2246</v>
      </c>
      <c r="X687" s="9" t="s">
        <v>2247</v>
      </c>
      <c r="Y687" s="9" t="s">
        <v>122</v>
      </c>
      <c r="Z687" s="9" t="s">
        <v>59</v>
      </c>
      <c r="AA687" s="9" t="s">
        <v>60</v>
      </c>
      <c r="AB687" s="9" t="s">
        <v>91</v>
      </c>
      <c r="AD687" s="9">
        <v>8.0</v>
      </c>
      <c r="AE687" s="9">
        <v>5.0</v>
      </c>
      <c r="AF687" s="9">
        <v>1.0</v>
      </c>
      <c r="AG687" s="12">
        <v>7000.0</v>
      </c>
      <c r="AH687" s="13"/>
    </row>
    <row r="688">
      <c r="A688" s="7">
        <v>44404.59182295139</v>
      </c>
      <c r="B688" s="8">
        <f t="shared" si="1"/>
        <v>2021</v>
      </c>
      <c r="C688" s="9" t="s">
        <v>49</v>
      </c>
      <c r="D688" s="9">
        <v>27.0</v>
      </c>
      <c r="E688" s="9" t="s">
        <v>2248</v>
      </c>
      <c r="F688" s="9" t="s">
        <v>36</v>
      </c>
      <c r="G688" s="8" t="s">
        <v>124</v>
      </c>
      <c r="H688" s="9" t="s">
        <v>206</v>
      </c>
      <c r="I688" s="9" t="s">
        <v>38</v>
      </c>
      <c r="J688" s="9" t="s">
        <v>75</v>
      </c>
      <c r="K688" s="9" t="s">
        <v>2249</v>
      </c>
      <c r="L688" s="9" t="s">
        <v>39</v>
      </c>
      <c r="M688" s="9" t="s">
        <v>40</v>
      </c>
      <c r="N688" s="9" t="s">
        <v>40</v>
      </c>
      <c r="Q688" s="9" t="s">
        <v>101</v>
      </c>
      <c r="R688" s="9" t="s">
        <v>42</v>
      </c>
      <c r="S688" s="10">
        <v>9000.0</v>
      </c>
      <c r="T688" s="11">
        <v>0.0</v>
      </c>
      <c r="U688" s="9">
        <v>0.0</v>
      </c>
      <c r="V688" s="9">
        <v>14.0</v>
      </c>
      <c r="W688" s="9" t="s">
        <v>1044</v>
      </c>
      <c r="X688" s="9" t="s">
        <v>2250</v>
      </c>
      <c r="Y688" s="9" t="s">
        <v>122</v>
      </c>
      <c r="Z688" s="9" t="s">
        <v>59</v>
      </c>
      <c r="AA688" s="9" t="s">
        <v>132</v>
      </c>
      <c r="AB688" s="9" t="s">
        <v>61</v>
      </c>
      <c r="AD688" s="9">
        <v>5.0</v>
      </c>
      <c r="AE688" s="9">
        <v>4.0</v>
      </c>
      <c r="AF688" s="9">
        <v>1.0</v>
      </c>
      <c r="AG688" s="12">
        <v>7000.0</v>
      </c>
      <c r="AH688" s="13"/>
    </row>
    <row r="689">
      <c r="A689" s="7">
        <v>44403.926726562495</v>
      </c>
      <c r="B689" s="8">
        <f t="shared" si="1"/>
        <v>2021</v>
      </c>
      <c r="C689" s="9" t="s">
        <v>49</v>
      </c>
      <c r="D689" s="9">
        <v>22.0</v>
      </c>
      <c r="E689" s="9" t="s">
        <v>35</v>
      </c>
      <c r="F689" s="9" t="s">
        <v>246</v>
      </c>
      <c r="G689" s="9" t="s">
        <v>246</v>
      </c>
      <c r="H689" s="8" t="s">
        <v>37</v>
      </c>
      <c r="I689" s="9" t="s">
        <v>38</v>
      </c>
      <c r="J689" s="9" t="s">
        <v>220</v>
      </c>
      <c r="K689" s="9" t="s">
        <v>2251</v>
      </c>
      <c r="L689" s="9" t="s">
        <v>39</v>
      </c>
      <c r="M689" s="9" t="s">
        <v>40</v>
      </c>
      <c r="N689" s="9" t="s">
        <v>40</v>
      </c>
      <c r="Q689" s="9" t="s">
        <v>128</v>
      </c>
      <c r="R689" s="9" t="s">
        <v>250</v>
      </c>
      <c r="S689" s="10">
        <v>7000.0</v>
      </c>
      <c r="T689" s="11">
        <v>10500.0</v>
      </c>
      <c r="U689" s="9">
        <v>0.0</v>
      </c>
      <c r="V689" s="9">
        <v>18.0</v>
      </c>
      <c r="W689" s="9" t="s">
        <v>2252</v>
      </c>
      <c r="X689" s="9" t="s">
        <v>2253</v>
      </c>
      <c r="Y689" s="9" t="s">
        <v>246</v>
      </c>
      <c r="Z689" s="9" t="s">
        <v>297</v>
      </c>
      <c r="AA689" s="9" t="s">
        <v>90</v>
      </c>
      <c r="AB689" s="9" t="s">
        <v>91</v>
      </c>
      <c r="AD689" s="9">
        <v>8.0</v>
      </c>
      <c r="AE689" s="9">
        <v>0.0</v>
      </c>
      <c r="AF689" s="9">
        <v>0.0</v>
      </c>
      <c r="AG689" s="12">
        <v>7000.0</v>
      </c>
      <c r="AH689" s="13"/>
    </row>
    <row r="690">
      <c r="A690" s="7">
        <v>44404.05505734954</v>
      </c>
      <c r="B690" s="8">
        <f t="shared" si="1"/>
        <v>2021</v>
      </c>
      <c r="C690" s="9" t="s">
        <v>49</v>
      </c>
      <c r="D690" s="9">
        <v>33.0</v>
      </c>
      <c r="E690" s="9" t="s">
        <v>2254</v>
      </c>
      <c r="F690" s="9" t="s">
        <v>36</v>
      </c>
      <c r="G690" s="9" t="s">
        <v>124</v>
      </c>
      <c r="H690" s="9" t="s">
        <v>156</v>
      </c>
      <c r="I690" s="9" t="s">
        <v>38</v>
      </c>
      <c r="J690" s="9" t="s">
        <v>2255</v>
      </c>
      <c r="K690" s="9" t="s">
        <v>959</v>
      </c>
      <c r="L690" s="9" t="s">
        <v>40</v>
      </c>
      <c r="M690" s="9" t="s">
        <v>40</v>
      </c>
      <c r="N690" s="9" t="s">
        <v>40</v>
      </c>
      <c r="Q690" s="9" t="s">
        <v>182</v>
      </c>
      <c r="R690" s="9" t="s">
        <v>42</v>
      </c>
      <c r="S690" s="10">
        <v>19000.0</v>
      </c>
      <c r="T690" s="11" t="s">
        <v>37</v>
      </c>
      <c r="V690" s="9">
        <v>20.0</v>
      </c>
      <c r="W690" s="9" t="s">
        <v>2256</v>
      </c>
      <c r="X690" s="9" t="s">
        <v>2257</v>
      </c>
      <c r="Y690" s="9" t="s">
        <v>2258</v>
      </c>
      <c r="Z690" s="9" t="s">
        <v>97</v>
      </c>
      <c r="AA690" s="9" t="s">
        <v>60</v>
      </c>
      <c r="AB690" s="9" t="s">
        <v>133</v>
      </c>
      <c r="AC690" s="9" t="s">
        <v>2259</v>
      </c>
      <c r="AD690" s="9">
        <v>5.0</v>
      </c>
      <c r="AE690" s="9">
        <v>6.0</v>
      </c>
      <c r="AF690" s="9">
        <v>3.0</v>
      </c>
      <c r="AG690" s="12">
        <v>7000.0</v>
      </c>
      <c r="AH690" s="13"/>
    </row>
    <row r="691">
      <c r="A691" s="7">
        <v>44403.93577327546</v>
      </c>
      <c r="B691" s="8">
        <f t="shared" si="1"/>
        <v>2021</v>
      </c>
      <c r="C691" s="9" t="s">
        <v>49</v>
      </c>
      <c r="D691" s="9">
        <v>43.0</v>
      </c>
      <c r="E691" s="9" t="s">
        <v>35</v>
      </c>
      <c r="F691" s="9" t="s">
        <v>36</v>
      </c>
      <c r="G691" s="8" t="s">
        <v>50</v>
      </c>
      <c r="H691" s="9" t="s">
        <v>117</v>
      </c>
      <c r="I691" s="9" t="s">
        <v>38</v>
      </c>
      <c r="J691" s="9" t="s">
        <v>126</v>
      </c>
      <c r="K691" s="9" t="s">
        <v>2260</v>
      </c>
      <c r="L691" s="9" t="s">
        <v>40</v>
      </c>
      <c r="M691" s="9" t="s">
        <v>40</v>
      </c>
      <c r="N691" s="9" t="s">
        <v>40</v>
      </c>
      <c r="Q691" s="8" t="s">
        <v>255</v>
      </c>
      <c r="R691" s="9" t="s">
        <v>42</v>
      </c>
      <c r="S691" s="10">
        <v>7000.0</v>
      </c>
      <c r="T691" s="11">
        <v>0.0</v>
      </c>
      <c r="U691" s="9">
        <v>0.0</v>
      </c>
      <c r="V691" s="9">
        <v>22.0</v>
      </c>
      <c r="W691" s="9" t="s">
        <v>2261</v>
      </c>
      <c r="X691" s="9" t="s">
        <v>2262</v>
      </c>
      <c r="Y691" s="9" t="s">
        <v>1952</v>
      </c>
      <c r="Z691" s="9" t="s">
        <v>481</v>
      </c>
      <c r="AA691" s="9" t="s">
        <v>47</v>
      </c>
      <c r="AB691" s="9" t="s">
        <v>61</v>
      </c>
      <c r="AD691" s="9">
        <v>7.0</v>
      </c>
      <c r="AE691" s="9">
        <v>6.0</v>
      </c>
      <c r="AF691" s="9">
        <v>0.0</v>
      </c>
      <c r="AG691" s="12">
        <v>7000.0</v>
      </c>
      <c r="AH691" s="13"/>
    </row>
    <row r="692">
      <c r="A692" s="7">
        <v>44629.447824814815</v>
      </c>
      <c r="B692" s="8">
        <f t="shared" si="1"/>
        <v>2022</v>
      </c>
      <c r="C692" s="9" t="s">
        <v>49</v>
      </c>
      <c r="D692" s="9">
        <v>30.0</v>
      </c>
      <c r="E692" s="9" t="s">
        <v>35</v>
      </c>
      <c r="F692" s="9" t="s">
        <v>36</v>
      </c>
      <c r="G692" s="8" t="s">
        <v>74</v>
      </c>
      <c r="H692" s="8" t="s">
        <v>74</v>
      </c>
      <c r="I692" s="9" t="s">
        <v>38</v>
      </c>
      <c r="J692" s="9" t="s">
        <v>75</v>
      </c>
      <c r="K692" s="9" t="s">
        <v>327</v>
      </c>
      <c r="L692" s="9" t="s">
        <v>39</v>
      </c>
      <c r="M692" s="9" t="s">
        <v>40</v>
      </c>
      <c r="N692" s="9" t="s">
        <v>39</v>
      </c>
      <c r="P692" s="9" t="s">
        <v>398</v>
      </c>
      <c r="Q692" s="9" t="s">
        <v>146</v>
      </c>
      <c r="R692" s="9" t="s">
        <v>42</v>
      </c>
      <c r="S692" s="10">
        <v>7200.0</v>
      </c>
      <c r="T692" s="11">
        <v>4000.0</v>
      </c>
      <c r="V692" s="9">
        <v>16.0</v>
      </c>
      <c r="W692" s="9" t="s">
        <v>2263</v>
      </c>
      <c r="X692" s="9" t="s">
        <v>2264</v>
      </c>
      <c r="Y692" s="9" t="s">
        <v>79</v>
      </c>
      <c r="Z692" s="9" t="s">
        <v>80</v>
      </c>
      <c r="AA692" s="9" t="s">
        <v>90</v>
      </c>
      <c r="AB692" s="9" t="s">
        <v>61</v>
      </c>
      <c r="AD692" s="9">
        <v>8.0</v>
      </c>
      <c r="AE692" s="9">
        <v>5.0</v>
      </c>
      <c r="AF692" s="9">
        <v>1.0</v>
      </c>
      <c r="AG692" s="12">
        <v>7200.0</v>
      </c>
      <c r="AH692" s="13"/>
    </row>
    <row r="693">
      <c r="A693" s="7">
        <v>44404.416745486116</v>
      </c>
      <c r="B693" s="8">
        <f t="shared" si="1"/>
        <v>2021</v>
      </c>
      <c r="C693" s="9" t="s">
        <v>49</v>
      </c>
      <c r="D693" s="9">
        <v>24.0</v>
      </c>
      <c r="E693" s="9" t="s">
        <v>35</v>
      </c>
      <c r="F693" s="9" t="s">
        <v>36</v>
      </c>
      <c r="G693" s="8" t="s">
        <v>124</v>
      </c>
      <c r="H693" s="9" t="s">
        <v>156</v>
      </c>
      <c r="I693" s="9" t="s">
        <v>38</v>
      </c>
      <c r="J693" s="9" t="s">
        <v>75</v>
      </c>
      <c r="K693" s="9" t="s">
        <v>234</v>
      </c>
      <c r="L693" s="9" t="s">
        <v>39</v>
      </c>
      <c r="M693" s="9" t="s">
        <v>40</v>
      </c>
      <c r="N693" s="9" t="s">
        <v>40</v>
      </c>
      <c r="Q693" s="9" t="s">
        <v>2265</v>
      </c>
      <c r="R693" s="9" t="s">
        <v>42</v>
      </c>
      <c r="S693" s="10">
        <v>7200.0</v>
      </c>
      <c r="T693" s="11">
        <v>0.0</v>
      </c>
      <c r="U693" s="9">
        <v>0.0</v>
      </c>
      <c r="V693" s="9">
        <v>12.0</v>
      </c>
      <c r="W693" s="9" t="s">
        <v>2266</v>
      </c>
      <c r="X693" s="9" t="s">
        <v>2267</v>
      </c>
      <c r="Y693" s="9" t="s">
        <v>2163</v>
      </c>
      <c r="Z693" s="9" t="s">
        <v>59</v>
      </c>
      <c r="AA693" s="9" t="s">
        <v>60</v>
      </c>
      <c r="AB693" s="9" t="s">
        <v>133</v>
      </c>
      <c r="AD693" s="9">
        <v>7.0</v>
      </c>
      <c r="AE693" s="9">
        <v>2.0</v>
      </c>
      <c r="AF693" s="9">
        <v>1.0</v>
      </c>
      <c r="AG693" s="12">
        <v>7200.0</v>
      </c>
      <c r="AH693" s="13"/>
    </row>
    <row r="694">
      <c r="A694" s="7">
        <v>44636.75542260417</v>
      </c>
      <c r="B694" s="8">
        <f t="shared" si="1"/>
        <v>2022</v>
      </c>
      <c r="C694" s="9" t="s">
        <v>49</v>
      </c>
      <c r="D694" s="9">
        <v>26.0</v>
      </c>
      <c r="E694" s="9" t="s">
        <v>35</v>
      </c>
      <c r="F694" s="9" t="s">
        <v>36</v>
      </c>
      <c r="G694" s="8" t="s">
        <v>50</v>
      </c>
      <c r="H694" s="9" t="s">
        <v>106</v>
      </c>
      <c r="I694" s="9" t="s">
        <v>38</v>
      </c>
      <c r="J694" s="9" t="s">
        <v>160</v>
      </c>
      <c r="K694" s="9" t="s">
        <v>161</v>
      </c>
      <c r="L694" s="9" t="s">
        <v>39</v>
      </c>
      <c r="M694" s="9" t="s">
        <v>40</v>
      </c>
      <c r="N694" s="9" t="s">
        <v>40</v>
      </c>
      <c r="Q694" s="9" t="s">
        <v>152</v>
      </c>
      <c r="R694" s="9" t="s">
        <v>42</v>
      </c>
      <c r="S694" s="10">
        <v>7500.0</v>
      </c>
      <c r="T694" s="11">
        <v>7500.0</v>
      </c>
      <c r="U694" s="9">
        <v>0.0</v>
      </c>
      <c r="V694" s="9">
        <v>15.0</v>
      </c>
      <c r="W694" s="9" t="s">
        <v>2268</v>
      </c>
      <c r="X694" s="9" t="s">
        <v>2269</v>
      </c>
      <c r="Y694" s="9" t="s">
        <v>124</v>
      </c>
      <c r="Z694" s="9" t="s">
        <v>59</v>
      </c>
      <c r="AA694" s="9" t="s">
        <v>90</v>
      </c>
      <c r="AB694" s="9" t="s">
        <v>61</v>
      </c>
      <c r="AD694" s="9">
        <v>9.0</v>
      </c>
      <c r="AE694" s="9">
        <v>3.0</v>
      </c>
      <c r="AF694" s="9">
        <v>2.0</v>
      </c>
      <c r="AG694" s="12">
        <v>7500.0</v>
      </c>
      <c r="AH694" s="13"/>
    </row>
    <row r="695">
      <c r="A695" s="7">
        <v>44446.79455309028</v>
      </c>
      <c r="B695" s="8">
        <f t="shared" si="1"/>
        <v>2021</v>
      </c>
      <c r="C695" s="9" t="s">
        <v>49</v>
      </c>
      <c r="D695" s="9">
        <v>28.0</v>
      </c>
      <c r="E695" s="9" t="s">
        <v>35</v>
      </c>
      <c r="F695" s="9" t="s">
        <v>36</v>
      </c>
      <c r="G695" s="8" t="s">
        <v>124</v>
      </c>
      <c r="H695" s="9" t="s">
        <v>296</v>
      </c>
      <c r="I695" s="9" t="s">
        <v>38</v>
      </c>
      <c r="J695" s="9" t="s">
        <v>160</v>
      </c>
      <c r="K695" s="9" t="s">
        <v>161</v>
      </c>
      <c r="L695" s="9" t="s">
        <v>39</v>
      </c>
      <c r="M695" s="9" t="s">
        <v>39</v>
      </c>
      <c r="N695" s="9" t="s">
        <v>40</v>
      </c>
      <c r="O695" s="9" t="s">
        <v>2270</v>
      </c>
      <c r="Q695" s="8" t="s">
        <v>602</v>
      </c>
      <c r="R695" s="9" t="s">
        <v>538</v>
      </c>
      <c r="S695" s="10">
        <v>5566.0</v>
      </c>
      <c r="T695" s="11">
        <v>0.0</v>
      </c>
      <c r="U695" s="9">
        <v>0.0</v>
      </c>
      <c r="V695" s="9">
        <v>30.0</v>
      </c>
      <c r="W695" s="9" t="s">
        <v>1051</v>
      </c>
      <c r="X695" s="9" t="s">
        <v>2271</v>
      </c>
      <c r="Y695" s="9" t="s">
        <v>1049</v>
      </c>
      <c r="Z695" s="9" t="s">
        <v>185</v>
      </c>
      <c r="AA695" s="9" t="s">
        <v>47</v>
      </c>
      <c r="AB695" s="9" t="s">
        <v>61</v>
      </c>
      <c r="AD695" s="9">
        <v>10.0</v>
      </c>
      <c r="AE695" s="9">
        <v>5.0</v>
      </c>
      <c r="AF695" s="9">
        <v>3.0</v>
      </c>
      <c r="AG695" s="12">
        <v>7500.0</v>
      </c>
      <c r="AH695" s="13"/>
    </row>
    <row r="696">
      <c r="A696" s="7">
        <v>44638.86954407407</v>
      </c>
      <c r="B696" s="8">
        <f t="shared" si="1"/>
        <v>2022</v>
      </c>
      <c r="C696" s="9" t="s">
        <v>49</v>
      </c>
      <c r="D696" s="9">
        <v>30.0</v>
      </c>
      <c r="E696" s="9" t="s">
        <v>35</v>
      </c>
      <c r="F696" s="9" t="s">
        <v>36</v>
      </c>
      <c r="G696" s="8" t="s">
        <v>124</v>
      </c>
      <c r="H696" s="9" t="s">
        <v>206</v>
      </c>
      <c r="I696" s="9" t="s">
        <v>38</v>
      </c>
      <c r="J696" s="9" t="s">
        <v>160</v>
      </c>
      <c r="K696" s="9" t="s">
        <v>134</v>
      </c>
      <c r="L696" s="9" t="s">
        <v>39</v>
      </c>
      <c r="M696" s="9" t="s">
        <v>40</v>
      </c>
      <c r="N696" s="9" t="s">
        <v>40</v>
      </c>
      <c r="Q696" s="9" t="s">
        <v>150</v>
      </c>
      <c r="R696" s="9" t="s">
        <v>42</v>
      </c>
      <c r="S696" s="10">
        <v>8000.0</v>
      </c>
      <c r="T696" s="11">
        <v>20000.0</v>
      </c>
      <c r="V696" s="9">
        <v>12.0</v>
      </c>
      <c r="W696" s="9" t="s">
        <v>2272</v>
      </c>
      <c r="X696" s="9" t="s">
        <v>2273</v>
      </c>
      <c r="Y696" s="9" t="s">
        <v>2274</v>
      </c>
      <c r="Z696" s="9" t="s">
        <v>89</v>
      </c>
      <c r="AA696" s="9" t="s">
        <v>81</v>
      </c>
      <c r="AB696" s="9" t="s">
        <v>61</v>
      </c>
      <c r="AD696" s="9">
        <v>5.0</v>
      </c>
      <c r="AE696" s="9">
        <v>5.0</v>
      </c>
      <c r="AF696" s="9">
        <v>2.0</v>
      </c>
      <c r="AG696" s="12">
        <v>8000.0</v>
      </c>
      <c r="AH696" s="9" t="s">
        <v>42</v>
      </c>
    </row>
    <row r="697">
      <c r="A697" s="7">
        <v>44404.20817949074</v>
      </c>
      <c r="B697" s="8">
        <f t="shared" si="1"/>
        <v>2021</v>
      </c>
      <c r="C697" s="9" t="s">
        <v>49</v>
      </c>
      <c r="D697" s="9">
        <v>25.0</v>
      </c>
      <c r="E697" s="9" t="s">
        <v>35</v>
      </c>
      <c r="F697" s="9" t="s">
        <v>36</v>
      </c>
      <c r="G697" s="8" t="s">
        <v>50</v>
      </c>
      <c r="H697" s="8" t="s">
        <v>99</v>
      </c>
      <c r="I697" s="9" t="s">
        <v>118</v>
      </c>
      <c r="J697" s="9" t="s">
        <v>367</v>
      </c>
      <c r="K697" s="9" t="s">
        <v>2275</v>
      </c>
      <c r="L697" s="9" t="s">
        <v>40</v>
      </c>
      <c r="M697" s="9" t="s">
        <v>40</v>
      </c>
      <c r="N697" s="9" t="s">
        <v>40</v>
      </c>
      <c r="Q697" s="9" t="s">
        <v>746</v>
      </c>
      <c r="R697" s="9" t="s">
        <v>42</v>
      </c>
      <c r="S697" s="10">
        <v>9000.0</v>
      </c>
      <c r="T697" s="11">
        <v>0.0</v>
      </c>
      <c r="U697" s="9">
        <v>0.0</v>
      </c>
      <c r="V697" s="9">
        <v>20.0</v>
      </c>
      <c r="W697" s="9" t="s">
        <v>1051</v>
      </c>
      <c r="X697" s="9" t="s">
        <v>2276</v>
      </c>
      <c r="Y697" s="9" t="s">
        <v>122</v>
      </c>
      <c r="Z697" s="9" t="s">
        <v>70</v>
      </c>
      <c r="AA697" s="9" t="s">
        <v>132</v>
      </c>
      <c r="AB697" s="9" t="s">
        <v>61</v>
      </c>
      <c r="AC697" s="9" t="s">
        <v>2277</v>
      </c>
      <c r="AD697" s="9">
        <v>7.0</v>
      </c>
      <c r="AE697" s="9">
        <v>5.0</v>
      </c>
      <c r="AF697" s="9">
        <v>5.0</v>
      </c>
      <c r="AG697" s="12">
        <v>8000.0</v>
      </c>
      <c r="AH697" s="13"/>
    </row>
    <row r="698">
      <c r="A698" s="7">
        <v>44403.903225243055</v>
      </c>
      <c r="B698" s="8">
        <f t="shared" si="1"/>
        <v>2021</v>
      </c>
      <c r="C698" s="9" t="s">
        <v>49</v>
      </c>
      <c r="D698" s="9">
        <v>29.0</v>
      </c>
      <c r="E698" s="9" t="s">
        <v>35</v>
      </c>
      <c r="F698" s="9" t="s">
        <v>36</v>
      </c>
      <c r="G698" s="9" t="s">
        <v>124</v>
      </c>
      <c r="H698" s="9" t="s">
        <v>156</v>
      </c>
      <c r="I698" s="9" t="s">
        <v>38</v>
      </c>
      <c r="J698" s="9" t="s">
        <v>342</v>
      </c>
      <c r="K698" s="9" t="s">
        <v>959</v>
      </c>
      <c r="L698" s="9" t="s">
        <v>39</v>
      </c>
      <c r="M698" s="9" t="s">
        <v>40</v>
      </c>
      <c r="N698" s="9" t="s">
        <v>40</v>
      </c>
      <c r="Q698" s="9" t="s">
        <v>652</v>
      </c>
      <c r="R698" s="9" t="s">
        <v>42</v>
      </c>
      <c r="S698" s="10">
        <v>18000.0</v>
      </c>
      <c r="T698" s="11">
        <v>90000.0</v>
      </c>
      <c r="U698" s="9">
        <v>0.0</v>
      </c>
      <c r="V698" s="9">
        <v>30.0</v>
      </c>
      <c r="W698" s="9" t="s">
        <v>2278</v>
      </c>
      <c r="X698" s="9" t="s">
        <v>2279</v>
      </c>
      <c r="Y698" s="9" t="s">
        <v>2280</v>
      </c>
      <c r="Z698" s="9" t="s">
        <v>59</v>
      </c>
      <c r="AA698" s="9" t="s">
        <v>90</v>
      </c>
      <c r="AB698" s="9" t="s">
        <v>611</v>
      </c>
      <c r="AD698" s="9">
        <v>8.0</v>
      </c>
      <c r="AE698" s="9">
        <v>5.0</v>
      </c>
      <c r="AF698" s="9">
        <v>1.0</v>
      </c>
      <c r="AG698" s="12">
        <v>8000.0</v>
      </c>
      <c r="AH698" s="13"/>
    </row>
    <row r="699">
      <c r="A699" s="7">
        <v>44615.16998730324</v>
      </c>
      <c r="B699" s="8">
        <f t="shared" si="1"/>
        <v>2022</v>
      </c>
      <c r="C699" s="9" t="s">
        <v>49</v>
      </c>
      <c r="D699" s="9">
        <v>26.0</v>
      </c>
      <c r="E699" s="9" t="s">
        <v>35</v>
      </c>
      <c r="F699" s="9" t="s">
        <v>36</v>
      </c>
      <c r="G699" s="9" t="s">
        <v>617</v>
      </c>
      <c r="H699" s="9" t="s">
        <v>621</v>
      </c>
      <c r="I699" s="9" t="s">
        <v>118</v>
      </c>
      <c r="L699" s="9" t="s">
        <v>40</v>
      </c>
      <c r="M699" s="9" t="s">
        <v>40</v>
      </c>
      <c r="N699" s="9" t="s">
        <v>40</v>
      </c>
      <c r="Q699" s="9" t="s">
        <v>746</v>
      </c>
      <c r="R699" s="9" t="s">
        <v>42</v>
      </c>
      <c r="S699" s="10">
        <v>10000.0</v>
      </c>
      <c r="T699" s="11">
        <v>0.0</v>
      </c>
      <c r="U699" s="9">
        <v>0.0</v>
      </c>
      <c r="V699" s="9">
        <v>21.0</v>
      </c>
      <c r="W699" s="9" t="s">
        <v>2281</v>
      </c>
      <c r="X699" s="9" t="s">
        <v>2282</v>
      </c>
      <c r="Y699" s="9" t="s">
        <v>2283</v>
      </c>
      <c r="Z699" s="9" t="s">
        <v>268</v>
      </c>
      <c r="AA699" s="9" t="s">
        <v>132</v>
      </c>
      <c r="AB699" s="9" t="s">
        <v>91</v>
      </c>
      <c r="AC699" s="9" t="s">
        <v>2277</v>
      </c>
      <c r="AD699" s="9">
        <v>10.0</v>
      </c>
      <c r="AE699" s="9">
        <v>2.0</v>
      </c>
      <c r="AF699" s="9">
        <v>5.0</v>
      </c>
      <c r="AG699" s="12">
        <v>8500.0</v>
      </c>
      <c r="AH699" s="13"/>
    </row>
    <row r="700">
      <c r="A700" s="7">
        <v>44403.90057084491</v>
      </c>
      <c r="B700" s="8">
        <f t="shared" si="1"/>
        <v>2021</v>
      </c>
      <c r="C700" s="9" t="s">
        <v>49</v>
      </c>
      <c r="D700" s="9">
        <v>29.0</v>
      </c>
      <c r="E700" s="9" t="s">
        <v>35</v>
      </c>
      <c r="F700" s="9" t="s">
        <v>36</v>
      </c>
      <c r="G700" s="8" t="s">
        <v>50</v>
      </c>
      <c r="H700" s="9" t="s">
        <v>106</v>
      </c>
      <c r="I700" s="9" t="s">
        <v>38</v>
      </c>
      <c r="J700" s="9" t="s">
        <v>126</v>
      </c>
      <c r="L700" s="9" t="s">
        <v>39</v>
      </c>
      <c r="M700" s="9" t="s">
        <v>40</v>
      </c>
      <c r="N700" s="9" t="s">
        <v>40</v>
      </c>
      <c r="Q700" s="9" t="s">
        <v>119</v>
      </c>
      <c r="R700" s="9" t="s">
        <v>42</v>
      </c>
      <c r="S700" s="10">
        <v>15000.0</v>
      </c>
      <c r="T700" s="11">
        <v>0.0</v>
      </c>
      <c r="U700" s="9">
        <v>0.0</v>
      </c>
      <c r="V700" s="9">
        <v>20.0</v>
      </c>
      <c r="W700" s="9" t="s">
        <v>2284</v>
      </c>
      <c r="X700" s="9" t="s">
        <v>2285</v>
      </c>
      <c r="Y700" s="9" t="s">
        <v>122</v>
      </c>
      <c r="Z700" s="9" t="s">
        <v>59</v>
      </c>
      <c r="AA700" s="9" t="s">
        <v>60</v>
      </c>
      <c r="AB700" s="9" t="s">
        <v>133</v>
      </c>
      <c r="AD700" s="9">
        <v>6.0</v>
      </c>
      <c r="AE700" s="9">
        <v>6.0</v>
      </c>
      <c r="AF700" s="9">
        <v>4.0</v>
      </c>
      <c r="AG700" s="12">
        <v>9000.0</v>
      </c>
      <c r="AH700" s="13"/>
    </row>
    <row r="701">
      <c r="A701" s="7">
        <v>44408.631309062504</v>
      </c>
      <c r="B701" s="8">
        <f t="shared" si="1"/>
        <v>2021</v>
      </c>
      <c r="C701" s="9" t="s">
        <v>49</v>
      </c>
      <c r="D701" s="9">
        <v>24.0</v>
      </c>
      <c r="E701" s="9" t="s">
        <v>2286</v>
      </c>
      <c r="F701" s="9" t="s">
        <v>36</v>
      </c>
      <c r="G701" s="8" t="s">
        <v>63</v>
      </c>
      <c r="H701" s="8" t="s">
        <v>64</v>
      </c>
      <c r="I701" s="9" t="s">
        <v>38</v>
      </c>
      <c r="J701" s="9" t="s">
        <v>160</v>
      </c>
      <c r="K701" s="9" t="s">
        <v>66</v>
      </c>
      <c r="L701" s="9" t="s">
        <v>39</v>
      </c>
      <c r="M701" s="9" t="s">
        <v>39</v>
      </c>
      <c r="N701" s="9" t="s">
        <v>39</v>
      </c>
      <c r="O701" s="9" t="s">
        <v>2287</v>
      </c>
      <c r="P701" s="9" t="s">
        <v>2288</v>
      </c>
      <c r="Q701" s="9" t="s">
        <v>146</v>
      </c>
      <c r="R701" s="9" t="s">
        <v>42</v>
      </c>
      <c r="S701" s="10">
        <v>2500.0</v>
      </c>
      <c r="T701" s="11">
        <v>0.0</v>
      </c>
      <c r="U701" s="9">
        <v>0.0</v>
      </c>
      <c r="V701" s="9">
        <v>0.0</v>
      </c>
      <c r="W701" s="9" t="s">
        <v>67</v>
      </c>
      <c r="X701" s="9" t="s">
        <v>2289</v>
      </c>
      <c r="Y701" s="9" t="s">
        <v>2290</v>
      </c>
      <c r="Z701" s="9" t="s">
        <v>2291</v>
      </c>
      <c r="AA701" s="9" t="s">
        <v>71</v>
      </c>
      <c r="AB701" s="9" t="s">
        <v>61</v>
      </c>
      <c r="AD701" s="9">
        <v>10.0</v>
      </c>
      <c r="AE701" s="9">
        <v>3.0</v>
      </c>
      <c r="AF701" s="9" t="s">
        <v>2292</v>
      </c>
      <c r="AG701" s="12">
        <v>10000.0</v>
      </c>
      <c r="AH701" s="9" t="s">
        <v>2293</v>
      </c>
    </row>
    <row r="702">
      <c r="A702" s="7">
        <v>44405.51802094908</v>
      </c>
      <c r="B702" s="8">
        <f t="shared" si="1"/>
        <v>2021</v>
      </c>
      <c r="C702" s="9" t="s">
        <v>49</v>
      </c>
      <c r="D702" s="9">
        <v>22.0</v>
      </c>
      <c r="E702" s="9" t="s">
        <v>35</v>
      </c>
      <c r="F702" s="9" t="s">
        <v>36</v>
      </c>
      <c r="G702" s="8" t="s">
        <v>50</v>
      </c>
      <c r="H702" s="8" t="s">
        <v>82</v>
      </c>
      <c r="I702" s="9" t="s">
        <v>38</v>
      </c>
      <c r="J702" s="9" t="s">
        <v>174</v>
      </c>
      <c r="L702" s="9" t="s">
        <v>40</v>
      </c>
      <c r="M702" s="9" t="s">
        <v>39</v>
      </c>
      <c r="N702" s="9" t="s">
        <v>40</v>
      </c>
      <c r="O702" s="9" t="s">
        <v>2294</v>
      </c>
      <c r="Q702" s="9" t="s">
        <v>584</v>
      </c>
      <c r="R702" s="9" t="s">
        <v>42</v>
      </c>
      <c r="S702" s="10">
        <v>10000.0</v>
      </c>
      <c r="T702" s="11">
        <v>0.0</v>
      </c>
      <c r="U702" s="9">
        <v>0.0</v>
      </c>
      <c r="V702" s="9">
        <v>30.0</v>
      </c>
      <c r="W702" s="9" t="s">
        <v>2295</v>
      </c>
      <c r="X702" s="9" t="s">
        <v>2296</v>
      </c>
      <c r="Y702" s="9" t="s">
        <v>131</v>
      </c>
      <c r="Z702" s="9" t="s">
        <v>59</v>
      </c>
      <c r="AA702" s="9" t="s">
        <v>71</v>
      </c>
      <c r="AB702" s="9" t="s">
        <v>61</v>
      </c>
      <c r="AD702" s="9">
        <v>10.0</v>
      </c>
      <c r="AE702" s="9">
        <v>2.0</v>
      </c>
      <c r="AF702" s="9">
        <v>0.0</v>
      </c>
      <c r="AG702" s="12">
        <v>10000.0</v>
      </c>
      <c r="AH702" s="13"/>
    </row>
    <row r="703">
      <c r="A703" s="7">
        <v>44578.999417569445</v>
      </c>
      <c r="B703" s="8">
        <f t="shared" si="1"/>
        <v>2022</v>
      </c>
      <c r="C703" s="9" t="s">
        <v>49</v>
      </c>
      <c r="D703" s="9">
        <v>37.0</v>
      </c>
      <c r="E703" s="9" t="s">
        <v>35</v>
      </c>
      <c r="F703" s="9" t="s">
        <v>36</v>
      </c>
      <c r="G703" s="8" t="s">
        <v>63</v>
      </c>
      <c r="H703" s="9" t="s">
        <v>301</v>
      </c>
      <c r="I703" s="9" t="s">
        <v>118</v>
      </c>
      <c r="J703" s="9" t="s">
        <v>367</v>
      </c>
      <c r="K703" s="9" t="s">
        <v>2297</v>
      </c>
      <c r="L703" s="9" t="s">
        <v>40</v>
      </c>
      <c r="M703" s="9" t="s">
        <v>40</v>
      </c>
      <c r="N703" s="9" t="s">
        <v>40</v>
      </c>
      <c r="Q703" s="9" t="s">
        <v>249</v>
      </c>
      <c r="R703" s="9" t="s">
        <v>42</v>
      </c>
      <c r="S703" s="10">
        <v>15000.0</v>
      </c>
      <c r="T703" s="11">
        <v>0.0</v>
      </c>
      <c r="U703" s="20">
        <v>0.05</v>
      </c>
      <c r="V703" s="9">
        <v>100.0</v>
      </c>
      <c r="W703" s="9" t="s">
        <v>2298</v>
      </c>
      <c r="X703" s="9" t="s">
        <v>2299</v>
      </c>
      <c r="Y703" s="9" t="s">
        <v>267</v>
      </c>
      <c r="Z703" s="9" t="s">
        <v>59</v>
      </c>
      <c r="AA703" s="9" t="s">
        <v>71</v>
      </c>
      <c r="AB703" s="9" t="s">
        <v>91</v>
      </c>
      <c r="AD703" s="9">
        <v>10.0</v>
      </c>
      <c r="AE703" s="9">
        <v>12.0</v>
      </c>
      <c r="AF703" s="9">
        <v>4.0</v>
      </c>
      <c r="AG703" s="12">
        <v>10000.0</v>
      </c>
      <c r="AH703" s="13"/>
    </row>
    <row r="704">
      <c r="A704" s="7">
        <v>44404.392980289354</v>
      </c>
      <c r="B704" s="8">
        <f t="shared" si="1"/>
        <v>2021</v>
      </c>
      <c r="C704" s="9" t="s">
        <v>73</v>
      </c>
      <c r="D704" s="9">
        <v>15.0</v>
      </c>
      <c r="E704" s="9" t="s">
        <v>35</v>
      </c>
      <c r="F704" s="9" t="s">
        <v>36</v>
      </c>
      <c r="G704" s="8" t="s">
        <v>124</v>
      </c>
      <c r="H704" s="9" t="s">
        <v>156</v>
      </c>
      <c r="I704" s="9" t="s">
        <v>2300</v>
      </c>
      <c r="L704" s="9" t="s">
        <v>40</v>
      </c>
      <c r="M704" s="9" t="s">
        <v>40</v>
      </c>
      <c r="N704" s="9" t="s">
        <v>40</v>
      </c>
      <c r="Q704" s="9" t="s">
        <v>128</v>
      </c>
      <c r="R704" s="9" t="s">
        <v>42</v>
      </c>
      <c r="S704" s="10">
        <v>9200000.0</v>
      </c>
      <c r="T704" s="11" t="s">
        <v>37</v>
      </c>
      <c r="V704" s="9">
        <v>12.0</v>
      </c>
      <c r="W704" s="9" t="s">
        <v>2301</v>
      </c>
      <c r="X704" s="9" t="s">
        <v>1219</v>
      </c>
      <c r="Y704" s="9" t="s">
        <v>1093</v>
      </c>
      <c r="Z704" s="9" t="s">
        <v>228</v>
      </c>
      <c r="AA704" s="9" t="s">
        <v>71</v>
      </c>
      <c r="AB704" s="9" t="s">
        <v>91</v>
      </c>
      <c r="AD704" s="9">
        <v>10.0</v>
      </c>
      <c r="AE704" s="9">
        <v>2.0</v>
      </c>
      <c r="AF704" s="9">
        <v>0.0</v>
      </c>
      <c r="AG704" s="12">
        <v>10000.0</v>
      </c>
      <c r="AH704" s="13"/>
    </row>
    <row r="705">
      <c r="A705" s="7">
        <v>44404.61237545139</v>
      </c>
      <c r="B705" s="8">
        <f t="shared" si="1"/>
        <v>2021</v>
      </c>
      <c r="C705" s="9" t="s">
        <v>49</v>
      </c>
      <c r="D705" s="9">
        <v>24.0</v>
      </c>
      <c r="E705" s="9" t="s">
        <v>35</v>
      </c>
      <c r="F705" s="9" t="s">
        <v>425</v>
      </c>
      <c r="G705" s="9" t="s">
        <v>426</v>
      </c>
      <c r="H705" s="9" t="s">
        <v>2302</v>
      </c>
      <c r="I705" s="9" t="s">
        <v>38</v>
      </c>
      <c r="J705" s="9" t="s">
        <v>75</v>
      </c>
      <c r="K705" s="9" t="s">
        <v>2303</v>
      </c>
      <c r="L705" s="9" t="s">
        <v>39</v>
      </c>
      <c r="M705" s="9" t="s">
        <v>40</v>
      </c>
      <c r="N705" s="9" t="s">
        <v>39</v>
      </c>
      <c r="P705" s="9" t="s">
        <v>1243</v>
      </c>
      <c r="Q705" s="8" t="s">
        <v>128</v>
      </c>
      <c r="R705" s="9" t="s">
        <v>112</v>
      </c>
      <c r="S705" s="10">
        <v>10000.0</v>
      </c>
      <c r="T705" s="11">
        <v>0.0</v>
      </c>
      <c r="U705" s="9">
        <v>0.0</v>
      </c>
      <c r="V705" s="9">
        <v>14.0</v>
      </c>
      <c r="W705" s="9" t="s">
        <v>2304</v>
      </c>
      <c r="X705" s="9" t="s">
        <v>2305</v>
      </c>
      <c r="Y705" s="9" t="s">
        <v>430</v>
      </c>
      <c r="Z705" s="9" t="s">
        <v>1238</v>
      </c>
      <c r="AA705" s="9" t="s">
        <v>90</v>
      </c>
      <c r="AB705" s="9" t="s">
        <v>61</v>
      </c>
      <c r="AC705" s="9" t="s">
        <v>2306</v>
      </c>
      <c r="AD705" s="9">
        <v>8.0</v>
      </c>
      <c r="AE705" s="9" t="s">
        <v>2307</v>
      </c>
      <c r="AF705" s="9" t="s">
        <v>2308</v>
      </c>
      <c r="AG705" s="12">
        <v>10000.0</v>
      </c>
      <c r="AH705" s="13"/>
    </row>
    <row r="706">
      <c r="A706" s="14">
        <v>44403.843163020836</v>
      </c>
      <c r="B706" s="8">
        <f t="shared" si="1"/>
        <v>2021</v>
      </c>
      <c r="C706" s="8" t="s">
        <v>49</v>
      </c>
      <c r="D706" s="8">
        <v>31.0</v>
      </c>
      <c r="E706" s="8" t="s">
        <v>35</v>
      </c>
      <c r="F706" s="8" t="s">
        <v>36</v>
      </c>
      <c r="G706" s="8" t="s">
        <v>50</v>
      </c>
      <c r="H706" s="8" t="s">
        <v>106</v>
      </c>
      <c r="I706" s="8" t="s">
        <v>38</v>
      </c>
      <c r="J706" s="8" t="s">
        <v>75</v>
      </c>
      <c r="K706" s="9" t="s">
        <v>200</v>
      </c>
      <c r="L706" s="8" t="s">
        <v>39</v>
      </c>
      <c r="M706" s="8" t="s">
        <v>40</v>
      </c>
      <c r="N706" s="8" t="s">
        <v>40</v>
      </c>
      <c r="O706" s="15"/>
      <c r="P706" s="15"/>
      <c r="Q706" s="9" t="s">
        <v>146</v>
      </c>
      <c r="R706" s="9" t="s">
        <v>42</v>
      </c>
      <c r="S706" s="16">
        <v>10500.0</v>
      </c>
      <c r="T706" s="17">
        <v>0.0</v>
      </c>
      <c r="U706" s="8">
        <v>0.0</v>
      </c>
      <c r="V706" s="8">
        <v>14.0</v>
      </c>
      <c r="W706" s="8" t="s">
        <v>1003</v>
      </c>
      <c r="X706" s="8" t="s">
        <v>196</v>
      </c>
      <c r="Y706" s="8" t="s">
        <v>2309</v>
      </c>
      <c r="Z706" s="8" t="s">
        <v>2310</v>
      </c>
      <c r="AA706" s="8" t="s">
        <v>132</v>
      </c>
      <c r="AB706" s="8" t="s">
        <v>61</v>
      </c>
      <c r="AC706" s="15"/>
      <c r="AD706" s="8">
        <v>8.0</v>
      </c>
      <c r="AE706" s="8">
        <v>11.0</v>
      </c>
      <c r="AF706" s="8">
        <v>4.0</v>
      </c>
      <c r="AG706" s="18">
        <v>10500.0</v>
      </c>
      <c r="AH706" s="13"/>
      <c r="AI706" s="15"/>
      <c r="AJ706" s="15"/>
      <c r="AK706" s="15"/>
      <c r="AL706" s="15"/>
      <c r="AM706" s="15"/>
      <c r="AN706" s="15"/>
    </row>
    <row r="707">
      <c r="A707" s="7">
        <v>44422.92133857639</v>
      </c>
      <c r="B707" s="8">
        <f t="shared" si="1"/>
        <v>2021</v>
      </c>
      <c r="C707" s="9" t="s">
        <v>49</v>
      </c>
      <c r="D707" s="9">
        <v>28.0</v>
      </c>
      <c r="E707" s="9" t="s">
        <v>35</v>
      </c>
      <c r="F707" s="9" t="s">
        <v>36</v>
      </c>
      <c r="G707" s="8" t="s">
        <v>124</v>
      </c>
      <c r="H707" s="8" t="s">
        <v>37</v>
      </c>
      <c r="I707" s="9" t="s">
        <v>38</v>
      </c>
      <c r="L707" s="9" t="s">
        <v>39</v>
      </c>
      <c r="M707" s="9" t="s">
        <v>40</v>
      </c>
      <c r="N707" s="9" t="s">
        <v>40</v>
      </c>
      <c r="Q707" s="9" t="s">
        <v>119</v>
      </c>
      <c r="R707" s="9" t="s">
        <v>42</v>
      </c>
      <c r="S707" s="10">
        <v>11000.0</v>
      </c>
      <c r="T707" s="11" t="s">
        <v>37</v>
      </c>
      <c r="V707" s="9">
        <v>18.0</v>
      </c>
      <c r="W707" s="9" t="s">
        <v>2311</v>
      </c>
      <c r="X707" s="9" t="s">
        <v>2312</v>
      </c>
      <c r="Y707" s="9" t="s">
        <v>58</v>
      </c>
      <c r="Z707" s="9" t="s">
        <v>59</v>
      </c>
      <c r="AA707" s="9" t="s">
        <v>81</v>
      </c>
      <c r="AB707" s="9" t="s">
        <v>611</v>
      </c>
      <c r="AD707" s="9">
        <v>7.0</v>
      </c>
      <c r="AE707" s="9">
        <v>6.0</v>
      </c>
      <c r="AF707" s="9">
        <v>2.0</v>
      </c>
      <c r="AG707" s="12">
        <v>11000.0</v>
      </c>
      <c r="AH707" s="13"/>
    </row>
    <row r="708">
      <c r="A708" s="7">
        <v>44404.03227447916</v>
      </c>
      <c r="B708" s="8">
        <f t="shared" si="1"/>
        <v>2021</v>
      </c>
      <c r="C708" s="9" t="s">
        <v>49</v>
      </c>
      <c r="D708" s="9">
        <v>30.0</v>
      </c>
      <c r="E708" s="9" t="s">
        <v>35</v>
      </c>
      <c r="F708" s="9" t="s">
        <v>36</v>
      </c>
      <c r="G708" s="8" t="s">
        <v>50</v>
      </c>
      <c r="H708" s="8" t="s">
        <v>51</v>
      </c>
      <c r="I708" s="9" t="s">
        <v>38</v>
      </c>
      <c r="J708" s="9" t="s">
        <v>220</v>
      </c>
      <c r="K708" s="9" t="s">
        <v>337</v>
      </c>
      <c r="L708" s="9" t="s">
        <v>39</v>
      </c>
      <c r="M708" s="9" t="s">
        <v>40</v>
      </c>
      <c r="N708" s="9" t="s">
        <v>40</v>
      </c>
      <c r="Q708" s="9" t="s">
        <v>308</v>
      </c>
      <c r="R708" s="9" t="s">
        <v>42</v>
      </c>
      <c r="S708" s="10">
        <v>11000.0</v>
      </c>
      <c r="T708" s="11" t="s">
        <v>37</v>
      </c>
      <c r="V708" s="9">
        <v>14.0</v>
      </c>
      <c r="W708" s="9" t="s">
        <v>2313</v>
      </c>
      <c r="X708" s="9" t="s">
        <v>224</v>
      </c>
      <c r="Y708" s="9" t="s">
        <v>349</v>
      </c>
      <c r="Z708" s="9" t="s">
        <v>59</v>
      </c>
      <c r="AA708" s="9" t="s">
        <v>71</v>
      </c>
      <c r="AB708" s="9" t="s">
        <v>61</v>
      </c>
      <c r="AD708" s="9">
        <v>6.0</v>
      </c>
      <c r="AE708" s="9">
        <v>6.0</v>
      </c>
      <c r="AF708" s="9">
        <v>3.0</v>
      </c>
      <c r="AG708" s="12">
        <v>11000.0</v>
      </c>
      <c r="AH708" s="13"/>
    </row>
    <row r="709">
      <c r="A709" s="7">
        <v>44404.54700936342</v>
      </c>
      <c r="B709" s="8">
        <f t="shared" si="1"/>
        <v>2021</v>
      </c>
      <c r="C709" s="9" t="s">
        <v>49</v>
      </c>
      <c r="D709" s="9">
        <v>32.0</v>
      </c>
      <c r="E709" s="9" t="s">
        <v>1043</v>
      </c>
      <c r="F709" s="9" t="s">
        <v>36</v>
      </c>
      <c r="G709" s="8" t="s">
        <v>50</v>
      </c>
      <c r="H709" s="9" t="s">
        <v>106</v>
      </c>
      <c r="I709" s="9" t="s">
        <v>38</v>
      </c>
      <c r="J709" s="9" t="s">
        <v>160</v>
      </c>
      <c r="L709" s="9" t="s">
        <v>39</v>
      </c>
      <c r="M709" s="9" t="s">
        <v>40</v>
      </c>
      <c r="N709" s="9" t="s">
        <v>40</v>
      </c>
      <c r="Q709" s="9" t="s">
        <v>1519</v>
      </c>
      <c r="R709" s="9" t="s">
        <v>42</v>
      </c>
      <c r="S709" s="10">
        <v>13230.0</v>
      </c>
      <c r="T709" s="11">
        <v>20000.0</v>
      </c>
      <c r="U709" s="9">
        <v>140000.0</v>
      </c>
      <c r="V709" s="9">
        <v>14.0</v>
      </c>
      <c r="W709" s="9" t="s">
        <v>2314</v>
      </c>
      <c r="X709" s="9" t="s">
        <v>865</v>
      </c>
      <c r="Y709" s="9" t="s">
        <v>325</v>
      </c>
      <c r="Z709" s="9" t="s">
        <v>350</v>
      </c>
      <c r="AA709" s="9" t="s">
        <v>90</v>
      </c>
      <c r="AB709" s="9" t="s">
        <v>611</v>
      </c>
      <c r="AD709" s="9">
        <v>8.0</v>
      </c>
      <c r="AE709" s="9">
        <v>10.0</v>
      </c>
      <c r="AF709" s="9">
        <v>8.0</v>
      </c>
      <c r="AG709" s="12">
        <v>11400.0</v>
      </c>
      <c r="AH709" s="13"/>
    </row>
    <row r="710">
      <c r="A710" s="7">
        <v>44540.969871724534</v>
      </c>
      <c r="B710" s="8">
        <f t="shared" si="1"/>
        <v>2021</v>
      </c>
      <c r="C710" s="9" t="s">
        <v>49</v>
      </c>
      <c r="D710" s="9">
        <v>37.0</v>
      </c>
      <c r="E710" s="9" t="s">
        <v>35</v>
      </c>
      <c r="F710" s="9" t="s">
        <v>36</v>
      </c>
      <c r="G710" s="8" t="s">
        <v>50</v>
      </c>
      <c r="H710" s="9" t="s">
        <v>117</v>
      </c>
      <c r="I710" s="9" t="s">
        <v>38</v>
      </c>
      <c r="J710" s="9" t="s">
        <v>160</v>
      </c>
      <c r="K710" s="9" t="s">
        <v>414</v>
      </c>
      <c r="L710" s="9" t="s">
        <v>39</v>
      </c>
      <c r="M710" s="9" t="s">
        <v>40</v>
      </c>
      <c r="N710" s="9" t="s">
        <v>40</v>
      </c>
      <c r="Q710" s="9" t="s">
        <v>128</v>
      </c>
      <c r="R710" s="9" t="s">
        <v>42</v>
      </c>
      <c r="S710" s="10">
        <v>11500.0</v>
      </c>
      <c r="T710" s="11">
        <v>11500.0</v>
      </c>
      <c r="U710" s="9">
        <v>0.0</v>
      </c>
      <c r="V710" s="9">
        <v>18.0</v>
      </c>
      <c r="W710" s="9" t="s">
        <v>2315</v>
      </c>
      <c r="X710" s="9" t="s">
        <v>1378</v>
      </c>
      <c r="Y710" s="9" t="s">
        <v>2316</v>
      </c>
      <c r="Z710" s="9" t="s">
        <v>59</v>
      </c>
      <c r="AA710" s="9" t="s">
        <v>71</v>
      </c>
      <c r="AB710" s="9" t="s">
        <v>61</v>
      </c>
      <c r="AD710" s="9">
        <v>10.0</v>
      </c>
      <c r="AE710" s="9">
        <v>11.0</v>
      </c>
      <c r="AF710" s="9">
        <v>3.0</v>
      </c>
      <c r="AG710" s="12">
        <v>11500.0</v>
      </c>
      <c r="AH710" s="9" t="s">
        <v>42</v>
      </c>
    </row>
    <row r="711">
      <c r="A711" s="7">
        <v>44423.997868819446</v>
      </c>
      <c r="B711" s="8">
        <f t="shared" si="1"/>
        <v>2021</v>
      </c>
      <c r="C711" s="9" t="s">
        <v>49</v>
      </c>
      <c r="D711" s="9">
        <v>27.0</v>
      </c>
      <c r="E711" s="9" t="s">
        <v>431</v>
      </c>
      <c r="F711" s="9" t="s">
        <v>36</v>
      </c>
      <c r="G711" s="8" t="s">
        <v>50</v>
      </c>
      <c r="H711" s="8" t="s">
        <v>99</v>
      </c>
      <c r="I711" s="9" t="s">
        <v>38</v>
      </c>
      <c r="J711" s="9" t="s">
        <v>160</v>
      </c>
      <c r="K711" s="9" t="s">
        <v>2317</v>
      </c>
      <c r="L711" s="9" t="s">
        <v>39</v>
      </c>
      <c r="M711" s="9" t="s">
        <v>40</v>
      </c>
      <c r="N711" s="9" t="s">
        <v>40</v>
      </c>
      <c r="Q711" s="9" t="s">
        <v>2318</v>
      </c>
      <c r="R711" s="9" t="s">
        <v>42</v>
      </c>
      <c r="S711" s="10">
        <v>13000.0</v>
      </c>
      <c r="T711" s="11">
        <v>60000.0</v>
      </c>
      <c r="V711" s="9">
        <v>18.0</v>
      </c>
      <c r="W711" s="9" t="s">
        <v>2319</v>
      </c>
      <c r="X711" s="9" t="s">
        <v>2320</v>
      </c>
      <c r="Y711" s="9" t="s">
        <v>2321</v>
      </c>
      <c r="Z711" s="9" t="s">
        <v>59</v>
      </c>
      <c r="AA711" s="9" t="s">
        <v>60</v>
      </c>
      <c r="AB711" s="9" t="s">
        <v>91</v>
      </c>
      <c r="AD711" s="9">
        <v>5.0</v>
      </c>
      <c r="AE711" s="9">
        <v>5.0</v>
      </c>
      <c r="AF711" s="9">
        <v>0.0</v>
      </c>
      <c r="AG711" s="12">
        <v>13000.0</v>
      </c>
      <c r="AH711" s="13"/>
    </row>
    <row r="712">
      <c r="A712" s="7">
        <v>44619.356903148146</v>
      </c>
      <c r="B712" s="8">
        <f t="shared" si="1"/>
        <v>2022</v>
      </c>
      <c r="C712" s="9" t="s">
        <v>49</v>
      </c>
      <c r="D712" s="9">
        <v>35.0</v>
      </c>
      <c r="E712" s="9" t="s">
        <v>35</v>
      </c>
      <c r="F712" s="9" t="s">
        <v>36</v>
      </c>
      <c r="G712" s="8" t="s">
        <v>164</v>
      </c>
      <c r="H712" s="9" t="s">
        <v>767</v>
      </c>
      <c r="I712" s="9" t="s">
        <v>38</v>
      </c>
      <c r="J712" s="9" t="s">
        <v>83</v>
      </c>
      <c r="K712" s="9" t="s">
        <v>166</v>
      </c>
      <c r="L712" s="9" t="s">
        <v>39</v>
      </c>
      <c r="M712" s="9" t="s">
        <v>40</v>
      </c>
      <c r="N712" s="9" t="s">
        <v>40</v>
      </c>
      <c r="Q712" s="9" t="s">
        <v>308</v>
      </c>
      <c r="R712" s="9" t="s">
        <v>42</v>
      </c>
      <c r="S712" s="10">
        <v>14300.0</v>
      </c>
      <c r="T712" s="11">
        <v>14300.0</v>
      </c>
      <c r="V712" s="9">
        <v>16.0</v>
      </c>
      <c r="W712" s="9" t="s">
        <v>2322</v>
      </c>
      <c r="X712" s="9" t="s">
        <v>2323</v>
      </c>
      <c r="Y712" s="9" t="s">
        <v>139</v>
      </c>
      <c r="Z712" s="9" t="s">
        <v>185</v>
      </c>
      <c r="AA712" s="9" t="s">
        <v>90</v>
      </c>
      <c r="AB712" s="9" t="s">
        <v>61</v>
      </c>
      <c r="AC712" s="9" t="s">
        <v>2324</v>
      </c>
      <c r="AD712" s="9">
        <v>8.0</v>
      </c>
      <c r="AE712" s="9" t="s">
        <v>2325</v>
      </c>
      <c r="AF712" s="9">
        <v>6.0</v>
      </c>
      <c r="AG712" s="12">
        <v>14300.0</v>
      </c>
      <c r="AH712" s="13"/>
    </row>
    <row r="713">
      <c r="A713" s="7">
        <v>44411.83168046296</v>
      </c>
      <c r="B713" s="8">
        <f t="shared" si="1"/>
        <v>2021</v>
      </c>
      <c r="C713" s="9" t="s">
        <v>49</v>
      </c>
      <c r="D713" s="9">
        <v>27.0</v>
      </c>
      <c r="E713" s="9" t="s">
        <v>35</v>
      </c>
      <c r="F713" s="9" t="s">
        <v>36</v>
      </c>
      <c r="G713" s="8" t="s">
        <v>124</v>
      </c>
      <c r="H713" s="9" t="s">
        <v>156</v>
      </c>
      <c r="I713" s="9" t="s">
        <v>38</v>
      </c>
      <c r="J713" s="9" t="s">
        <v>75</v>
      </c>
      <c r="K713" s="9" t="s">
        <v>2326</v>
      </c>
      <c r="L713" s="9" t="s">
        <v>39</v>
      </c>
      <c r="M713" s="9" t="s">
        <v>40</v>
      </c>
      <c r="N713" s="9" t="s">
        <v>40</v>
      </c>
      <c r="Q713" s="9" t="s">
        <v>119</v>
      </c>
      <c r="R713" s="9" t="s">
        <v>42</v>
      </c>
      <c r="S713" s="10">
        <v>16000.0</v>
      </c>
      <c r="T713" s="11" t="s">
        <v>37</v>
      </c>
      <c r="V713" s="9">
        <v>12.0</v>
      </c>
      <c r="W713" s="9" t="s">
        <v>2327</v>
      </c>
      <c r="X713" s="9" t="s">
        <v>2328</v>
      </c>
      <c r="Y713" s="9" t="s">
        <v>820</v>
      </c>
      <c r="Z713" s="9" t="s">
        <v>59</v>
      </c>
      <c r="AA713" s="9" t="s">
        <v>60</v>
      </c>
      <c r="AB713" s="9" t="s">
        <v>133</v>
      </c>
      <c r="AD713" s="9">
        <v>10.0</v>
      </c>
      <c r="AE713" s="9">
        <v>6.0</v>
      </c>
      <c r="AF713" s="9">
        <v>2.0</v>
      </c>
      <c r="AG713" s="12">
        <v>15000.0</v>
      </c>
      <c r="AH713" s="9" t="s">
        <v>42</v>
      </c>
    </row>
    <row r="714">
      <c r="A714" s="14">
        <v>44403.87064422454</v>
      </c>
      <c r="B714" s="8">
        <f t="shared" si="1"/>
        <v>2021</v>
      </c>
      <c r="C714" s="8" t="s">
        <v>49</v>
      </c>
      <c r="D714" s="8">
        <v>23.0</v>
      </c>
      <c r="E714" s="8" t="s">
        <v>35</v>
      </c>
      <c r="F714" s="8" t="s">
        <v>425</v>
      </c>
      <c r="G714" s="8" t="s">
        <v>426</v>
      </c>
      <c r="H714" s="8" t="s">
        <v>2302</v>
      </c>
      <c r="I714" s="8" t="s">
        <v>38</v>
      </c>
      <c r="J714" s="8" t="s">
        <v>75</v>
      </c>
      <c r="K714" s="9" t="s">
        <v>2329</v>
      </c>
      <c r="L714" s="8" t="s">
        <v>39</v>
      </c>
      <c r="M714" s="8" t="s">
        <v>40</v>
      </c>
      <c r="N714" s="8" t="s">
        <v>40</v>
      </c>
      <c r="O714" s="15"/>
      <c r="P714" s="15"/>
      <c r="Q714" s="8" t="s">
        <v>128</v>
      </c>
      <c r="R714" s="8" t="s">
        <v>112</v>
      </c>
      <c r="S714" s="16">
        <v>10500.0</v>
      </c>
      <c r="T714" s="17">
        <v>30000.0</v>
      </c>
      <c r="U714" s="8">
        <v>40000.0</v>
      </c>
      <c r="V714" s="8">
        <v>15.0</v>
      </c>
      <c r="W714" s="8" t="s">
        <v>2330</v>
      </c>
      <c r="X714" s="8" t="s">
        <v>1388</v>
      </c>
      <c r="Y714" s="8" t="s">
        <v>2331</v>
      </c>
      <c r="Z714" s="8" t="s">
        <v>185</v>
      </c>
      <c r="AA714" s="8" t="s">
        <v>90</v>
      </c>
      <c r="AB714" s="8" t="s">
        <v>61</v>
      </c>
      <c r="AC714" s="15"/>
      <c r="AD714" s="8">
        <v>8.0</v>
      </c>
      <c r="AE714" s="8">
        <v>1.0</v>
      </c>
      <c r="AF714" s="8">
        <v>0.0</v>
      </c>
      <c r="AG714" s="18">
        <v>15000.0</v>
      </c>
      <c r="AH714" s="13"/>
      <c r="AI714" s="15"/>
      <c r="AJ714" s="15"/>
      <c r="AK714" s="15"/>
      <c r="AL714" s="15"/>
      <c r="AM714" s="15"/>
      <c r="AN714" s="15"/>
    </row>
    <row r="715">
      <c r="A715" s="7">
        <v>44403.94407673611</v>
      </c>
      <c r="B715" s="8">
        <f t="shared" si="1"/>
        <v>2021</v>
      </c>
      <c r="C715" s="9" t="s">
        <v>49</v>
      </c>
      <c r="D715" s="9">
        <v>36.0</v>
      </c>
      <c r="E715" s="9" t="s">
        <v>35</v>
      </c>
      <c r="F715" s="9" t="s">
        <v>36</v>
      </c>
      <c r="G715" s="8" t="s">
        <v>50</v>
      </c>
      <c r="H715" s="9" t="s">
        <v>870</v>
      </c>
      <c r="I715" s="9" t="s">
        <v>38</v>
      </c>
      <c r="J715" s="9" t="s">
        <v>75</v>
      </c>
      <c r="K715" s="9" t="s">
        <v>322</v>
      </c>
      <c r="L715" s="9" t="s">
        <v>39</v>
      </c>
      <c r="M715" s="9" t="s">
        <v>40</v>
      </c>
      <c r="N715" s="9" t="s">
        <v>40</v>
      </c>
      <c r="Q715" s="9" t="s">
        <v>119</v>
      </c>
      <c r="R715" s="9" t="s">
        <v>42</v>
      </c>
      <c r="S715" s="10">
        <v>16500.0</v>
      </c>
      <c r="T715" s="11">
        <v>0.0</v>
      </c>
      <c r="U715" s="9">
        <v>0.0</v>
      </c>
      <c r="V715" s="9">
        <v>20.0</v>
      </c>
      <c r="W715" s="9" t="s">
        <v>2332</v>
      </c>
      <c r="X715" s="9" t="s">
        <v>224</v>
      </c>
      <c r="Y715" s="9" t="s">
        <v>124</v>
      </c>
      <c r="Z715" s="9" t="s">
        <v>59</v>
      </c>
      <c r="AA715" s="9" t="s">
        <v>132</v>
      </c>
      <c r="AB715" s="9" t="s">
        <v>91</v>
      </c>
      <c r="AD715" s="9">
        <v>8.0</v>
      </c>
      <c r="AE715" s="9">
        <v>12.0</v>
      </c>
      <c r="AF715" s="9">
        <v>3.0</v>
      </c>
      <c r="AG715" s="12">
        <v>16500.0</v>
      </c>
      <c r="AH715" s="13"/>
    </row>
    <row r="716">
      <c r="A716" s="7">
        <v>44577.23928159723</v>
      </c>
      <c r="B716" s="8">
        <f t="shared" si="1"/>
        <v>2022</v>
      </c>
      <c r="C716" s="9" t="s">
        <v>49</v>
      </c>
      <c r="D716" s="9">
        <v>42.0</v>
      </c>
      <c r="E716" s="9" t="s">
        <v>35</v>
      </c>
      <c r="F716" s="9" t="s">
        <v>36</v>
      </c>
      <c r="G716" s="8" t="s">
        <v>50</v>
      </c>
      <c r="H716" s="9" t="s">
        <v>106</v>
      </c>
      <c r="I716" s="9" t="s">
        <v>107</v>
      </c>
      <c r="J716" s="9" t="s">
        <v>342</v>
      </c>
      <c r="L716" s="9" t="s">
        <v>39</v>
      </c>
      <c r="M716" s="9" t="s">
        <v>40</v>
      </c>
      <c r="N716" s="9" t="s">
        <v>40</v>
      </c>
      <c r="Q716" s="9" t="s">
        <v>119</v>
      </c>
      <c r="R716" s="9" t="s">
        <v>42</v>
      </c>
      <c r="S716" s="10">
        <v>28400.0</v>
      </c>
      <c r="T716" s="11">
        <v>100000.0</v>
      </c>
      <c r="U716" s="9">
        <v>0.0</v>
      </c>
      <c r="V716" s="9">
        <v>20.0</v>
      </c>
      <c r="W716" s="9" t="s">
        <v>2333</v>
      </c>
      <c r="X716" s="9" t="s">
        <v>2334</v>
      </c>
      <c r="Y716" s="9" t="s">
        <v>2335</v>
      </c>
      <c r="Z716" s="9" t="s">
        <v>155</v>
      </c>
      <c r="AA716" s="9" t="s">
        <v>81</v>
      </c>
      <c r="AB716" s="9" t="s">
        <v>91</v>
      </c>
      <c r="AD716" s="9">
        <v>9.0</v>
      </c>
      <c r="AE716" s="9">
        <v>20.0</v>
      </c>
      <c r="AF716" s="9">
        <v>6.0</v>
      </c>
      <c r="AG716" s="12">
        <v>19400.0</v>
      </c>
      <c r="AH716" s="13"/>
    </row>
    <row r="717">
      <c r="A717" s="7">
        <v>44404.39564315972</v>
      </c>
      <c r="B717" s="8">
        <f t="shared" si="1"/>
        <v>2021</v>
      </c>
      <c r="C717" s="9" t="s">
        <v>49</v>
      </c>
      <c r="D717" s="9">
        <v>33.0</v>
      </c>
      <c r="E717" s="9" t="s">
        <v>35</v>
      </c>
      <c r="F717" s="9" t="s">
        <v>36</v>
      </c>
      <c r="G717" s="9" t="s">
        <v>37</v>
      </c>
      <c r="H717" s="9" t="s">
        <v>37</v>
      </c>
      <c r="I717" s="9" t="s">
        <v>38</v>
      </c>
      <c r="J717" s="9" t="s">
        <v>2336</v>
      </c>
      <c r="K717" s="9" t="s">
        <v>2143</v>
      </c>
      <c r="L717" s="9" t="s">
        <v>40</v>
      </c>
      <c r="M717" s="9" t="s">
        <v>40</v>
      </c>
      <c r="N717" s="9" t="s">
        <v>40</v>
      </c>
      <c r="Q717" s="9" t="s">
        <v>128</v>
      </c>
      <c r="R717" s="9" t="s">
        <v>42</v>
      </c>
      <c r="S717" s="10">
        <v>30000.0</v>
      </c>
      <c r="T717" s="11">
        <v>20000.0</v>
      </c>
      <c r="U717" s="9">
        <v>0.0</v>
      </c>
      <c r="V717" s="9">
        <v>30.0</v>
      </c>
      <c r="W717" s="9" t="s">
        <v>2337</v>
      </c>
      <c r="X717" s="9" t="s">
        <v>2338</v>
      </c>
      <c r="Y717" s="9" t="s">
        <v>2339</v>
      </c>
      <c r="Z717" s="9" t="s">
        <v>423</v>
      </c>
      <c r="AA717" s="9" t="s">
        <v>132</v>
      </c>
      <c r="AB717" s="9" t="s">
        <v>91</v>
      </c>
      <c r="AD717" s="9">
        <v>9.0</v>
      </c>
      <c r="AE717" s="9">
        <v>8.0</v>
      </c>
      <c r="AF717" s="9">
        <v>1.0</v>
      </c>
      <c r="AG717" s="12">
        <v>20000.0</v>
      </c>
      <c r="AH717" s="13"/>
    </row>
    <row r="718">
      <c r="A718" s="7">
        <v>44614.06237811343</v>
      </c>
      <c r="B718" s="8">
        <f t="shared" si="1"/>
        <v>2022</v>
      </c>
      <c r="C718" s="9" t="s">
        <v>49</v>
      </c>
      <c r="D718" s="9">
        <v>23.0</v>
      </c>
      <c r="E718" s="9" t="s">
        <v>35</v>
      </c>
      <c r="F718" s="9" t="s">
        <v>425</v>
      </c>
      <c r="G718" s="9" t="s">
        <v>426</v>
      </c>
      <c r="H718" s="8" t="s">
        <v>37</v>
      </c>
      <c r="I718" s="9" t="s">
        <v>38</v>
      </c>
      <c r="J718" s="9" t="s">
        <v>75</v>
      </c>
      <c r="L718" s="9" t="s">
        <v>39</v>
      </c>
      <c r="M718" s="9" t="s">
        <v>40</v>
      </c>
      <c r="N718" s="9" t="s">
        <v>40</v>
      </c>
      <c r="Q718" s="9" t="s">
        <v>128</v>
      </c>
      <c r="R718" s="9" t="s">
        <v>112</v>
      </c>
      <c r="S718" s="10">
        <v>10000.0</v>
      </c>
      <c r="T718" s="11">
        <v>0.0</v>
      </c>
      <c r="U718" s="9">
        <v>150000.0</v>
      </c>
      <c r="V718" s="9">
        <v>27.0</v>
      </c>
      <c r="W718" s="9" t="s">
        <v>2340</v>
      </c>
      <c r="X718" s="9" t="s">
        <v>2341</v>
      </c>
      <c r="Y718" s="9" t="s">
        <v>2342</v>
      </c>
      <c r="Z718" s="9" t="s">
        <v>2343</v>
      </c>
      <c r="AA718" s="9" t="s">
        <v>81</v>
      </c>
      <c r="AB718" s="9" t="s">
        <v>91</v>
      </c>
      <c r="AD718" s="9">
        <v>9.0</v>
      </c>
      <c r="AE718" s="9">
        <v>0.0</v>
      </c>
      <c r="AF718" s="9" t="s">
        <v>2344</v>
      </c>
      <c r="AG718" s="12">
        <v>22000.0</v>
      </c>
      <c r="AH718" s="13"/>
    </row>
    <row r="719">
      <c r="A719" s="7">
        <v>44406.510222129626</v>
      </c>
      <c r="B719" s="8">
        <f t="shared" si="1"/>
        <v>2021</v>
      </c>
      <c r="C719" s="9" t="s">
        <v>49</v>
      </c>
      <c r="D719" s="9">
        <v>20.0</v>
      </c>
      <c r="E719" s="9" t="s">
        <v>35</v>
      </c>
      <c r="F719" s="9" t="s">
        <v>445</v>
      </c>
      <c r="G719" s="9" t="s">
        <v>446</v>
      </c>
      <c r="H719" s="8" t="s">
        <v>37</v>
      </c>
      <c r="I719" s="9" t="s">
        <v>38</v>
      </c>
      <c r="J719" s="9" t="s">
        <v>75</v>
      </c>
      <c r="L719" s="9" t="s">
        <v>39</v>
      </c>
      <c r="M719" s="9" t="s">
        <v>40</v>
      </c>
      <c r="N719" s="9" t="s">
        <v>40</v>
      </c>
      <c r="Q719" s="9" t="s">
        <v>736</v>
      </c>
      <c r="R719" s="9" t="s">
        <v>449</v>
      </c>
      <c r="S719" s="10">
        <v>32000.0</v>
      </c>
      <c r="T719" s="11">
        <v>0.0</v>
      </c>
      <c r="U719" s="9">
        <v>0.0</v>
      </c>
      <c r="V719" s="9">
        <v>0.0</v>
      </c>
      <c r="W719" s="9" t="s">
        <v>269</v>
      </c>
      <c r="X719" s="23" t="s">
        <v>2345</v>
      </c>
      <c r="Y719" s="9" t="s">
        <v>2346</v>
      </c>
      <c r="Z719" s="9" t="s">
        <v>481</v>
      </c>
      <c r="AA719" s="9" t="s">
        <v>71</v>
      </c>
      <c r="AB719" s="9" t="s">
        <v>61</v>
      </c>
      <c r="AD719" s="9">
        <v>4.0</v>
      </c>
      <c r="AE719" s="9">
        <v>1.0</v>
      </c>
      <c r="AF719" s="9">
        <v>1.0</v>
      </c>
      <c r="AG719" s="12">
        <v>24000.0</v>
      </c>
      <c r="AH719" s="13"/>
    </row>
    <row r="720">
      <c r="A720" s="7">
        <v>44614.94339084491</v>
      </c>
      <c r="B720" s="8">
        <f t="shared" si="1"/>
        <v>2022</v>
      </c>
      <c r="C720" s="9" t="s">
        <v>49</v>
      </c>
      <c r="D720" s="9">
        <v>35.0</v>
      </c>
      <c r="E720" s="9" t="s">
        <v>35</v>
      </c>
      <c r="F720" s="9" t="s">
        <v>36</v>
      </c>
      <c r="G720" s="8" t="s">
        <v>50</v>
      </c>
      <c r="H720" s="9" t="s">
        <v>474</v>
      </c>
      <c r="I720" s="9" t="s">
        <v>107</v>
      </c>
      <c r="J720" s="9" t="s">
        <v>626</v>
      </c>
      <c r="K720" s="9" t="s">
        <v>2347</v>
      </c>
      <c r="L720" s="9" t="s">
        <v>39</v>
      </c>
      <c r="M720" s="9" t="s">
        <v>40</v>
      </c>
      <c r="N720" s="9" t="s">
        <v>39</v>
      </c>
      <c r="P720" s="9" t="s">
        <v>2348</v>
      </c>
      <c r="Q720" s="9" t="s">
        <v>2349</v>
      </c>
      <c r="R720" s="9" t="s">
        <v>112</v>
      </c>
      <c r="S720" s="10">
        <v>25000.0</v>
      </c>
      <c r="T720" s="11">
        <v>600000.0</v>
      </c>
      <c r="U720" s="9">
        <v>0.0</v>
      </c>
      <c r="V720" s="9">
        <v>20.0</v>
      </c>
      <c r="W720" s="9" t="s">
        <v>2350</v>
      </c>
      <c r="X720" s="9" t="s">
        <v>2351</v>
      </c>
      <c r="Y720" s="9" t="s">
        <v>139</v>
      </c>
      <c r="Z720" s="9" t="s">
        <v>197</v>
      </c>
      <c r="AA720" s="9" t="s">
        <v>90</v>
      </c>
      <c r="AB720" s="9" t="s">
        <v>61</v>
      </c>
      <c r="AD720" s="9">
        <v>9.0</v>
      </c>
      <c r="AE720" s="9">
        <v>8.0</v>
      </c>
      <c r="AF720" s="9">
        <v>6.0</v>
      </c>
      <c r="AG720" s="12">
        <v>25000.0</v>
      </c>
      <c r="AH720" s="13"/>
    </row>
    <row r="721">
      <c r="A721" s="7">
        <v>44614.43849153935</v>
      </c>
      <c r="B721" s="8">
        <f t="shared" si="1"/>
        <v>2022</v>
      </c>
      <c r="C721" s="9" t="s">
        <v>49</v>
      </c>
      <c r="D721" s="9">
        <v>28.0</v>
      </c>
      <c r="E721" s="9" t="s">
        <v>35</v>
      </c>
      <c r="F721" s="9" t="s">
        <v>445</v>
      </c>
      <c r="G721" s="9" t="s">
        <v>446</v>
      </c>
      <c r="H721" s="9" t="s">
        <v>446</v>
      </c>
      <c r="I721" s="9" t="s">
        <v>38</v>
      </c>
      <c r="J721" s="9" t="s">
        <v>2352</v>
      </c>
      <c r="K721" s="9" t="s">
        <v>2329</v>
      </c>
      <c r="L721" s="9" t="s">
        <v>39</v>
      </c>
      <c r="M721" s="9" t="s">
        <v>39</v>
      </c>
      <c r="N721" s="9" t="s">
        <v>40</v>
      </c>
      <c r="O721" s="9" t="s">
        <v>2353</v>
      </c>
      <c r="Q721" s="9" t="s">
        <v>2354</v>
      </c>
      <c r="R721" s="9" t="s">
        <v>449</v>
      </c>
      <c r="S721" s="10">
        <v>154000.0</v>
      </c>
      <c r="T721" s="11">
        <v>154000.0</v>
      </c>
      <c r="U721" s="9">
        <v>0.0</v>
      </c>
      <c r="V721" s="9">
        <v>18.0</v>
      </c>
      <c r="W721" s="9" t="s">
        <v>2355</v>
      </c>
      <c r="X721" s="9" t="s">
        <v>457</v>
      </c>
      <c r="Y721" s="9" t="s">
        <v>820</v>
      </c>
      <c r="Z721" s="9" t="s">
        <v>59</v>
      </c>
      <c r="AA721" s="9" t="s">
        <v>60</v>
      </c>
      <c r="AB721" s="9" t="s">
        <v>91</v>
      </c>
      <c r="AD721" s="9">
        <v>9.0</v>
      </c>
      <c r="AE721" s="9">
        <v>3.0</v>
      </c>
      <c r="AF721" s="9">
        <v>1.0</v>
      </c>
      <c r="AG721" s="26">
        <v>129000.0</v>
      </c>
      <c r="AH721" s="13"/>
    </row>
    <row r="722">
      <c r="A722" s="14">
        <v>44403.85472376157</v>
      </c>
      <c r="B722" s="8">
        <f t="shared" si="1"/>
        <v>2021</v>
      </c>
      <c r="C722" s="8" t="s">
        <v>49</v>
      </c>
      <c r="D722" s="8">
        <v>29.0</v>
      </c>
      <c r="E722" s="8" t="s">
        <v>35</v>
      </c>
      <c r="F722" s="8" t="s">
        <v>2356</v>
      </c>
      <c r="G722" s="8" t="s">
        <v>2357</v>
      </c>
      <c r="H722" s="8" t="s">
        <v>2357</v>
      </c>
      <c r="I722" s="8" t="s">
        <v>247</v>
      </c>
      <c r="J722" s="8" t="s">
        <v>83</v>
      </c>
      <c r="K722" s="15"/>
      <c r="L722" s="9" t="s">
        <v>39</v>
      </c>
      <c r="M722" s="8" t="s">
        <v>40</v>
      </c>
      <c r="N722" s="8" t="s">
        <v>40</v>
      </c>
      <c r="O722" s="15"/>
      <c r="P722" s="15"/>
      <c r="Q722" s="9" t="s">
        <v>146</v>
      </c>
      <c r="R722" s="8" t="s">
        <v>2358</v>
      </c>
      <c r="S722" s="16">
        <v>370000.0</v>
      </c>
      <c r="T722" s="17">
        <v>0.0</v>
      </c>
      <c r="U722" s="8">
        <v>0.0</v>
      </c>
      <c r="V722" s="8">
        <v>10.0</v>
      </c>
      <c r="W722" s="8" t="s">
        <v>2359</v>
      </c>
      <c r="X722" s="8" t="s">
        <v>2360</v>
      </c>
      <c r="Y722" s="8" t="s">
        <v>2156</v>
      </c>
      <c r="Z722" s="8" t="s">
        <v>1343</v>
      </c>
      <c r="AA722" s="8" t="s">
        <v>60</v>
      </c>
      <c r="AB722" s="8" t="s">
        <v>61</v>
      </c>
      <c r="AC722" s="15"/>
      <c r="AD722" s="8">
        <v>6.0</v>
      </c>
      <c r="AE722" s="8">
        <v>3.0</v>
      </c>
      <c r="AF722" s="8">
        <v>1.0</v>
      </c>
      <c r="AG722" s="27">
        <v>230000.0</v>
      </c>
      <c r="AH722" s="13"/>
      <c r="AI722" s="15"/>
      <c r="AJ722" s="15"/>
      <c r="AK722" s="15"/>
      <c r="AL722" s="15"/>
      <c r="AM722" s="15"/>
      <c r="AN722" s="15"/>
    </row>
    <row r="723">
      <c r="A723" s="15"/>
      <c r="B723" s="15"/>
      <c r="C723" s="15"/>
      <c r="D723" s="15"/>
      <c r="E723" s="15"/>
      <c r="F723" s="15"/>
      <c r="G723" s="15"/>
      <c r="H723" s="15"/>
      <c r="I723" s="15"/>
      <c r="J723" s="15"/>
      <c r="K723" s="15"/>
      <c r="L723" s="15"/>
      <c r="M723" s="15"/>
      <c r="N723" s="15"/>
      <c r="O723" s="15"/>
      <c r="P723" s="15"/>
      <c r="Q723" s="15"/>
      <c r="R723" s="15"/>
      <c r="S723" s="28"/>
      <c r="T723" s="15"/>
      <c r="U723" s="15"/>
      <c r="V723" s="15"/>
      <c r="W723" s="15"/>
      <c r="X723" s="15"/>
      <c r="Y723" s="15"/>
      <c r="Z723" s="15"/>
      <c r="AA723" s="15"/>
      <c r="AB723" s="15"/>
      <c r="AC723" s="15"/>
      <c r="AD723" s="15"/>
      <c r="AE723" s="15"/>
      <c r="AF723" s="15"/>
      <c r="AG723" s="29"/>
      <c r="AH723" s="15"/>
      <c r="AI723" s="15"/>
      <c r="AJ723" s="15"/>
      <c r="AK723" s="15"/>
      <c r="AL723" s="15"/>
      <c r="AM723" s="15"/>
      <c r="AN723" s="15"/>
    </row>
    <row r="724">
      <c r="A724" s="15"/>
      <c r="B724" s="15"/>
      <c r="C724" s="15"/>
      <c r="D724" s="15"/>
      <c r="E724" s="15"/>
      <c r="F724" s="15"/>
      <c r="G724" s="15"/>
      <c r="H724" s="15"/>
      <c r="I724" s="15"/>
      <c r="J724" s="15"/>
      <c r="K724" s="15"/>
      <c r="L724" s="15"/>
      <c r="M724" s="15"/>
      <c r="N724" s="15"/>
      <c r="O724" s="15"/>
      <c r="P724" s="15"/>
      <c r="Q724" s="15"/>
      <c r="R724" s="15"/>
      <c r="S724" s="28"/>
      <c r="T724" s="15"/>
      <c r="U724" s="15"/>
      <c r="V724" s="15"/>
      <c r="W724" s="15"/>
      <c r="X724" s="15"/>
      <c r="Y724" s="15"/>
      <c r="Z724" s="15"/>
      <c r="AA724" s="15"/>
      <c r="AB724" s="15"/>
      <c r="AC724" s="15"/>
      <c r="AD724" s="15"/>
      <c r="AE724" s="15"/>
      <c r="AF724" s="15"/>
      <c r="AG724" s="29"/>
      <c r="AH724" s="15"/>
      <c r="AI724" s="15"/>
      <c r="AJ724" s="15"/>
      <c r="AK724" s="15"/>
      <c r="AL724" s="15"/>
      <c r="AM724" s="15"/>
      <c r="AN724" s="15"/>
    </row>
    <row r="725">
      <c r="A725" s="15"/>
      <c r="B725" s="15"/>
      <c r="C725" s="15"/>
      <c r="D725" s="15"/>
      <c r="E725" s="15"/>
      <c r="F725" s="15"/>
      <c r="G725" s="15"/>
      <c r="H725" s="15"/>
      <c r="I725" s="15"/>
      <c r="J725" s="15"/>
      <c r="K725" s="15"/>
      <c r="L725" s="15"/>
      <c r="M725" s="15"/>
      <c r="N725" s="15"/>
      <c r="O725" s="15"/>
      <c r="P725" s="15"/>
      <c r="Q725" s="15"/>
      <c r="R725" s="15"/>
      <c r="S725" s="28"/>
      <c r="T725" s="15"/>
      <c r="U725" s="15"/>
      <c r="V725" s="15"/>
      <c r="W725" s="15"/>
      <c r="X725" s="15"/>
      <c r="Y725" s="15"/>
      <c r="Z725" s="15"/>
      <c r="AA725" s="15"/>
      <c r="AB725" s="15"/>
      <c r="AC725" s="15"/>
      <c r="AD725" s="15"/>
      <c r="AE725" s="15"/>
      <c r="AF725" s="15"/>
      <c r="AG725" s="29"/>
      <c r="AH725" s="15"/>
      <c r="AI725" s="15"/>
      <c r="AJ725" s="15"/>
      <c r="AK725" s="15"/>
      <c r="AL725" s="15"/>
      <c r="AM725" s="15"/>
      <c r="AN725" s="15"/>
    </row>
    <row r="726">
      <c r="A726" s="15"/>
      <c r="B726" s="15"/>
      <c r="C726" s="15"/>
      <c r="D726" s="15"/>
      <c r="E726" s="15"/>
      <c r="F726" s="15"/>
      <c r="G726" s="15"/>
      <c r="H726" s="15"/>
      <c r="I726" s="15"/>
      <c r="J726" s="15"/>
      <c r="K726" s="15"/>
      <c r="L726" s="15"/>
      <c r="M726" s="15"/>
      <c r="N726" s="15"/>
      <c r="O726" s="15"/>
      <c r="P726" s="15"/>
      <c r="Q726" s="15"/>
      <c r="R726" s="15"/>
      <c r="S726" s="28"/>
      <c r="T726" s="15"/>
      <c r="U726" s="15"/>
      <c r="V726" s="15"/>
      <c r="W726" s="15"/>
      <c r="X726" s="15"/>
      <c r="Y726" s="15"/>
      <c r="Z726" s="15"/>
      <c r="AA726" s="15"/>
      <c r="AB726" s="15"/>
      <c r="AC726" s="15"/>
      <c r="AD726" s="15"/>
      <c r="AE726" s="15"/>
      <c r="AF726" s="15"/>
      <c r="AG726" s="29"/>
      <c r="AH726" s="15"/>
      <c r="AI726" s="15"/>
      <c r="AJ726" s="15"/>
      <c r="AK726" s="15"/>
      <c r="AL726" s="15"/>
      <c r="AM726" s="15"/>
      <c r="AN726" s="15"/>
    </row>
    <row r="727">
      <c r="A727" s="15"/>
      <c r="B727" s="15"/>
      <c r="C727" s="15"/>
      <c r="D727" s="15"/>
      <c r="E727" s="15"/>
      <c r="F727" s="15"/>
      <c r="G727" s="15"/>
      <c r="H727" s="15"/>
      <c r="I727" s="15"/>
      <c r="J727" s="15"/>
      <c r="K727" s="15"/>
      <c r="L727" s="15"/>
      <c r="M727" s="15"/>
      <c r="N727" s="15"/>
      <c r="O727" s="15"/>
      <c r="P727" s="15"/>
      <c r="Q727" s="15"/>
      <c r="R727" s="15"/>
      <c r="S727" s="28"/>
      <c r="T727" s="15"/>
      <c r="U727" s="15"/>
      <c r="V727" s="15"/>
      <c r="W727" s="15"/>
      <c r="X727" s="15"/>
      <c r="Y727" s="15"/>
      <c r="Z727" s="15"/>
      <c r="AA727" s="15"/>
      <c r="AB727" s="15"/>
      <c r="AC727" s="15"/>
      <c r="AD727" s="15"/>
      <c r="AE727" s="15"/>
      <c r="AF727" s="15"/>
      <c r="AG727" s="29"/>
      <c r="AH727" s="15"/>
      <c r="AI727" s="15"/>
      <c r="AJ727" s="15"/>
      <c r="AK727" s="15"/>
      <c r="AL727" s="15"/>
      <c r="AM727" s="15"/>
      <c r="AN727" s="15"/>
    </row>
    <row r="728">
      <c r="A728" s="15"/>
      <c r="B728" s="15"/>
      <c r="C728" s="15"/>
      <c r="D728" s="15"/>
      <c r="E728" s="15"/>
      <c r="F728" s="15"/>
      <c r="G728" s="15"/>
      <c r="H728" s="15"/>
      <c r="I728" s="15"/>
      <c r="J728" s="15"/>
      <c r="K728" s="15"/>
      <c r="L728" s="15"/>
      <c r="M728" s="15"/>
      <c r="N728" s="15"/>
      <c r="O728" s="15"/>
      <c r="P728" s="15"/>
      <c r="Q728" s="15"/>
      <c r="R728" s="15"/>
      <c r="S728" s="28"/>
      <c r="T728" s="15"/>
      <c r="U728" s="15"/>
      <c r="V728" s="15"/>
      <c r="W728" s="15"/>
      <c r="X728" s="15"/>
      <c r="Y728" s="15"/>
      <c r="Z728" s="15"/>
      <c r="AA728" s="15"/>
      <c r="AB728" s="15"/>
      <c r="AC728" s="15"/>
      <c r="AD728" s="15"/>
      <c r="AE728" s="15"/>
      <c r="AF728" s="15"/>
      <c r="AG728" s="29"/>
      <c r="AH728" s="15"/>
      <c r="AI728" s="15"/>
      <c r="AJ728" s="15"/>
      <c r="AK728" s="15"/>
      <c r="AL728" s="15"/>
      <c r="AM728" s="15"/>
      <c r="AN728" s="15"/>
    </row>
    <row r="729">
      <c r="A729" s="15"/>
      <c r="B729" s="15"/>
      <c r="C729" s="15"/>
      <c r="D729" s="15"/>
      <c r="E729" s="15"/>
      <c r="F729" s="15"/>
      <c r="G729" s="15"/>
      <c r="H729" s="15"/>
      <c r="I729" s="15"/>
      <c r="J729" s="15"/>
      <c r="K729" s="15"/>
      <c r="L729" s="15"/>
      <c r="M729" s="15"/>
      <c r="N729" s="15"/>
      <c r="O729" s="15"/>
      <c r="P729" s="15"/>
      <c r="Q729" s="15"/>
      <c r="R729" s="15"/>
      <c r="S729" s="28"/>
      <c r="T729" s="15"/>
      <c r="U729" s="15"/>
      <c r="V729" s="15"/>
      <c r="W729" s="15"/>
      <c r="X729" s="15"/>
      <c r="Y729" s="15"/>
      <c r="Z729" s="15"/>
      <c r="AA729" s="15"/>
      <c r="AB729" s="15"/>
      <c r="AC729" s="15"/>
      <c r="AD729" s="15"/>
      <c r="AE729" s="15"/>
      <c r="AF729" s="15"/>
      <c r="AG729" s="29"/>
      <c r="AH729" s="15"/>
      <c r="AI729" s="15"/>
      <c r="AJ729" s="15"/>
      <c r="AK729" s="15"/>
      <c r="AL729" s="15"/>
      <c r="AM729" s="15"/>
      <c r="AN729" s="15"/>
    </row>
    <row r="730">
      <c r="A730" s="15"/>
      <c r="B730" s="15"/>
      <c r="C730" s="15"/>
      <c r="D730" s="15"/>
      <c r="E730" s="15"/>
      <c r="F730" s="15"/>
      <c r="G730" s="15"/>
      <c r="H730" s="15"/>
      <c r="I730" s="15"/>
      <c r="J730" s="15"/>
      <c r="K730" s="15"/>
      <c r="L730" s="15"/>
      <c r="M730" s="15"/>
      <c r="N730" s="15"/>
      <c r="O730" s="15"/>
      <c r="P730" s="15"/>
      <c r="Q730" s="15"/>
      <c r="R730" s="15"/>
      <c r="S730" s="28"/>
      <c r="T730" s="15"/>
      <c r="U730" s="15"/>
      <c r="V730" s="15"/>
      <c r="W730" s="15"/>
      <c r="X730" s="15"/>
      <c r="Y730" s="15"/>
      <c r="Z730" s="15"/>
      <c r="AA730" s="15"/>
      <c r="AB730" s="15"/>
      <c r="AC730" s="15"/>
      <c r="AD730" s="15"/>
      <c r="AE730" s="15"/>
      <c r="AF730" s="15"/>
      <c r="AG730" s="29"/>
      <c r="AH730" s="15"/>
      <c r="AI730" s="15"/>
      <c r="AJ730" s="15"/>
      <c r="AK730" s="15"/>
      <c r="AL730" s="15"/>
      <c r="AM730" s="15"/>
      <c r="AN730" s="15"/>
    </row>
    <row r="731">
      <c r="A731" s="15"/>
      <c r="B731" s="15"/>
      <c r="C731" s="15"/>
      <c r="D731" s="15"/>
      <c r="E731" s="15"/>
      <c r="F731" s="15"/>
      <c r="G731" s="15"/>
      <c r="H731" s="15"/>
      <c r="I731" s="15"/>
      <c r="J731" s="15"/>
      <c r="K731" s="15"/>
      <c r="L731" s="15"/>
      <c r="M731" s="15"/>
      <c r="N731" s="15"/>
      <c r="O731" s="15"/>
      <c r="P731" s="15"/>
      <c r="Q731" s="15"/>
      <c r="R731" s="15"/>
      <c r="S731" s="28"/>
      <c r="T731" s="15"/>
      <c r="U731" s="15"/>
      <c r="V731" s="15"/>
      <c r="W731" s="15"/>
      <c r="X731" s="15"/>
      <c r="Y731" s="15"/>
      <c r="Z731" s="15"/>
      <c r="AA731" s="15"/>
      <c r="AB731" s="15"/>
      <c r="AC731" s="15"/>
      <c r="AD731" s="15"/>
      <c r="AE731" s="15"/>
      <c r="AF731" s="15"/>
      <c r="AG731" s="29"/>
      <c r="AH731" s="15"/>
      <c r="AI731" s="15"/>
      <c r="AJ731" s="15"/>
      <c r="AK731" s="15"/>
      <c r="AL731" s="15"/>
      <c r="AM731" s="15"/>
      <c r="AN731" s="15"/>
    </row>
    <row r="732">
      <c r="A732" s="15"/>
      <c r="B732" s="15"/>
      <c r="C732" s="15"/>
      <c r="D732" s="15"/>
      <c r="E732" s="15"/>
      <c r="F732" s="15"/>
      <c r="G732" s="15"/>
      <c r="H732" s="15"/>
      <c r="I732" s="15"/>
      <c r="J732" s="15"/>
      <c r="K732" s="15"/>
      <c r="L732" s="15"/>
      <c r="M732" s="15"/>
      <c r="N732" s="15"/>
      <c r="O732" s="15"/>
      <c r="P732" s="15"/>
      <c r="Q732" s="15"/>
      <c r="R732" s="15"/>
      <c r="S732" s="28"/>
      <c r="T732" s="15"/>
      <c r="U732" s="15"/>
      <c r="V732" s="15"/>
      <c r="W732" s="15"/>
      <c r="X732" s="15"/>
      <c r="Y732" s="15"/>
      <c r="Z732" s="15"/>
      <c r="AA732" s="15"/>
      <c r="AB732" s="15"/>
      <c r="AC732" s="15"/>
      <c r="AD732" s="15"/>
      <c r="AE732" s="15"/>
      <c r="AF732" s="15"/>
      <c r="AG732" s="29"/>
      <c r="AH732" s="15"/>
      <c r="AI732" s="15"/>
      <c r="AJ732" s="15"/>
      <c r="AK732" s="15"/>
      <c r="AL732" s="15"/>
      <c r="AM732" s="15"/>
      <c r="AN732" s="15"/>
    </row>
    <row r="733">
      <c r="A733" s="15"/>
      <c r="B733" s="15"/>
      <c r="C733" s="15"/>
      <c r="D733" s="15"/>
      <c r="E733" s="15"/>
      <c r="F733" s="15"/>
      <c r="G733" s="15"/>
      <c r="H733" s="15"/>
      <c r="I733" s="15"/>
      <c r="J733" s="15"/>
      <c r="K733" s="15"/>
      <c r="L733" s="15"/>
      <c r="M733" s="15"/>
      <c r="N733" s="15"/>
      <c r="O733" s="15"/>
      <c r="P733" s="15"/>
      <c r="Q733" s="15"/>
      <c r="R733" s="15"/>
      <c r="S733" s="28"/>
      <c r="T733" s="15"/>
      <c r="U733" s="15"/>
      <c r="V733" s="15"/>
      <c r="W733" s="15"/>
      <c r="X733" s="15"/>
      <c r="Y733" s="15"/>
      <c r="Z733" s="15"/>
      <c r="AA733" s="15"/>
      <c r="AB733" s="15"/>
      <c r="AC733" s="15"/>
      <c r="AD733" s="15"/>
      <c r="AE733" s="15"/>
      <c r="AF733" s="15"/>
      <c r="AG733" s="29"/>
      <c r="AH733" s="15"/>
      <c r="AI733" s="15"/>
      <c r="AJ733" s="15"/>
      <c r="AK733" s="15"/>
      <c r="AL733" s="15"/>
      <c r="AM733" s="15"/>
      <c r="AN733" s="15"/>
    </row>
    <row r="734">
      <c r="A734" s="15"/>
      <c r="B734" s="15"/>
      <c r="C734" s="15"/>
      <c r="D734" s="15"/>
      <c r="E734" s="15"/>
      <c r="F734" s="15"/>
      <c r="G734" s="15"/>
      <c r="H734" s="15"/>
      <c r="I734" s="15"/>
      <c r="J734" s="15"/>
      <c r="K734" s="15"/>
      <c r="L734" s="15"/>
      <c r="M734" s="15"/>
      <c r="N734" s="15"/>
      <c r="O734" s="15"/>
      <c r="P734" s="15"/>
      <c r="Q734" s="15"/>
      <c r="R734" s="15"/>
      <c r="S734" s="28"/>
      <c r="T734" s="15"/>
      <c r="U734" s="15"/>
      <c r="V734" s="15"/>
      <c r="W734" s="15"/>
      <c r="X734" s="15"/>
      <c r="Y734" s="15"/>
      <c r="Z734" s="15"/>
      <c r="AA734" s="15"/>
      <c r="AB734" s="15"/>
      <c r="AC734" s="15"/>
      <c r="AD734" s="15"/>
      <c r="AE734" s="15"/>
      <c r="AF734" s="15"/>
      <c r="AG734" s="29"/>
      <c r="AH734" s="15"/>
      <c r="AI734" s="15"/>
      <c r="AJ734" s="15"/>
      <c r="AK734" s="15"/>
      <c r="AL734" s="15"/>
      <c r="AM734" s="15"/>
      <c r="AN734" s="15"/>
    </row>
    <row r="735">
      <c r="A735" s="15"/>
      <c r="B735" s="15"/>
      <c r="C735" s="15"/>
      <c r="D735" s="15"/>
      <c r="E735" s="15"/>
      <c r="F735" s="15"/>
      <c r="G735" s="15"/>
      <c r="H735" s="15"/>
      <c r="I735" s="15"/>
      <c r="J735" s="15"/>
      <c r="K735" s="15"/>
      <c r="L735" s="15"/>
      <c r="M735" s="15"/>
      <c r="N735" s="15"/>
      <c r="O735" s="15"/>
      <c r="P735" s="15"/>
      <c r="Q735" s="15"/>
      <c r="R735" s="15"/>
      <c r="S735" s="28"/>
      <c r="T735" s="15"/>
      <c r="U735" s="15"/>
      <c r="V735" s="15"/>
      <c r="W735" s="15"/>
      <c r="X735" s="15"/>
      <c r="Y735" s="15"/>
      <c r="Z735" s="15"/>
      <c r="AA735" s="15"/>
      <c r="AB735" s="15"/>
      <c r="AC735" s="15"/>
      <c r="AD735" s="15"/>
      <c r="AE735" s="15"/>
      <c r="AF735" s="15"/>
      <c r="AG735" s="29"/>
      <c r="AH735" s="15"/>
      <c r="AI735" s="15"/>
      <c r="AJ735" s="15"/>
      <c r="AK735" s="15"/>
      <c r="AL735" s="15"/>
      <c r="AM735" s="15"/>
      <c r="AN735" s="15"/>
    </row>
    <row r="736">
      <c r="A736" s="15"/>
      <c r="B736" s="15"/>
      <c r="C736" s="15"/>
      <c r="D736" s="15"/>
      <c r="E736" s="15"/>
      <c r="F736" s="15"/>
      <c r="G736" s="15"/>
      <c r="H736" s="15"/>
      <c r="I736" s="15"/>
      <c r="J736" s="15"/>
      <c r="K736" s="15"/>
      <c r="L736" s="15"/>
      <c r="M736" s="15"/>
      <c r="N736" s="15"/>
      <c r="O736" s="15"/>
      <c r="P736" s="15"/>
      <c r="Q736" s="15"/>
      <c r="R736" s="15"/>
      <c r="S736" s="28"/>
      <c r="T736" s="15"/>
      <c r="U736" s="15"/>
      <c r="V736" s="15"/>
      <c r="W736" s="15"/>
      <c r="X736" s="15"/>
      <c r="Y736" s="15"/>
      <c r="Z736" s="15"/>
      <c r="AA736" s="15"/>
      <c r="AB736" s="15"/>
      <c r="AC736" s="15"/>
      <c r="AD736" s="15"/>
      <c r="AE736" s="15"/>
      <c r="AF736" s="15"/>
      <c r="AG736" s="29"/>
      <c r="AH736" s="15"/>
      <c r="AI736" s="15"/>
      <c r="AJ736" s="15"/>
      <c r="AK736" s="15"/>
      <c r="AL736" s="15"/>
      <c r="AM736" s="15"/>
      <c r="AN736" s="15"/>
    </row>
    <row r="737">
      <c r="A737" s="15"/>
      <c r="B737" s="15"/>
      <c r="C737" s="15"/>
      <c r="D737" s="15"/>
      <c r="E737" s="15"/>
      <c r="F737" s="15"/>
      <c r="G737" s="15"/>
      <c r="H737" s="15"/>
      <c r="I737" s="15"/>
      <c r="J737" s="15"/>
      <c r="K737" s="15"/>
      <c r="L737" s="15"/>
      <c r="M737" s="15"/>
      <c r="N737" s="15"/>
      <c r="O737" s="15"/>
      <c r="P737" s="15"/>
      <c r="Q737" s="15"/>
      <c r="R737" s="15"/>
      <c r="S737" s="28"/>
      <c r="T737" s="15"/>
      <c r="U737" s="15"/>
      <c r="V737" s="15"/>
      <c r="W737" s="15"/>
      <c r="X737" s="15"/>
      <c r="Y737" s="15"/>
      <c r="Z737" s="15"/>
      <c r="AA737" s="15"/>
      <c r="AB737" s="15"/>
      <c r="AC737" s="15"/>
      <c r="AD737" s="15"/>
      <c r="AE737" s="15"/>
      <c r="AF737" s="15"/>
      <c r="AG737" s="29"/>
      <c r="AH737" s="15"/>
      <c r="AI737" s="15"/>
      <c r="AJ737" s="15"/>
      <c r="AK737" s="15"/>
      <c r="AL737" s="15"/>
      <c r="AM737" s="15"/>
      <c r="AN737" s="15"/>
    </row>
    <row r="738">
      <c r="A738" s="15"/>
      <c r="B738" s="15"/>
      <c r="C738" s="15"/>
      <c r="D738" s="15"/>
      <c r="E738" s="15"/>
      <c r="F738" s="15"/>
      <c r="G738" s="15"/>
      <c r="H738" s="15"/>
      <c r="I738" s="15"/>
      <c r="J738" s="15"/>
      <c r="K738" s="15"/>
      <c r="L738" s="15"/>
      <c r="M738" s="15"/>
      <c r="N738" s="15"/>
      <c r="O738" s="15"/>
      <c r="P738" s="15"/>
      <c r="Q738" s="15"/>
      <c r="R738" s="15"/>
      <c r="S738" s="28"/>
      <c r="T738" s="15"/>
      <c r="U738" s="15"/>
      <c r="V738" s="15"/>
      <c r="W738" s="15"/>
      <c r="X738" s="15"/>
      <c r="Y738" s="15"/>
      <c r="Z738" s="15"/>
      <c r="AA738" s="15"/>
      <c r="AB738" s="15"/>
      <c r="AC738" s="15"/>
      <c r="AD738" s="15"/>
      <c r="AE738" s="15"/>
      <c r="AF738" s="15"/>
      <c r="AG738" s="29"/>
      <c r="AH738" s="15"/>
      <c r="AI738" s="15"/>
      <c r="AJ738" s="15"/>
      <c r="AK738" s="15"/>
      <c r="AL738" s="15"/>
      <c r="AM738" s="15"/>
      <c r="AN738" s="15"/>
    </row>
    <row r="739">
      <c r="A739" s="15"/>
      <c r="B739" s="15"/>
      <c r="C739" s="15"/>
      <c r="D739" s="15"/>
      <c r="E739" s="15"/>
      <c r="F739" s="15"/>
      <c r="G739" s="15"/>
      <c r="H739" s="15"/>
      <c r="I739" s="15"/>
      <c r="J739" s="15"/>
      <c r="K739" s="15"/>
      <c r="L739" s="15"/>
      <c r="M739" s="15"/>
      <c r="N739" s="15"/>
      <c r="O739" s="15"/>
      <c r="P739" s="15"/>
      <c r="Q739" s="15"/>
      <c r="R739" s="15"/>
      <c r="S739" s="28"/>
      <c r="T739" s="15"/>
      <c r="U739" s="15"/>
      <c r="V739" s="15"/>
      <c r="W739" s="15"/>
      <c r="X739" s="15"/>
      <c r="Y739" s="15"/>
      <c r="Z739" s="15"/>
      <c r="AA739" s="15"/>
      <c r="AB739" s="15"/>
      <c r="AC739" s="15"/>
      <c r="AD739" s="15"/>
      <c r="AE739" s="15"/>
      <c r="AF739" s="15"/>
      <c r="AG739" s="29"/>
      <c r="AH739" s="15"/>
      <c r="AI739" s="15"/>
      <c r="AJ739" s="15"/>
      <c r="AK739" s="15"/>
      <c r="AL739" s="15"/>
      <c r="AM739" s="15"/>
      <c r="AN739" s="15"/>
    </row>
    <row r="740">
      <c r="A740" s="15"/>
      <c r="B740" s="15"/>
      <c r="C740" s="15"/>
      <c r="D740" s="15"/>
      <c r="E740" s="15"/>
      <c r="F740" s="15"/>
      <c r="G740" s="15"/>
      <c r="H740" s="15"/>
      <c r="I740" s="15"/>
      <c r="J740" s="15"/>
      <c r="K740" s="15"/>
      <c r="L740" s="15"/>
      <c r="M740" s="15"/>
      <c r="N740" s="15"/>
      <c r="O740" s="15"/>
      <c r="P740" s="15"/>
      <c r="Q740" s="15"/>
      <c r="R740" s="15"/>
      <c r="S740" s="28"/>
      <c r="T740" s="15"/>
      <c r="U740" s="15"/>
      <c r="V740" s="15"/>
      <c r="W740" s="15"/>
      <c r="X740" s="15"/>
      <c r="Y740" s="15"/>
      <c r="Z740" s="15"/>
      <c r="AA740" s="15"/>
      <c r="AB740" s="15"/>
      <c r="AC740" s="15"/>
      <c r="AD740" s="15"/>
      <c r="AE740" s="15"/>
      <c r="AF740" s="15"/>
      <c r="AG740" s="29"/>
      <c r="AH740" s="15"/>
      <c r="AI740" s="15"/>
      <c r="AJ740" s="15"/>
      <c r="AK740" s="15"/>
      <c r="AL740" s="15"/>
      <c r="AM740" s="15"/>
      <c r="AN740" s="15"/>
    </row>
    <row r="741">
      <c r="A741" s="15"/>
      <c r="B741" s="15"/>
      <c r="C741" s="15"/>
      <c r="D741" s="15"/>
      <c r="E741" s="15"/>
      <c r="F741" s="15"/>
      <c r="G741" s="15"/>
      <c r="H741" s="15"/>
      <c r="I741" s="15"/>
      <c r="J741" s="15"/>
      <c r="K741" s="15"/>
      <c r="L741" s="15"/>
      <c r="M741" s="15"/>
      <c r="N741" s="15"/>
      <c r="O741" s="15"/>
      <c r="P741" s="15"/>
      <c r="Q741" s="15"/>
      <c r="R741" s="15"/>
      <c r="S741" s="28"/>
      <c r="T741" s="15"/>
      <c r="U741" s="15"/>
      <c r="V741" s="15"/>
      <c r="W741" s="15"/>
      <c r="X741" s="15"/>
      <c r="Y741" s="15"/>
      <c r="Z741" s="15"/>
      <c r="AA741" s="15"/>
      <c r="AB741" s="15"/>
      <c r="AC741" s="15"/>
      <c r="AD741" s="15"/>
      <c r="AE741" s="15"/>
      <c r="AF741" s="15"/>
      <c r="AG741" s="29"/>
      <c r="AH741" s="15"/>
      <c r="AI741" s="15"/>
      <c r="AJ741" s="15"/>
      <c r="AK741" s="15"/>
      <c r="AL741" s="15"/>
      <c r="AM741" s="15"/>
      <c r="AN741" s="15"/>
    </row>
    <row r="742">
      <c r="A742" s="15"/>
      <c r="B742" s="15"/>
      <c r="C742" s="15"/>
      <c r="D742" s="15"/>
      <c r="E742" s="15"/>
      <c r="F742" s="15"/>
      <c r="G742" s="15"/>
      <c r="H742" s="15"/>
      <c r="I742" s="15"/>
      <c r="J742" s="15"/>
      <c r="K742" s="15"/>
      <c r="L742" s="15"/>
      <c r="M742" s="15"/>
      <c r="N742" s="15"/>
      <c r="O742" s="15"/>
      <c r="P742" s="15"/>
      <c r="Q742" s="15"/>
      <c r="R742" s="15"/>
      <c r="S742" s="28"/>
      <c r="T742" s="15"/>
      <c r="U742" s="15"/>
      <c r="V742" s="15"/>
      <c r="W742" s="15"/>
      <c r="X742" s="15"/>
      <c r="Y742" s="15"/>
      <c r="Z742" s="15"/>
      <c r="AA742" s="15"/>
      <c r="AB742" s="15"/>
      <c r="AC742" s="15"/>
      <c r="AD742" s="15"/>
      <c r="AE742" s="15"/>
      <c r="AF742" s="15"/>
      <c r="AG742" s="29"/>
      <c r="AH742" s="15"/>
      <c r="AI742" s="15"/>
      <c r="AJ742" s="15"/>
      <c r="AK742" s="15"/>
      <c r="AL742" s="15"/>
      <c r="AM742" s="15"/>
      <c r="AN742" s="15"/>
    </row>
    <row r="743">
      <c r="A743" s="15"/>
      <c r="B743" s="15"/>
      <c r="C743" s="15"/>
      <c r="D743" s="15"/>
      <c r="E743" s="15"/>
      <c r="F743" s="15"/>
      <c r="G743" s="15"/>
      <c r="H743" s="15"/>
      <c r="I743" s="15"/>
      <c r="J743" s="15"/>
      <c r="K743" s="15"/>
      <c r="L743" s="15"/>
      <c r="M743" s="15"/>
      <c r="N743" s="15"/>
      <c r="O743" s="15"/>
      <c r="P743" s="15"/>
      <c r="Q743" s="15"/>
      <c r="R743" s="15"/>
      <c r="S743" s="28"/>
      <c r="T743" s="15"/>
      <c r="U743" s="15"/>
      <c r="V743" s="15"/>
      <c r="W743" s="15"/>
      <c r="X743" s="15"/>
      <c r="Y743" s="15"/>
      <c r="Z743" s="15"/>
      <c r="AA743" s="15"/>
      <c r="AB743" s="15"/>
      <c r="AC743" s="15"/>
      <c r="AD743" s="15"/>
      <c r="AE743" s="15"/>
      <c r="AF743" s="15"/>
      <c r="AG743" s="29"/>
      <c r="AH743" s="15"/>
      <c r="AI743" s="15"/>
      <c r="AJ743" s="15"/>
      <c r="AK743" s="15"/>
      <c r="AL743" s="15"/>
      <c r="AM743" s="15"/>
      <c r="AN743" s="15"/>
    </row>
    <row r="744">
      <c r="A744" s="15"/>
      <c r="B744" s="15"/>
      <c r="C744" s="15"/>
      <c r="D744" s="15"/>
      <c r="E744" s="15"/>
      <c r="F744" s="15"/>
      <c r="G744" s="15"/>
      <c r="H744" s="15"/>
      <c r="I744" s="15"/>
      <c r="J744" s="15"/>
      <c r="K744" s="15"/>
      <c r="L744" s="15"/>
      <c r="M744" s="15"/>
      <c r="N744" s="15"/>
      <c r="O744" s="15"/>
      <c r="P744" s="15"/>
      <c r="Q744" s="15"/>
      <c r="R744" s="15"/>
      <c r="S744" s="28"/>
      <c r="T744" s="15"/>
      <c r="U744" s="15"/>
      <c r="V744" s="15"/>
      <c r="W744" s="15"/>
      <c r="X744" s="15"/>
      <c r="Y744" s="15"/>
      <c r="Z744" s="15"/>
      <c r="AA744" s="15"/>
      <c r="AB744" s="15"/>
      <c r="AC744" s="15"/>
      <c r="AD744" s="15"/>
      <c r="AE744" s="15"/>
      <c r="AF744" s="15"/>
      <c r="AG744" s="29"/>
      <c r="AH744" s="15"/>
      <c r="AI744" s="15"/>
      <c r="AJ744" s="15"/>
      <c r="AK744" s="15"/>
      <c r="AL744" s="15"/>
      <c r="AM744" s="15"/>
      <c r="AN744" s="15"/>
    </row>
    <row r="745">
      <c r="A745" s="15"/>
      <c r="B745" s="15"/>
      <c r="C745" s="15"/>
      <c r="D745" s="15"/>
      <c r="E745" s="15"/>
      <c r="F745" s="15"/>
      <c r="G745" s="15"/>
      <c r="H745" s="15"/>
      <c r="I745" s="15"/>
      <c r="J745" s="15"/>
      <c r="K745" s="15"/>
      <c r="L745" s="15"/>
      <c r="M745" s="15"/>
      <c r="N745" s="15"/>
      <c r="O745" s="15"/>
      <c r="P745" s="15"/>
      <c r="Q745" s="15"/>
      <c r="R745" s="15"/>
      <c r="S745" s="28"/>
      <c r="T745" s="15"/>
      <c r="U745" s="15"/>
      <c r="V745" s="15"/>
      <c r="W745" s="15"/>
      <c r="X745" s="15"/>
      <c r="Y745" s="15"/>
      <c r="Z745" s="15"/>
      <c r="AA745" s="15"/>
      <c r="AB745" s="15"/>
      <c r="AC745" s="15"/>
      <c r="AD745" s="15"/>
      <c r="AE745" s="15"/>
      <c r="AF745" s="15"/>
      <c r="AG745" s="29"/>
      <c r="AH745" s="15"/>
      <c r="AI745" s="15"/>
      <c r="AJ745" s="15"/>
      <c r="AK745" s="15"/>
      <c r="AL745" s="15"/>
      <c r="AM745" s="15"/>
      <c r="AN745" s="15"/>
    </row>
    <row r="746">
      <c r="A746" s="15"/>
      <c r="B746" s="15"/>
      <c r="C746" s="15"/>
      <c r="D746" s="15"/>
      <c r="E746" s="15"/>
      <c r="F746" s="15"/>
      <c r="G746" s="15"/>
      <c r="H746" s="15"/>
      <c r="I746" s="15"/>
      <c r="J746" s="15"/>
      <c r="K746" s="15"/>
      <c r="L746" s="15"/>
      <c r="M746" s="15"/>
      <c r="N746" s="15"/>
      <c r="O746" s="15"/>
      <c r="P746" s="15"/>
      <c r="Q746" s="15"/>
      <c r="R746" s="15"/>
      <c r="S746" s="28"/>
      <c r="T746" s="15"/>
      <c r="U746" s="15"/>
      <c r="V746" s="15"/>
      <c r="W746" s="15"/>
      <c r="X746" s="15"/>
      <c r="Y746" s="15"/>
      <c r="Z746" s="15"/>
      <c r="AA746" s="15"/>
      <c r="AB746" s="15"/>
      <c r="AC746" s="15"/>
      <c r="AD746" s="15"/>
      <c r="AE746" s="15"/>
      <c r="AF746" s="15"/>
      <c r="AG746" s="29"/>
      <c r="AH746" s="15"/>
      <c r="AI746" s="15"/>
      <c r="AJ746" s="15"/>
      <c r="AK746" s="15"/>
      <c r="AL746" s="15"/>
      <c r="AM746" s="15"/>
      <c r="AN746" s="15"/>
    </row>
    <row r="747">
      <c r="A747" s="15"/>
      <c r="B747" s="15"/>
      <c r="C747" s="15"/>
      <c r="D747" s="15"/>
      <c r="E747" s="15"/>
      <c r="F747" s="15"/>
      <c r="G747" s="15"/>
      <c r="H747" s="15"/>
      <c r="I747" s="15"/>
      <c r="J747" s="15"/>
      <c r="K747" s="15"/>
      <c r="L747" s="15"/>
      <c r="M747" s="15"/>
      <c r="N747" s="15"/>
      <c r="O747" s="15"/>
      <c r="P747" s="15"/>
      <c r="Q747" s="15"/>
      <c r="R747" s="15"/>
      <c r="S747" s="28"/>
      <c r="T747" s="15"/>
      <c r="U747" s="15"/>
      <c r="V747" s="15"/>
      <c r="W747" s="15"/>
      <c r="X747" s="15"/>
      <c r="Y747" s="15"/>
      <c r="Z747" s="15"/>
      <c r="AA747" s="15"/>
      <c r="AB747" s="15"/>
      <c r="AC747" s="15"/>
      <c r="AD747" s="15"/>
      <c r="AE747" s="15"/>
      <c r="AF747" s="15"/>
      <c r="AG747" s="29"/>
      <c r="AH747" s="15"/>
      <c r="AI747" s="15"/>
      <c r="AJ747" s="15"/>
      <c r="AK747" s="15"/>
      <c r="AL747" s="15"/>
      <c r="AM747" s="15"/>
      <c r="AN747" s="15"/>
    </row>
    <row r="748">
      <c r="A748" s="15"/>
      <c r="B748" s="15"/>
      <c r="C748" s="15"/>
      <c r="D748" s="15"/>
      <c r="E748" s="15"/>
      <c r="F748" s="15"/>
      <c r="G748" s="15"/>
      <c r="H748" s="15"/>
      <c r="I748" s="15"/>
      <c r="J748" s="15"/>
      <c r="K748" s="15"/>
      <c r="L748" s="15"/>
      <c r="M748" s="15"/>
      <c r="N748" s="15"/>
      <c r="O748" s="15"/>
      <c r="P748" s="15"/>
      <c r="Q748" s="15"/>
      <c r="R748" s="15"/>
      <c r="S748" s="28"/>
      <c r="T748" s="15"/>
      <c r="U748" s="15"/>
      <c r="V748" s="15"/>
      <c r="W748" s="15"/>
      <c r="X748" s="15"/>
      <c r="Y748" s="15"/>
      <c r="Z748" s="15"/>
      <c r="AA748" s="15"/>
      <c r="AB748" s="15"/>
      <c r="AC748" s="15"/>
      <c r="AD748" s="15"/>
      <c r="AE748" s="15"/>
      <c r="AF748" s="15"/>
      <c r="AG748" s="29"/>
      <c r="AH748" s="15"/>
      <c r="AI748" s="15"/>
      <c r="AJ748" s="15"/>
      <c r="AK748" s="15"/>
      <c r="AL748" s="15"/>
      <c r="AM748" s="15"/>
      <c r="AN748" s="15"/>
    </row>
    <row r="749">
      <c r="A749" s="15"/>
      <c r="B749" s="15"/>
      <c r="C749" s="15"/>
      <c r="D749" s="15"/>
      <c r="E749" s="15"/>
      <c r="F749" s="15"/>
      <c r="G749" s="15"/>
      <c r="H749" s="15"/>
      <c r="I749" s="15"/>
      <c r="J749" s="15"/>
      <c r="K749" s="15"/>
      <c r="L749" s="15"/>
      <c r="M749" s="15"/>
      <c r="N749" s="15"/>
      <c r="O749" s="15"/>
      <c r="P749" s="15"/>
      <c r="Q749" s="15"/>
      <c r="R749" s="15"/>
      <c r="S749" s="28"/>
      <c r="T749" s="15"/>
      <c r="U749" s="15"/>
      <c r="V749" s="15"/>
      <c r="W749" s="15"/>
      <c r="X749" s="15"/>
      <c r="Y749" s="15"/>
      <c r="Z749" s="15"/>
      <c r="AA749" s="15"/>
      <c r="AB749" s="15"/>
      <c r="AC749" s="15"/>
      <c r="AD749" s="15"/>
      <c r="AE749" s="15"/>
      <c r="AF749" s="15"/>
      <c r="AG749" s="29"/>
      <c r="AH749" s="15"/>
      <c r="AI749" s="15"/>
      <c r="AJ749" s="15"/>
      <c r="AK749" s="15"/>
      <c r="AL749" s="15"/>
      <c r="AM749" s="15"/>
      <c r="AN749" s="15"/>
    </row>
    <row r="750">
      <c r="A750" s="15"/>
      <c r="B750" s="15"/>
      <c r="C750" s="15"/>
      <c r="D750" s="15"/>
      <c r="E750" s="15"/>
      <c r="F750" s="15"/>
      <c r="G750" s="15"/>
      <c r="H750" s="15"/>
      <c r="I750" s="15"/>
      <c r="J750" s="15"/>
      <c r="K750" s="15"/>
      <c r="L750" s="15"/>
      <c r="M750" s="15"/>
      <c r="N750" s="15"/>
      <c r="O750" s="15"/>
      <c r="P750" s="15"/>
      <c r="Q750" s="15"/>
      <c r="R750" s="15"/>
      <c r="S750" s="28"/>
      <c r="T750" s="15"/>
      <c r="U750" s="15"/>
      <c r="V750" s="15"/>
      <c r="W750" s="15"/>
      <c r="X750" s="15"/>
      <c r="Y750" s="15"/>
      <c r="Z750" s="15"/>
      <c r="AA750" s="15"/>
      <c r="AB750" s="15"/>
      <c r="AC750" s="15"/>
      <c r="AD750" s="15"/>
      <c r="AE750" s="15"/>
      <c r="AF750" s="15"/>
      <c r="AG750" s="29"/>
      <c r="AH750" s="15"/>
      <c r="AI750" s="15"/>
      <c r="AJ750" s="15"/>
      <c r="AK750" s="15"/>
      <c r="AL750" s="15"/>
      <c r="AM750" s="15"/>
      <c r="AN750" s="15"/>
    </row>
    <row r="751">
      <c r="A751" s="15"/>
      <c r="B751" s="15"/>
      <c r="C751" s="15"/>
      <c r="D751" s="15"/>
      <c r="E751" s="15"/>
      <c r="F751" s="15"/>
      <c r="G751" s="15"/>
      <c r="H751" s="15"/>
      <c r="I751" s="15"/>
      <c r="J751" s="15"/>
      <c r="K751" s="15"/>
      <c r="L751" s="15"/>
      <c r="M751" s="15"/>
      <c r="N751" s="15"/>
      <c r="O751" s="15"/>
      <c r="P751" s="15"/>
      <c r="Q751" s="15"/>
      <c r="R751" s="15"/>
      <c r="S751" s="28"/>
      <c r="T751" s="15"/>
      <c r="U751" s="15"/>
      <c r="V751" s="15"/>
      <c r="W751" s="15"/>
      <c r="X751" s="15"/>
      <c r="Y751" s="15"/>
      <c r="Z751" s="15"/>
      <c r="AA751" s="15"/>
      <c r="AB751" s="15"/>
      <c r="AC751" s="15"/>
      <c r="AD751" s="15"/>
      <c r="AE751" s="15"/>
      <c r="AF751" s="15"/>
      <c r="AG751" s="29"/>
      <c r="AH751" s="15"/>
      <c r="AI751" s="15"/>
      <c r="AJ751" s="15"/>
      <c r="AK751" s="15"/>
      <c r="AL751" s="15"/>
      <c r="AM751" s="15"/>
      <c r="AN751" s="15"/>
    </row>
    <row r="752">
      <c r="A752" s="15"/>
      <c r="B752" s="15"/>
      <c r="C752" s="15"/>
      <c r="D752" s="15"/>
      <c r="E752" s="15"/>
      <c r="F752" s="15"/>
      <c r="G752" s="15"/>
      <c r="H752" s="15"/>
      <c r="I752" s="15"/>
      <c r="J752" s="15"/>
      <c r="K752" s="15"/>
      <c r="L752" s="15"/>
      <c r="M752" s="15"/>
      <c r="N752" s="15"/>
      <c r="O752" s="15"/>
      <c r="P752" s="15"/>
      <c r="Q752" s="15"/>
      <c r="R752" s="15"/>
      <c r="S752" s="28"/>
      <c r="T752" s="15"/>
      <c r="U752" s="15"/>
      <c r="V752" s="15"/>
      <c r="W752" s="15"/>
      <c r="X752" s="15"/>
      <c r="Y752" s="15"/>
      <c r="Z752" s="15"/>
      <c r="AA752" s="15"/>
      <c r="AB752" s="15"/>
      <c r="AC752" s="15"/>
      <c r="AD752" s="15"/>
      <c r="AE752" s="15"/>
      <c r="AF752" s="15"/>
      <c r="AG752" s="29"/>
      <c r="AH752" s="15"/>
      <c r="AI752" s="15"/>
      <c r="AJ752" s="15"/>
      <c r="AK752" s="15"/>
      <c r="AL752" s="15"/>
      <c r="AM752" s="15"/>
      <c r="AN752" s="15"/>
    </row>
    <row r="753">
      <c r="A753" s="15"/>
      <c r="B753" s="15"/>
      <c r="C753" s="15"/>
      <c r="D753" s="15"/>
      <c r="E753" s="15"/>
      <c r="F753" s="15"/>
      <c r="G753" s="15"/>
      <c r="H753" s="15"/>
      <c r="I753" s="15"/>
      <c r="J753" s="15"/>
      <c r="K753" s="15"/>
      <c r="L753" s="15"/>
      <c r="M753" s="15"/>
      <c r="N753" s="15"/>
      <c r="O753" s="15"/>
      <c r="P753" s="15"/>
      <c r="Q753" s="15"/>
      <c r="R753" s="15"/>
      <c r="S753" s="28"/>
      <c r="T753" s="15"/>
      <c r="U753" s="15"/>
      <c r="V753" s="15"/>
      <c r="W753" s="15"/>
      <c r="X753" s="15"/>
      <c r="Y753" s="15"/>
      <c r="Z753" s="15"/>
      <c r="AA753" s="15"/>
      <c r="AB753" s="15"/>
      <c r="AC753" s="15"/>
      <c r="AD753" s="15"/>
      <c r="AE753" s="15"/>
      <c r="AF753" s="15"/>
      <c r="AG753" s="29"/>
      <c r="AH753" s="15"/>
      <c r="AI753" s="15"/>
      <c r="AJ753" s="15"/>
      <c r="AK753" s="15"/>
      <c r="AL753" s="15"/>
      <c r="AM753" s="15"/>
      <c r="AN753" s="15"/>
    </row>
    <row r="754">
      <c r="A754" s="15"/>
      <c r="B754" s="15"/>
      <c r="C754" s="15"/>
      <c r="D754" s="15"/>
      <c r="E754" s="15"/>
      <c r="F754" s="15"/>
      <c r="G754" s="15"/>
      <c r="H754" s="15"/>
      <c r="I754" s="15"/>
      <c r="J754" s="15"/>
      <c r="K754" s="15"/>
      <c r="L754" s="15"/>
      <c r="M754" s="15"/>
      <c r="N754" s="15"/>
      <c r="O754" s="15"/>
      <c r="P754" s="15"/>
      <c r="Q754" s="15"/>
      <c r="R754" s="15"/>
      <c r="S754" s="28"/>
      <c r="T754" s="15"/>
      <c r="U754" s="15"/>
      <c r="V754" s="15"/>
      <c r="W754" s="15"/>
      <c r="X754" s="15"/>
      <c r="Y754" s="15"/>
      <c r="Z754" s="15"/>
      <c r="AA754" s="15"/>
      <c r="AB754" s="15"/>
      <c r="AC754" s="15"/>
      <c r="AD754" s="15"/>
      <c r="AE754" s="15"/>
      <c r="AF754" s="15"/>
      <c r="AG754" s="29"/>
      <c r="AH754" s="15"/>
      <c r="AI754" s="15"/>
      <c r="AJ754" s="15"/>
      <c r="AK754" s="15"/>
      <c r="AL754" s="15"/>
      <c r="AM754" s="15"/>
      <c r="AN754" s="15"/>
    </row>
    <row r="755">
      <c r="A755" s="15"/>
      <c r="B755" s="15"/>
      <c r="C755" s="15"/>
      <c r="D755" s="15"/>
      <c r="E755" s="15"/>
      <c r="F755" s="15"/>
      <c r="G755" s="15"/>
      <c r="H755" s="15"/>
      <c r="I755" s="15"/>
      <c r="J755" s="15"/>
      <c r="K755" s="15"/>
      <c r="L755" s="15"/>
      <c r="M755" s="15"/>
      <c r="N755" s="15"/>
      <c r="O755" s="15"/>
      <c r="P755" s="15"/>
      <c r="Q755" s="15"/>
      <c r="R755" s="15"/>
      <c r="S755" s="28"/>
      <c r="T755" s="15"/>
      <c r="U755" s="15"/>
      <c r="V755" s="15"/>
      <c r="W755" s="15"/>
      <c r="X755" s="15"/>
      <c r="Y755" s="15"/>
      <c r="Z755" s="15"/>
      <c r="AA755" s="15"/>
      <c r="AB755" s="15"/>
      <c r="AC755" s="15"/>
      <c r="AD755" s="15"/>
      <c r="AE755" s="15"/>
      <c r="AF755" s="15"/>
      <c r="AG755" s="29"/>
      <c r="AH755" s="15"/>
      <c r="AI755" s="15"/>
      <c r="AJ755" s="15"/>
      <c r="AK755" s="15"/>
      <c r="AL755" s="15"/>
      <c r="AM755" s="15"/>
      <c r="AN755" s="15"/>
    </row>
    <row r="756">
      <c r="A756" s="15"/>
      <c r="B756" s="15"/>
      <c r="C756" s="15"/>
      <c r="D756" s="15"/>
      <c r="E756" s="15"/>
      <c r="F756" s="15"/>
      <c r="G756" s="15"/>
      <c r="H756" s="15"/>
      <c r="I756" s="15"/>
      <c r="J756" s="15"/>
      <c r="K756" s="15"/>
      <c r="L756" s="15"/>
      <c r="M756" s="15"/>
      <c r="N756" s="15"/>
      <c r="O756" s="15"/>
      <c r="P756" s="15"/>
      <c r="Q756" s="15"/>
      <c r="R756" s="15"/>
      <c r="S756" s="28"/>
      <c r="T756" s="15"/>
      <c r="U756" s="15"/>
      <c r="V756" s="15"/>
      <c r="W756" s="15"/>
      <c r="X756" s="15"/>
      <c r="Y756" s="15"/>
      <c r="Z756" s="15"/>
      <c r="AA756" s="15"/>
      <c r="AB756" s="15"/>
      <c r="AC756" s="15"/>
      <c r="AD756" s="15"/>
      <c r="AE756" s="15"/>
      <c r="AF756" s="15"/>
      <c r="AG756" s="29"/>
      <c r="AH756" s="15"/>
      <c r="AI756" s="15"/>
      <c r="AJ756" s="15"/>
      <c r="AK756" s="15"/>
      <c r="AL756" s="15"/>
      <c r="AM756" s="15"/>
      <c r="AN756" s="15"/>
    </row>
    <row r="757">
      <c r="A757" s="15"/>
      <c r="B757" s="15"/>
      <c r="C757" s="15"/>
      <c r="D757" s="15"/>
      <c r="E757" s="15"/>
      <c r="F757" s="15"/>
      <c r="G757" s="15"/>
      <c r="H757" s="15"/>
      <c r="I757" s="15"/>
      <c r="J757" s="15"/>
      <c r="K757" s="15"/>
      <c r="L757" s="15"/>
      <c r="M757" s="15"/>
      <c r="N757" s="15"/>
      <c r="O757" s="15"/>
      <c r="P757" s="15"/>
      <c r="Q757" s="15"/>
      <c r="R757" s="15"/>
      <c r="S757" s="28"/>
      <c r="T757" s="15"/>
      <c r="U757" s="15"/>
      <c r="V757" s="15"/>
      <c r="W757" s="15"/>
      <c r="X757" s="15"/>
      <c r="Y757" s="15"/>
      <c r="Z757" s="15"/>
      <c r="AA757" s="15"/>
      <c r="AB757" s="15"/>
      <c r="AC757" s="15"/>
      <c r="AD757" s="15"/>
      <c r="AE757" s="15"/>
      <c r="AF757" s="15"/>
      <c r="AG757" s="29"/>
      <c r="AH757" s="15"/>
      <c r="AI757" s="15"/>
      <c r="AJ757" s="15"/>
      <c r="AK757" s="15"/>
      <c r="AL757" s="15"/>
      <c r="AM757" s="15"/>
      <c r="AN757" s="15"/>
    </row>
    <row r="758">
      <c r="A758" s="15"/>
      <c r="B758" s="15"/>
      <c r="C758" s="15"/>
      <c r="D758" s="15"/>
      <c r="E758" s="15"/>
      <c r="F758" s="15"/>
      <c r="G758" s="15"/>
      <c r="H758" s="15"/>
      <c r="I758" s="15"/>
      <c r="J758" s="15"/>
      <c r="K758" s="15"/>
      <c r="L758" s="15"/>
      <c r="M758" s="15"/>
      <c r="N758" s="15"/>
      <c r="O758" s="15"/>
      <c r="P758" s="15"/>
      <c r="Q758" s="15"/>
      <c r="R758" s="15"/>
      <c r="S758" s="28"/>
      <c r="T758" s="15"/>
      <c r="U758" s="15"/>
      <c r="V758" s="15"/>
      <c r="W758" s="15"/>
      <c r="X758" s="15"/>
      <c r="Y758" s="15"/>
      <c r="Z758" s="15"/>
      <c r="AA758" s="15"/>
      <c r="AB758" s="15"/>
      <c r="AC758" s="15"/>
      <c r="AD758" s="15"/>
      <c r="AE758" s="15"/>
      <c r="AF758" s="15"/>
      <c r="AG758" s="29"/>
      <c r="AH758" s="15"/>
      <c r="AI758" s="15"/>
      <c r="AJ758" s="15"/>
      <c r="AK758" s="15"/>
      <c r="AL758" s="15"/>
      <c r="AM758" s="15"/>
      <c r="AN758" s="15"/>
    </row>
    <row r="759">
      <c r="A759" s="15"/>
      <c r="B759" s="15"/>
      <c r="C759" s="15"/>
      <c r="D759" s="15"/>
      <c r="E759" s="15"/>
      <c r="F759" s="15"/>
      <c r="G759" s="15"/>
      <c r="H759" s="15"/>
      <c r="I759" s="15"/>
      <c r="J759" s="15"/>
      <c r="K759" s="15"/>
      <c r="L759" s="15"/>
      <c r="M759" s="15"/>
      <c r="N759" s="15"/>
      <c r="O759" s="15"/>
      <c r="P759" s="15"/>
      <c r="Q759" s="15"/>
      <c r="R759" s="15"/>
      <c r="S759" s="28"/>
      <c r="T759" s="15"/>
      <c r="U759" s="15"/>
      <c r="V759" s="15"/>
      <c r="W759" s="15"/>
      <c r="X759" s="15"/>
      <c r="Y759" s="15"/>
      <c r="Z759" s="15"/>
      <c r="AA759" s="15"/>
      <c r="AB759" s="15"/>
      <c r="AC759" s="15"/>
      <c r="AD759" s="15"/>
      <c r="AE759" s="15"/>
      <c r="AF759" s="15"/>
      <c r="AG759" s="29"/>
      <c r="AH759" s="15"/>
      <c r="AI759" s="15"/>
      <c r="AJ759" s="15"/>
      <c r="AK759" s="15"/>
      <c r="AL759" s="15"/>
      <c r="AM759" s="15"/>
      <c r="AN759" s="15"/>
    </row>
    <row r="760">
      <c r="A760" s="15"/>
      <c r="B760" s="15"/>
      <c r="C760" s="15"/>
      <c r="D760" s="15"/>
      <c r="E760" s="15"/>
      <c r="F760" s="15"/>
      <c r="G760" s="15"/>
      <c r="H760" s="15"/>
      <c r="I760" s="15"/>
      <c r="J760" s="15"/>
      <c r="K760" s="15"/>
      <c r="L760" s="15"/>
      <c r="M760" s="15"/>
      <c r="N760" s="15"/>
      <c r="O760" s="15"/>
      <c r="P760" s="15"/>
      <c r="Q760" s="15"/>
      <c r="R760" s="15"/>
      <c r="S760" s="28"/>
      <c r="T760" s="15"/>
      <c r="U760" s="15"/>
      <c r="V760" s="15"/>
      <c r="W760" s="15"/>
      <c r="X760" s="15"/>
      <c r="Y760" s="15"/>
      <c r="Z760" s="15"/>
      <c r="AA760" s="15"/>
      <c r="AB760" s="15"/>
      <c r="AC760" s="15"/>
      <c r="AD760" s="15"/>
      <c r="AE760" s="15"/>
      <c r="AF760" s="15"/>
      <c r="AG760" s="29"/>
      <c r="AH760" s="15"/>
      <c r="AI760" s="15"/>
      <c r="AJ760" s="15"/>
      <c r="AK760" s="15"/>
      <c r="AL760" s="15"/>
      <c r="AM760" s="15"/>
      <c r="AN760" s="15"/>
    </row>
    <row r="761">
      <c r="A761" s="15"/>
      <c r="B761" s="15"/>
      <c r="C761" s="15"/>
      <c r="D761" s="15"/>
      <c r="E761" s="15"/>
      <c r="F761" s="15"/>
      <c r="G761" s="15"/>
      <c r="H761" s="15"/>
      <c r="I761" s="15"/>
      <c r="J761" s="15"/>
      <c r="K761" s="15"/>
      <c r="L761" s="15"/>
      <c r="M761" s="15"/>
      <c r="N761" s="15"/>
      <c r="O761" s="15"/>
      <c r="P761" s="15"/>
      <c r="Q761" s="15"/>
      <c r="R761" s="15"/>
      <c r="S761" s="28"/>
      <c r="T761" s="15"/>
      <c r="U761" s="15"/>
      <c r="V761" s="15"/>
      <c r="W761" s="15"/>
      <c r="X761" s="15"/>
      <c r="Y761" s="15"/>
      <c r="Z761" s="15"/>
      <c r="AA761" s="15"/>
      <c r="AB761" s="15"/>
      <c r="AC761" s="15"/>
      <c r="AD761" s="15"/>
      <c r="AE761" s="15"/>
      <c r="AF761" s="15"/>
      <c r="AG761" s="29"/>
      <c r="AH761" s="15"/>
      <c r="AI761" s="15"/>
      <c r="AJ761" s="15"/>
      <c r="AK761" s="15"/>
      <c r="AL761" s="15"/>
      <c r="AM761" s="15"/>
      <c r="AN761" s="15"/>
    </row>
    <row r="762">
      <c r="A762" s="15"/>
      <c r="B762" s="15"/>
      <c r="C762" s="15"/>
      <c r="D762" s="15"/>
      <c r="E762" s="15"/>
      <c r="F762" s="15"/>
      <c r="G762" s="15"/>
      <c r="H762" s="15"/>
      <c r="I762" s="15"/>
      <c r="J762" s="15"/>
      <c r="K762" s="15"/>
      <c r="L762" s="15"/>
      <c r="M762" s="15"/>
      <c r="N762" s="15"/>
      <c r="O762" s="15"/>
      <c r="P762" s="15"/>
      <c r="Q762" s="15"/>
      <c r="R762" s="15"/>
      <c r="S762" s="28"/>
      <c r="T762" s="15"/>
      <c r="U762" s="15"/>
      <c r="V762" s="15"/>
      <c r="W762" s="15"/>
      <c r="X762" s="15"/>
      <c r="Y762" s="15"/>
      <c r="Z762" s="15"/>
      <c r="AA762" s="15"/>
      <c r="AB762" s="15"/>
      <c r="AC762" s="15"/>
      <c r="AD762" s="15"/>
      <c r="AE762" s="15"/>
      <c r="AF762" s="15"/>
      <c r="AG762" s="29"/>
      <c r="AH762" s="15"/>
      <c r="AI762" s="15"/>
      <c r="AJ762" s="15"/>
      <c r="AK762" s="15"/>
      <c r="AL762" s="15"/>
      <c r="AM762" s="15"/>
      <c r="AN762" s="15"/>
    </row>
    <row r="763">
      <c r="A763" s="15"/>
      <c r="B763" s="15"/>
      <c r="C763" s="15"/>
      <c r="D763" s="15"/>
      <c r="E763" s="15"/>
      <c r="F763" s="15"/>
      <c r="G763" s="15"/>
      <c r="H763" s="15"/>
      <c r="I763" s="15"/>
      <c r="J763" s="15"/>
      <c r="K763" s="15"/>
      <c r="L763" s="15"/>
      <c r="M763" s="15"/>
      <c r="N763" s="15"/>
      <c r="O763" s="15"/>
      <c r="P763" s="15"/>
      <c r="Q763" s="15"/>
      <c r="R763" s="15"/>
      <c r="S763" s="28"/>
      <c r="T763" s="15"/>
      <c r="U763" s="15"/>
      <c r="V763" s="15"/>
      <c r="W763" s="15"/>
      <c r="X763" s="15"/>
      <c r="Y763" s="15"/>
      <c r="Z763" s="15"/>
      <c r="AA763" s="15"/>
      <c r="AB763" s="15"/>
      <c r="AC763" s="15"/>
      <c r="AD763" s="15"/>
      <c r="AE763" s="15"/>
      <c r="AF763" s="15"/>
      <c r="AG763" s="29"/>
      <c r="AH763" s="15"/>
      <c r="AI763" s="15"/>
      <c r="AJ763" s="15"/>
      <c r="AK763" s="15"/>
      <c r="AL763" s="15"/>
      <c r="AM763" s="15"/>
      <c r="AN763" s="15"/>
    </row>
    <row r="764">
      <c r="A764" s="15"/>
      <c r="B764" s="15"/>
      <c r="C764" s="15"/>
      <c r="D764" s="15"/>
      <c r="E764" s="15"/>
      <c r="F764" s="15"/>
      <c r="G764" s="15"/>
      <c r="H764" s="15"/>
      <c r="I764" s="15"/>
      <c r="J764" s="15"/>
      <c r="K764" s="15"/>
      <c r="L764" s="15"/>
      <c r="M764" s="15"/>
      <c r="N764" s="15"/>
      <c r="O764" s="15"/>
      <c r="P764" s="15"/>
      <c r="Q764" s="15"/>
      <c r="R764" s="15"/>
      <c r="S764" s="28"/>
      <c r="T764" s="15"/>
      <c r="U764" s="15"/>
      <c r="V764" s="15"/>
      <c r="W764" s="15"/>
      <c r="X764" s="15"/>
      <c r="Y764" s="15"/>
      <c r="Z764" s="15"/>
      <c r="AA764" s="15"/>
      <c r="AB764" s="15"/>
      <c r="AC764" s="15"/>
      <c r="AD764" s="15"/>
      <c r="AE764" s="15"/>
      <c r="AF764" s="15"/>
      <c r="AG764" s="29"/>
      <c r="AH764" s="15"/>
      <c r="AI764" s="15"/>
      <c r="AJ764" s="15"/>
      <c r="AK764" s="15"/>
      <c r="AL764" s="15"/>
      <c r="AM764" s="15"/>
      <c r="AN764" s="15"/>
    </row>
    <row r="765">
      <c r="A765" s="15"/>
      <c r="B765" s="15"/>
      <c r="C765" s="15"/>
      <c r="D765" s="15"/>
      <c r="E765" s="15"/>
      <c r="F765" s="15"/>
      <c r="G765" s="15"/>
      <c r="H765" s="15"/>
      <c r="I765" s="15"/>
      <c r="J765" s="15"/>
      <c r="K765" s="15"/>
      <c r="L765" s="15"/>
      <c r="M765" s="15"/>
      <c r="N765" s="15"/>
      <c r="O765" s="15"/>
      <c r="P765" s="15"/>
      <c r="Q765" s="15"/>
      <c r="R765" s="15"/>
      <c r="S765" s="28"/>
      <c r="T765" s="15"/>
      <c r="U765" s="15"/>
      <c r="V765" s="15"/>
      <c r="W765" s="15"/>
      <c r="X765" s="15"/>
      <c r="Y765" s="15"/>
      <c r="Z765" s="15"/>
      <c r="AA765" s="15"/>
      <c r="AB765" s="15"/>
      <c r="AC765" s="15"/>
      <c r="AD765" s="15"/>
      <c r="AE765" s="15"/>
      <c r="AF765" s="15"/>
      <c r="AG765" s="29"/>
      <c r="AH765" s="15"/>
      <c r="AI765" s="15"/>
      <c r="AJ765" s="15"/>
      <c r="AK765" s="15"/>
      <c r="AL765" s="15"/>
      <c r="AM765" s="15"/>
      <c r="AN765" s="15"/>
    </row>
    <row r="766">
      <c r="A766" s="15"/>
      <c r="B766" s="15"/>
      <c r="C766" s="15"/>
      <c r="D766" s="15"/>
      <c r="E766" s="15"/>
      <c r="F766" s="15"/>
      <c r="G766" s="15"/>
      <c r="H766" s="15"/>
      <c r="I766" s="15"/>
      <c r="J766" s="15"/>
      <c r="K766" s="15"/>
      <c r="L766" s="15"/>
      <c r="M766" s="15"/>
      <c r="N766" s="15"/>
      <c r="O766" s="15"/>
      <c r="P766" s="15"/>
      <c r="Q766" s="15"/>
      <c r="R766" s="15"/>
      <c r="S766" s="28"/>
      <c r="T766" s="15"/>
      <c r="U766" s="15"/>
      <c r="V766" s="15"/>
      <c r="W766" s="15"/>
      <c r="X766" s="15"/>
      <c r="Y766" s="15"/>
      <c r="Z766" s="15"/>
      <c r="AA766" s="15"/>
      <c r="AB766" s="15"/>
      <c r="AC766" s="15"/>
      <c r="AD766" s="15"/>
      <c r="AE766" s="15"/>
      <c r="AF766" s="15"/>
      <c r="AG766" s="29"/>
      <c r="AH766" s="15"/>
      <c r="AI766" s="15"/>
      <c r="AJ766" s="15"/>
      <c r="AK766" s="15"/>
      <c r="AL766" s="15"/>
      <c r="AM766" s="15"/>
      <c r="AN766" s="15"/>
    </row>
    <row r="767">
      <c r="A767" s="15"/>
      <c r="B767" s="15"/>
      <c r="C767" s="15"/>
      <c r="D767" s="15"/>
      <c r="E767" s="15"/>
      <c r="F767" s="15"/>
      <c r="G767" s="15"/>
      <c r="H767" s="15"/>
      <c r="I767" s="15"/>
      <c r="J767" s="15"/>
      <c r="K767" s="15"/>
      <c r="L767" s="15"/>
      <c r="M767" s="15"/>
      <c r="N767" s="15"/>
      <c r="O767" s="15"/>
      <c r="P767" s="15"/>
      <c r="Q767" s="15"/>
      <c r="R767" s="15"/>
      <c r="S767" s="28"/>
      <c r="T767" s="15"/>
      <c r="U767" s="15"/>
      <c r="V767" s="15"/>
      <c r="W767" s="15"/>
      <c r="X767" s="15"/>
      <c r="Y767" s="15"/>
      <c r="Z767" s="15"/>
      <c r="AA767" s="15"/>
      <c r="AB767" s="15"/>
      <c r="AC767" s="15"/>
      <c r="AD767" s="15"/>
      <c r="AE767" s="15"/>
      <c r="AF767" s="15"/>
      <c r="AG767" s="29"/>
      <c r="AH767" s="15"/>
      <c r="AI767" s="15"/>
      <c r="AJ767" s="15"/>
      <c r="AK767" s="15"/>
      <c r="AL767" s="15"/>
      <c r="AM767" s="15"/>
      <c r="AN767" s="15"/>
    </row>
    <row r="768">
      <c r="A768" s="15"/>
      <c r="B768" s="15"/>
      <c r="C768" s="15"/>
      <c r="D768" s="15"/>
      <c r="E768" s="15"/>
      <c r="F768" s="15"/>
      <c r="G768" s="15"/>
      <c r="H768" s="15"/>
      <c r="I768" s="15"/>
      <c r="J768" s="15"/>
      <c r="K768" s="15"/>
      <c r="L768" s="15"/>
      <c r="M768" s="15"/>
      <c r="N768" s="15"/>
      <c r="O768" s="15"/>
      <c r="P768" s="15"/>
      <c r="Q768" s="15"/>
      <c r="R768" s="15"/>
      <c r="S768" s="28"/>
      <c r="T768" s="15"/>
      <c r="U768" s="15"/>
      <c r="V768" s="15"/>
      <c r="W768" s="15"/>
      <c r="X768" s="15"/>
      <c r="Y768" s="15"/>
      <c r="Z768" s="15"/>
      <c r="AA768" s="15"/>
      <c r="AB768" s="15"/>
      <c r="AC768" s="15"/>
      <c r="AD768" s="15"/>
      <c r="AE768" s="15"/>
      <c r="AF768" s="15"/>
      <c r="AG768" s="29"/>
      <c r="AH768" s="15"/>
      <c r="AI768" s="15"/>
      <c r="AJ768" s="15"/>
      <c r="AK768" s="15"/>
      <c r="AL768" s="15"/>
      <c r="AM768" s="15"/>
      <c r="AN768" s="15"/>
    </row>
    <row r="769">
      <c r="A769" s="15"/>
      <c r="B769" s="15"/>
      <c r="C769" s="15"/>
      <c r="D769" s="15"/>
      <c r="E769" s="15"/>
      <c r="F769" s="15"/>
      <c r="G769" s="15"/>
      <c r="H769" s="15"/>
      <c r="I769" s="15"/>
      <c r="J769" s="15"/>
      <c r="K769" s="15"/>
      <c r="L769" s="15"/>
      <c r="M769" s="15"/>
      <c r="N769" s="15"/>
      <c r="O769" s="15"/>
      <c r="P769" s="15"/>
      <c r="Q769" s="15"/>
      <c r="R769" s="15"/>
      <c r="S769" s="28"/>
      <c r="T769" s="15"/>
      <c r="U769" s="15"/>
      <c r="V769" s="15"/>
      <c r="W769" s="15"/>
      <c r="X769" s="15"/>
      <c r="Y769" s="15"/>
      <c r="Z769" s="15"/>
      <c r="AA769" s="15"/>
      <c r="AB769" s="15"/>
      <c r="AC769" s="15"/>
      <c r="AD769" s="15"/>
      <c r="AE769" s="15"/>
      <c r="AF769" s="15"/>
      <c r="AG769" s="29"/>
      <c r="AH769" s="15"/>
      <c r="AI769" s="15"/>
      <c r="AJ769" s="15"/>
      <c r="AK769" s="15"/>
      <c r="AL769" s="15"/>
      <c r="AM769" s="15"/>
      <c r="AN769" s="15"/>
    </row>
    <row r="770">
      <c r="A770" s="15"/>
      <c r="B770" s="15"/>
      <c r="C770" s="15"/>
      <c r="D770" s="15"/>
      <c r="E770" s="15"/>
      <c r="F770" s="15"/>
      <c r="G770" s="15"/>
      <c r="H770" s="15"/>
      <c r="I770" s="15"/>
      <c r="J770" s="15"/>
      <c r="K770" s="15"/>
      <c r="L770" s="15"/>
      <c r="M770" s="15"/>
      <c r="N770" s="15"/>
      <c r="O770" s="15"/>
      <c r="P770" s="15"/>
      <c r="Q770" s="15"/>
      <c r="R770" s="15"/>
      <c r="S770" s="28"/>
      <c r="T770" s="15"/>
      <c r="U770" s="15"/>
      <c r="V770" s="15"/>
      <c r="W770" s="15"/>
      <c r="X770" s="15"/>
      <c r="Y770" s="15"/>
      <c r="Z770" s="15"/>
      <c r="AA770" s="15"/>
      <c r="AB770" s="15"/>
      <c r="AC770" s="15"/>
      <c r="AD770" s="15"/>
      <c r="AE770" s="15"/>
      <c r="AF770" s="15"/>
      <c r="AG770" s="29"/>
      <c r="AH770" s="15"/>
      <c r="AI770" s="15"/>
      <c r="AJ770" s="15"/>
      <c r="AK770" s="15"/>
      <c r="AL770" s="15"/>
      <c r="AM770" s="15"/>
      <c r="AN770" s="15"/>
    </row>
    <row r="771">
      <c r="A771" s="15"/>
      <c r="B771" s="15"/>
      <c r="C771" s="15"/>
      <c r="D771" s="15"/>
      <c r="E771" s="15"/>
      <c r="F771" s="15"/>
      <c r="G771" s="15"/>
      <c r="H771" s="15"/>
      <c r="I771" s="15"/>
      <c r="J771" s="15"/>
      <c r="K771" s="15"/>
      <c r="L771" s="15"/>
      <c r="M771" s="15"/>
      <c r="N771" s="15"/>
      <c r="O771" s="15"/>
      <c r="P771" s="15"/>
      <c r="Q771" s="15"/>
      <c r="R771" s="15"/>
      <c r="S771" s="28"/>
      <c r="T771" s="15"/>
      <c r="U771" s="15"/>
      <c r="V771" s="15"/>
      <c r="W771" s="15"/>
      <c r="X771" s="15"/>
      <c r="Y771" s="15"/>
      <c r="Z771" s="15"/>
      <c r="AA771" s="15"/>
      <c r="AB771" s="15"/>
      <c r="AC771" s="15"/>
      <c r="AD771" s="15"/>
      <c r="AE771" s="15"/>
      <c r="AF771" s="15"/>
      <c r="AG771" s="29"/>
      <c r="AH771" s="15"/>
      <c r="AI771" s="15"/>
      <c r="AJ771" s="15"/>
      <c r="AK771" s="15"/>
      <c r="AL771" s="15"/>
      <c r="AM771" s="15"/>
      <c r="AN771" s="15"/>
    </row>
    <row r="772">
      <c r="A772" s="15"/>
      <c r="B772" s="15"/>
      <c r="C772" s="15"/>
      <c r="D772" s="15"/>
      <c r="E772" s="15"/>
      <c r="F772" s="15"/>
      <c r="G772" s="15"/>
      <c r="H772" s="15"/>
      <c r="I772" s="15"/>
      <c r="J772" s="15"/>
      <c r="K772" s="15"/>
      <c r="L772" s="15"/>
      <c r="M772" s="15"/>
      <c r="N772" s="15"/>
      <c r="O772" s="15"/>
      <c r="P772" s="15"/>
      <c r="Q772" s="15"/>
      <c r="R772" s="15"/>
      <c r="S772" s="28"/>
      <c r="T772" s="15"/>
      <c r="U772" s="15"/>
      <c r="V772" s="15"/>
      <c r="W772" s="15"/>
      <c r="X772" s="15"/>
      <c r="Y772" s="15"/>
      <c r="Z772" s="15"/>
      <c r="AA772" s="15"/>
      <c r="AB772" s="15"/>
      <c r="AC772" s="15"/>
      <c r="AD772" s="15"/>
      <c r="AE772" s="15"/>
      <c r="AF772" s="15"/>
      <c r="AG772" s="29"/>
      <c r="AH772" s="15"/>
      <c r="AI772" s="15"/>
      <c r="AJ772" s="15"/>
      <c r="AK772" s="15"/>
      <c r="AL772" s="15"/>
      <c r="AM772" s="15"/>
      <c r="AN772" s="15"/>
    </row>
    <row r="773">
      <c r="A773" s="15"/>
      <c r="B773" s="15"/>
      <c r="C773" s="15"/>
      <c r="D773" s="15"/>
      <c r="E773" s="15"/>
      <c r="F773" s="15"/>
      <c r="G773" s="15"/>
      <c r="H773" s="15"/>
      <c r="I773" s="15"/>
      <c r="J773" s="15"/>
      <c r="K773" s="15"/>
      <c r="L773" s="15"/>
      <c r="M773" s="15"/>
      <c r="N773" s="15"/>
      <c r="O773" s="15"/>
      <c r="P773" s="15"/>
      <c r="Q773" s="15"/>
      <c r="R773" s="15"/>
      <c r="S773" s="28"/>
      <c r="T773" s="15"/>
      <c r="U773" s="15"/>
      <c r="V773" s="15"/>
      <c r="W773" s="15"/>
      <c r="X773" s="15"/>
      <c r="Y773" s="15"/>
      <c r="Z773" s="15"/>
      <c r="AA773" s="15"/>
      <c r="AB773" s="15"/>
      <c r="AC773" s="15"/>
      <c r="AD773" s="15"/>
      <c r="AE773" s="15"/>
      <c r="AF773" s="15"/>
      <c r="AG773" s="29"/>
      <c r="AH773" s="15"/>
      <c r="AI773" s="15"/>
      <c r="AJ773" s="15"/>
      <c r="AK773" s="15"/>
      <c r="AL773" s="15"/>
      <c r="AM773" s="15"/>
      <c r="AN773" s="15"/>
    </row>
    <row r="774">
      <c r="A774" s="15"/>
      <c r="B774" s="15"/>
      <c r="C774" s="15"/>
      <c r="D774" s="15"/>
      <c r="E774" s="15"/>
      <c r="F774" s="15"/>
      <c r="G774" s="15"/>
      <c r="H774" s="15"/>
      <c r="I774" s="15"/>
      <c r="J774" s="15"/>
      <c r="K774" s="15"/>
      <c r="L774" s="15"/>
      <c r="M774" s="15"/>
      <c r="N774" s="15"/>
      <c r="O774" s="15"/>
      <c r="P774" s="15"/>
      <c r="Q774" s="15"/>
      <c r="R774" s="15"/>
      <c r="S774" s="28"/>
      <c r="T774" s="15"/>
      <c r="U774" s="15"/>
      <c r="V774" s="15"/>
      <c r="W774" s="15"/>
      <c r="X774" s="15"/>
      <c r="Y774" s="15"/>
      <c r="Z774" s="15"/>
      <c r="AA774" s="15"/>
      <c r="AB774" s="15"/>
      <c r="AC774" s="15"/>
      <c r="AD774" s="15"/>
      <c r="AE774" s="15"/>
      <c r="AF774" s="15"/>
      <c r="AG774" s="29"/>
      <c r="AH774" s="15"/>
      <c r="AI774" s="15"/>
      <c r="AJ774" s="15"/>
      <c r="AK774" s="15"/>
      <c r="AL774" s="15"/>
      <c r="AM774" s="15"/>
      <c r="AN774" s="15"/>
    </row>
    <row r="775">
      <c r="A775" s="15"/>
      <c r="B775" s="15"/>
      <c r="C775" s="15"/>
      <c r="D775" s="15"/>
      <c r="E775" s="15"/>
      <c r="F775" s="15"/>
      <c r="G775" s="15"/>
      <c r="H775" s="15"/>
      <c r="I775" s="15"/>
      <c r="J775" s="15"/>
      <c r="K775" s="15"/>
      <c r="L775" s="15"/>
      <c r="M775" s="15"/>
      <c r="N775" s="15"/>
      <c r="O775" s="15"/>
      <c r="P775" s="15"/>
      <c r="Q775" s="15"/>
      <c r="R775" s="15"/>
      <c r="S775" s="28"/>
      <c r="T775" s="15"/>
      <c r="U775" s="15"/>
      <c r="V775" s="15"/>
      <c r="W775" s="15"/>
      <c r="X775" s="15"/>
      <c r="Y775" s="15"/>
      <c r="Z775" s="15"/>
      <c r="AA775" s="15"/>
      <c r="AB775" s="15"/>
      <c r="AC775" s="15"/>
      <c r="AD775" s="15"/>
      <c r="AE775" s="15"/>
      <c r="AF775" s="15"/>
      <c r="AG775" s="29"/>
      <c r="AH775" s="15"/>
      <c r="AI775" s="15"/>
      <c r="AJ775" s="15"/>
      <c r="AK775" s="15"/>
      <c r="AL775" s="15"/>
      <c r="AM775" s="15"/>
      <c r="AN775" s="15"/>
    </row>
    <row r="776">
      <c r="A776" s="15"/>
      <c r="B776" s="15"/>
      <c r="C776" s="15"/>
      <c r="D776" s="15"/>
      <c r="E776" s="15"/>
      <c r="F776" s="15"/>
      <c r="G776" s="15"/>
      <c r="H776" s="15"/>
      <c r="I776" s="15"/>
      <c r="J776" s="15"/>
      <c r="K776" s="15"/>
      <c r="L776" s="15"/>
      <c r="M776" s="15"/>
      <c r="N776" s="15"/>
      <c r="O776" s="15"/>
      <c r="P776" s="15"/>
      <c r="Q776" s="15"/>
      <c r="R776" s="15"/>
      <c r="S776" s="28"/>
      <c r="T776" s="15"/>
      <c r="U776" s="15"/>
      <c r="V776" s="15"/>
      <c r="W776" s="15"/>
      <c r="X776" s="15"/>
      <c r="Y776" s="15"/>
      <c r="Z776" s="15"/>
      <c r="AA776" s="15"/>
      <c r="AB776" s="15"/>
      <c r="AC776" s="15"/>
      <c r="AD776" s="15"/>
      <c r="AE776" s="15"/>
      <c r="AF776" s="15"/>
      <c r="AG776" s="29"/>
      <c r="AH776" s="15"/>
      <c r="AI776" s="15"/>
      <c r="AJ776" s="15"/>
      <c r="AK776" s="15"/>
      <c r="AL776" s="15"/>
      <c r="AM776" s="15"/>
      <c r="AN776" s="15"/>
    </row>
    <row r="777">
      <c r="A777" s="15"/>
      <c r="B777" s="15"/>
      <c r="C777" s="15"/>
      <c r="D777" s="15"/>
      <c r="E777" s="15"/>
      <c r="F777" s="15"/>
      <c r="G777" s="15"/>
      <c r="H777" s="15"/>
      <c r="I777" s="15"/>
      <c r="J777" s="15"/>
      <c r="K777" s="15"/>
      <c r="L777" s="15"/>
      <c r="M777" s="15"/>
      <c r="N777" s="15"/>
      <c r="O777" s="15"/>
      <c r="P777" s="15"/>
      <c r="Q777" s="15"/>
      <c r="R777" s="15"/>
      <c r="S777" s="28"/>
      <c r="T777" s="15"/>
      <c r="U777" s="15"/>
      <c r="V777" s="15"/>
      <c r="W777" s="15"/>
      <c r="X777" s="15"/>
      <c r="Y777" s="15"/>
      <c r="Z777" s="15"/>
      <c r="AA777" s="15"/>
      <c r="AB777" s="15"/>
      <c r="AC777" s="15"/>
      <c r="AD777" s="15"/>
      <c r="AE777" s="15"/>
      <c r="AF777" s="15"/>
      <c r="AG777" s="29"/>
      <c r="AH777" s="15"/>
      <c r="AI777" s="15"/>
      <c r="AJ777" s="15"/>
      <c r="AK777" s="15"/>
      <c r="AL777" s="15"/>
      <c r="AM777" s="15"/>
      <c r="AN777" s="15"/>
    </row>
    <row r="778">
      <c r="A778" s="15"/>
      <c r="B778" s="15"/>
      <c r="C778" s="15"/>
      <c r="D778" s="15"/>
      <c r="E778" s="15"/>
      <c r="F778" s="15"/>
      <c r="G778" s="15"/>
      <c r="H778" s="15"/>
      <c r="I778" s="15"/>
      <c r="J778" s="15"/>
      <c r="K778" s="15"/>
      <c r="L778" s="15"/>
      <c r="M778" s="15"/>
      <c r="N778" s="15"/>
      <c r="O778" s="15"/>
      <c r="P778" s="15"/>
      <c r="Q778" s="15"/>
      <c r="R778" s="15"/>
      <c r="S778" s="28"/>
      <c r="T778" s="15"/>
      <c r="U778" s="15"/>
      <c r="V778" s="15"/>
      <c r="W778" s="15"/>
      <c r="X778" s="15"/>
      <c r="Y778" s="15"/>
      <c r="Z778" s="15"/>
      <c r="AA778" s="15"/>
      <c r="AB778" s="15"/>
      <c r="AC778" s="15"/>
      <c r="AD778" s="15"/>
      <c r="AE778" s="15"/>
      <c r="AF778" s="15"/>
      <c r="AG778" s="29"/>
      <c r="AH778" s="15"/>
      <c r="AI778" s="15"/>
      <c r="AJ778" s="15"/>
      <c r="AK778" s="15"/>
      <c r="AL778" s="15"/>
      <c r="AM778" s="15"/>
      <c r="AN778" s="15"/>
    </row>
    <row r="779">
      <c r="A779" s="15"/>
      <c r="B779" s="15"/>
      <c r="C779" s="15"/>
      <c r="D779" s="15"/>
      <c r="E779" s="15"/>
      <c r="F779" s="15"/>
      <c r="G779" s="15"/>
      <c r="H779" s="15"/>
      <c r="I779" s="15"/>
      <c r="J779" s="15"/>
      <c r="K779" s="15"/>
      <c r="L779" s="15"/>
      <c r="M779" s="15"/>
      <c r="N779" s="15"/>
      <c r="O779" s="15"/>
      <c r="P779" s="15"/>
      <c r="Q779" s="15"/>
      <c r="R779" s="15"/>
      <c r="S779" s="28"/>
      <c r="T779" s="15"/>
      <c r="U779" s="15"/>
      <c r="V779" s="15"/>
      <c r="W779" s="15"/>
      <c r="X779" s="15"/>
      <c r="Y779" s="15"/>
      <c r="Z779" s="15"/>
      <c r="AA779" s="15"/>
      <c r="AB779" s="15"/>
      <c r="AC779" s="15"/>
      <c r="AD779" s="15"/>
      <c r="AE779" s="15"/>
      <c r="AF779" s="15"/>
      <c r="AG779" s="29"/>
      <c r="AH779" s="15"/>
      <c r="AI779" s="15"/>
      <c r="AJ779" s="15"/>
      <c r="AK779" s="15"/>
      <c r="AL779" s="15"/>
      <c r="AM779" s="15"/>
      <c r="AN779" s="15"/>
    </row>
    <row r="780">
      <c r="A780" s="15"/>
      <c r="B780" s="15"/>
      <c r="C780" s="15"/>
      <c r="D780" s="15"/>
      <c r="E780" s="15"/>
      <c r="F780" s="15"/>
      <c r="G780" s="15"/>
      <c r="H780" s="15"/>
      <c r="I780" s="15"/>
      <c r="J780" s="15"/>
      <c r="K780" s="15"/>
      <c r="L780" s="15"/>
      <c r="M780" s="15"/>
      <c r="N780" s="15"/>
      <c r="O780" s="15"/>
      <c r="P780" s="15"/>
      <c r="Q780" s="15"/>
      <c r="R780" s="15"/>
      <c r="S780" s="28"/>
      <c r="T780" s="15"/>
      <c r="U780" s="15"/>
      <c r="V780" s="15"/>
      <c r="W780" s="15"/>
      <c r="X780" s="15"/>
      <c r="Y780" s="15"/>
      <c r="Z780" s="15"/>
      <c r="AA780" s="15"/>
      <c r="AB780" s="15"/>
      <c r="AC780" s="15"/>
      <c r="AD780" s="15"/>
      <c r="AE780" s="15"/>
      <c r="AF780" s="15"/>
      <c r="AG780" s="29"/>
      <c r="AH780" s="15"/>
      <c r="AI780" s="15"/>
      <c r="AJ780" s="15"/>
      <c r="AK780" s="15"/>
      <c r="AL780" s="15"/>
      <c r="AM780" s="15"/>
      <c r="AN780" s="15"/>
    </row>
    <row r="781">
      <c r="A781" s="15"/>
      <c r="B781" s="15"/>
      <c r="C781" s="15"/>
      <c r="D781" s="15"/>
      <c r="E781" s="15"/>
      <c r="F781" s="15"/>
      <c r="G781" s="15"/>
      <c r="H781" s="15"/>
      <c r="I781" s="15"/>
      <c r="J781" s="15"/>
      <c r="K781" s="15"/>
      <c r="L781" s="15"/>
      <c r="M781" s="15"/>
      <c r="N781" s="15"/>
      <c r="O781" s="15"/>
      <c r="P781" s="15"/>
      <c r="Q781" s="15"/>
      <c r="R781" s="15"/>
      <c r="S781" s="28"/>
      <c r="T781" s="15"/>
      <c r="U781" s="15"/>
      <c r="V781" s="15"/>
      <c r="W781" s="15"/>
      <c r="X781" s="15"/>
      <c r="Y781" s="15"/>
      <c r="Z781" s="15"/>
      <c r="AA781" s="15"/>
      <c r="AB781" s="15"/>
      <c r="AC781" s="15"/>
      <c r="AD781" s="15"/>
      <c r="AE781" s="15"/>
      <c r="AF781" s="15"/>
      <c r="AG781" s="29"/>
      <c r="AH781" s="15"/>
      <c r="AI781" s="15"/>
      <c r="AJ781" s="15"/>
      <c r="AK781" s="15"/>
      <c r="AL781" s="15"/>
      <c r="AM781" s="15"/>
      <c r="AN781" s="15"/>
    </row>
    <row r="782">
      <c r="A782" s="15"/>
      <c r="B782" s="15"/>
      <c r="C782" s="15"/>
      <c r="D782" s="15"/>
      <c r="E782" s="15"/>
      <c r="F782" s="15"/>
      <c r="G782" s="15"/>
      <c r="H782" s="15"/>
      <c r="I782" s="15"/>
      <c r="J782" s="15"/>
      <c r="K782" s="15"/>
      <c r="L782" s="15"/>
      <c r="M782" s="15"/>
      <c r="N782" s="15"/>
      <c r="O782" s="15"/>
      <c r="P782" s="15"/>
      <c r="Q782" s="15"/>
      <c r="R782" s="15"/>
      <c r="S782" s="28"/>
      <c r="T782" s="15"/>
      <c r="U782" s="15"/>
      <c r="V782" s="15"/>
      <c r="W782" s="15"/>
      <c r="X782" s="15"/>
      <c r="Y782" s="15"/>
      <c r="Z782" s="15"/>
      <c r="AA782" s="15"/>
      <c r="AB782" s="15"/>
      <c r="AC782" s="15"/>
      <c r="AD782" s="15"/>
      <c r="AE782" s="15"/>
      <c r="AF782" s="15"/>
      <c r="AG782" s="29"/>
      <c r="AH782" s="15"/>
      <c r="AI782" s="15"/>
      <c r="AJ782" s="15"/>
      <c r="AK782" s="15"/>
      <c r="AL782" s="15"/>
      <c r="AM782" s="15"/>
      <c r="AN782" s="15"/>
    </row>
    <row r="783">
      <c r="A783" s="15"/>
      <c r="B783" s="15"/>
      <c r="C783" s="15"/>
      <c r="D783" s="15"/>
      <c r="E783" s="15"/>
      <c r="F783" s="15"/>
      <c r="G783" s="15"/>
      <c r="H783" s="15"/>
      <c r="I783" s="15"/>
      <c r="J783" s="15"/>
      <c r="K783" s="15"/>
      <c r="L783" s="15"/>
      <c r="M783" s="15"/>
      <c r="N783" s="15"/>
      <c r="O783" s="15"/>
      <c r="P783" s="15"/>
      <c r="Q783" s="15"/>
      <c r="R783" s="15"/>
      <c r="S783" s="28"/>
      <c r="T783" s="15"/>
      <c r="U783" s="15"/>
      <c r="V783" s="15"/>
      <c r="W783" s="15"/>
      <c r="X783" s="15"/>
      <c r="Y783" s="15"/>
      <c r="Z783" s="15"/>
      <c r="AA783" s="15"/>
      <c r="AB783" s="15"/>
      <c r="AC783" s="15"/>
      <c r="AD783" s="15"/>
      <c r="AE783" s="15"/>
      <c r="AF783" s="15"/>
      <c r="AG783" s="29"/>
      <c r="AH783" s="15"/>
      <c r="AI783" s="15"/>
      <c r="AJ783" s="15"/>
      <c r="AK783" s="15"/>
      <c r="AL783" s="15"/>
      <c r="AM783" s="15"/>
      <c r="AN783" s="15"/>
    </row>
    <row r="784">
      <c r="A784" s="15"/>
      <c r="B784" s="15"/>
      <c r="C784" s="15"/>
      <c r="D784" s="15"/>
      <c r="E784" s="15"/>
      <c r="F784" s="15"/>
      <c r="G784" s="15"/>
      <c r="H784" s="15"/>
      <c r="I784" s="15"/>
      <c r="J784" s="15"/>
      <c r="K784" s="15"/>
      <c r="L784" s="15"/>
      <c r="M784" s="15"/>
      <c r="N784" s="15"/>
      <c r="O784" s="15"/>
      <c r="P784" s="15"/>
      <c r="Q784" s="15"/>
      <c r="R784" s="15"/>
      <c r="S784" s="28"/>
      <c r="T784" s="15"/>
      <c r="U784" s="15"/>
      <c r="V784" s="15"/>
      <c r="W784" s="15"/>
      <c r="X784" s="15"/>
      <c r="Y784" s="15"/>
      <c r="Z784" s="15"/>
      <c r="AA784" s="15"/>
      <c r="AB784" s="15"/>
      <c r="AC784" s="15"/>
      <c r="AD784" s="15"/>
      <c r="AE784" s="15"/>
      <c r="AF784" s="15"/>
      <c r="AG784" s="29"/>
      <c r="AH784" s="15"/>
      <c r="AI784" s="15"/>
      <c r="AJ784" s="15"/>
      <c r="AK784" s="15"/>
      <c r="AL784" s="15"/>
      <c r="AM784" s="15"/>
      <c r="AN784" s="15"/>
    </row>
    <row r="785">
      <c r="A785" s="15"/>
      <c r="B785" s="15"/>
      <c r="C785" s="15"/>
      <c r="D785" s="15"/>
      <c r="E785" s="15"/>
      <c r="F785" s="15"/>
      <c r="G785" s="15"/>
      <c r="H785" s="15"/>
      <c r="I785" s="15"/>
      <c r="J785" s="15"/>
      <c r="K785" s="15"/>
      <c r="L785" s="15"/>
      <c r="M785" s="15"/>
      <c r="N785" s="15"/>
      <c r="O785" s="15"/>
      <c r="P785" s="15"/>
      <c r="Q785" s="15"/>
      <c r="R785" s="15"/>
      <c r="S785" s="28"/>
      <c r="T785" s="15"/>
      <c r="U785" s="15"/>
      <c r="V785" s="15"/>
      <c r="W785" s="15"/>
      <c r="X785" s="15"/>
      <c r="Y785" s="15"/>
      <c r="Z785" s="15"/>
      <c r="AA785" s="15"/>
      <c r="AB785" s="15"/>
      <c r="AC785" s="15"/>
      <c r="AD785" s="15"/>
      <c r="AE785" s="15"/>
      <c r="AF785" s="15"/>
      <c r="AG785" s="29"/>
      <c r="AH785" s="15"/>
      <c r="AI785" s="15"/>
      <c r="AJ785" s="15"/>
      <c r="AK785" s="15"/>
      <c r="AL785" s="15"/>
      <c r="AM785" s="15"/>
      <c r="AN785" s="15"/>
    </row>
    <row r="786">
      <c r="A786" s="15"/>
      <c r="B786" s="15"/>
      <c r="C786" s="15"/>
      <c r="D786" s="15"/>
      <c r="E786" s="15"/>
      <c r="F786" s="15"/>
      <c r="G786" s="15"/>
      <c r="H786" s="15"/>
      <c r="I786" s="15"/>
      <c r="J786" s="15"/>
      <c r="K786" s="15"/>
      <c r="L786" s="15"/>
      <c r="M786" s="15"/>
      <c r="N786" s="15"/>
      <c r="O786" s="15"/>
      <c r="P786" s="15"/>
      <c r="Q786" s="15"/>
      <c r="R786" s="15"/>
      <c r="S786" s="28"/>
      <c r="T786" s="15"/>
      <c r="U786" s="15"/>
      <c r="V786" s="15"/>
      <c r="W786" s="15"/>
      <c r="X786" s="15"/>
      <c r="Y786" s="15"/>
      <c r="Z786" s="15"/>
      <c r="AA786" s="15"/>
      <c r="AB786" s="15"/>
      <c r="AC786" s="15"/>
      <c r="AD786" s="15"/>
      <c r="AE786" s="15"/>
      <c r="AF786" s="15"/>
      <c r="AG786" s="29"/>
      <c r="AH786" s="15"/>
      <c r="AI786" s="15"/>
      <c r="AJ786" s="15"/>
      <c r="AK786" s="15"/>
      <c r="AL786" s="15"/>
      <c r="AM786" s="15"/>
      <c r="AN786" s="15"/>
    </row>
    <row r="787">
      <c r="A787" s="15"/>
      <c r="B787" s="15"/>
      <c r="C787" s="15"/>
      <c r="D787" s="15"/>
      <c r="E787" s="15"/>
      <c r="F787" s="15"/>
      <c r="G787" s="15"/>
      <c r="H787" s="15"/>
      <c r="I787" s="15"/>
      <c r="J787" s="15"/>
      <c r="K787" s="15"/>
      <c r="L787" s="15"/>
      <c r="M787" s="15"/>
      <c r="N787" s="15"/>
      <c r="O787" s="15"/>
      <c r="P787" s="15"/>
      <c r="Q787" s="15"/>
      <c r="R787" s="15"/>
      <c r="S787" s="28"/>
      <c r="T787" s="15"/>
      <c r="U787" s="15"/>
      <c r="V787" s="15"/>
      <c r="W787" s="15"/>
      <c r="X787" s="15"/>
      <c r="Y787" s="15"/>
      <c r="Z787" s="15"/>
      <c r="AA787" s="15"/>
      <c r="AB787" s="15"/>
      <c r="AC787" s="15"/>
      <c r="AD787" s="15"/>
      <c r="AE787" s="15"/>
      <c r="AF787" s="15"/>
      <c r="AG787" s="29"/>
      <c r="AH787" s="15"/>
      <c r="AI787" s="15"/>
      <c r="AJ787" s="15"/>
      <c r="AK787" s="15"/>
      <c r="AL787" s="15"/>
      <c r="AM787" s="15"/>
      <c r="AN787" s="15"/>
    </row>
    <row r="788">
      <c r="A788" s="15"/>
      <c r="B788" s="15"/>
      <c r="C788" s="15"/>
      <c r="D788" s="15"/>
      <c r="E788" s="15"/>
      <c r="F788" s="15"/>
      <c r="G788" s="15"/>
      <c r="H788" s="15"/>
      <c r="I788" s="15"/>
      <c r="J788" s="15"/>
      <c r="K788" s="15"/>
      <c r="L788" s="15"/>
      <c r="M788" s="15"/>
      <c r="N788" s="15"/>
      <c r="O788" s="15"/>
      <c r="P788" s="15"/>
      <c r="Q788" s="15"/>
      <c r="R788" s="15"/>
      <c r="S788" s="28"/>
      <c r="T788" s="15"/>
      <c r="U788" s="15"/>
      <c r="V788" s="15"/>
      <c r="W788" s="15"/>
      <c r="X788" s="15"/>
      <c r="Y788" s="15"/>
      <c r="Z788" s="15"/>
      <c r="AA788" s="15"/>
      <c r="AB788" s="15"/>
      <c r="AC788" s="15"/>
      <c r="AD788" s="15"/>
      <c r="AE788" s="15"/>
      <c r="AF788" s="15"/>
      <c r="AG788" s="29"/>
      <c r="AH788" s="15"/>
      <c r="AI788" s="15"/>
      <c r="AJ788" s="15"/>
      <c r="AK788" s="15"/>
      <c r="AL788" s="15"/>
      <c r="AM788" s="15"/>
      <c r="AN788" s="15"/>
    </row>
    <row r="789">
      <c r="A789" s="15"/>
      <c r="B789" s="15"/>
      <c r="C789" s="15"/>
      <c r="D789" s="15"/>
      <c r="E789" s="15"/>
      <c r="F789" s="15"/>
      <c r="G789" s="15"/>
      <c r="H789" s="15"/>
      <c r="I789" s="15"/>
      <c r="J789" s="15"/>
      <c r="K789" s="15"/>
      <c r="L789" s="15"/>
      <c r="M789" s="15"/>
      <c r="N789" s="15"/>
      <c r="O789" s="15"/>
      <c r="P789" s="15"/>
      <c r="Q789" s="15"/>
      <c r="R789" s="15"/>
      <c r="S789" s="28"/>
      <c r="T789" s="15"/>
      <c r="U789" s="15"/>
      <c r="V789" s="15"/>
      <c r="W789" s="15"/>
      <c r="X789" s="15"/>
      <c r="Y789" s="15"/>
      <c r="Z789" s="15"/>
      <c r="AA789" s="15"/>
      <c r="AB789" s="15"/>
      <c r="AC789" s="15"/>
      <c r="AD789" s="15"/>
      <c r="AE789" s="15"/>
      <c r="AF789" s="15"/>
      <c r="AG789" s="29"/>
      <c r="AH789" s="15"/>
      <c r="AI789" s="15"/>
      <c r="AJ789" s="15"/>
      <c r="AK789" s="15"/>
      <c r="AL789" s="15"/>
      <c r="AM789" s="15"/>
      <c r="AN789" s="15"/>
    </row>
    <row r="790">
      <c r="A790" s="15"/>
      <c r="B790" s="15"/>
      <c r="C790" s="15"/>
      <c r="D790" s="15"/>
      <c r="E790" s="15"/>
      <c r="F790" s="15"/>
      <c r="G790" s="15"/>
      <c r="H790" s="15"/>
      <c r="I790" s="15"/>
      <c r="J790" s="15"/>
      <c r="K790" s="15"/>
      <c r="L790" s="15"/>
      <c r="M790" s="15"/>
      <c r="N790" s="15"/>
      <c r="O790" s="15"/>
      <c r="P790" s="15"/>
      <c r="Q790" s="15"/>
      <c r="R790" s="15"/>
      <c r="S790" s="28"/>
      <c r="T790" s="15"/>
      <c r="U790" s="15"/>
      <c r="V790" s="15"/>
      <c r="W790" s="15"/>
      <c r="X790" s="15"/>
      <c r="Y790" s="15"/>
      <c r="Z790" s="15"/>
      <c r="AA790" s="15"/>
      <c r="AB790" s="15"/>
      <c r="AC790" s="15"/>
      <c r="AD790" s="15"/>
      <c r="AE790" s="15"/>
      <c r="AF790" s="15"/>
      <c r="AG790" s="29"/>
      <c r="AH790" s="15"/>
      <c r="AI790" s="15"/>
      <c r="AJ790" s="15"/>
      <c r="AK790" s="15"/>
      <c r="AL790" s="15"/>
      <c r="AM790" s="15"/>
      <c r="AN790" s="15"/>
    </row>
    <row r="791">
      <c r="A791" s="15"/>
      <c r="B791" s="15"/>
      <c r="C791" s="15"/>
      <c r="D791" s="15"/>
      <c r="E791" s="15"/>
      <c r="F791" s="15"/>
      <c r="G791" s="15"/>
      <c r="H791" s="15"/>
      <c r="I791" s="15"/>
      <c r="J791" s="15"/>
      <c r="K791" s="15"/>
      <c r="L791" s="15"/>
      <c r="M791" s="15"/>
      <c r="N791" s="15"/>
      <c r="O791" s="15"/>
      <c r="P791" s="15"/>
      <c r="Q791" s="15"/>
      <c r="R791" s="15"/>
      <c r="S791" s="28"/>
      <c r="T791" s="15"/>
      <c r="U791" s="15"/>
      <c r="V791" s="15"/>
      <c r="W791" s="15"/>
      <c r="X791" s="15"/>
      <c r="Y791" s="15"/>
      <c r="Z791" s="15"/>
      <c r="AA791" s="15"/>
      <c r="AB791" s="15"/>
      <c r="AC791" s="15"/>
      <c r="AD791" s="15"/>
      <c r="AE791" s="15"/>
      <c r="AF791" s="15"/>
      <c r="AG791" s="29"/>
      <c r="AH791" s="15"/>
      <c r="AI791" s="15"/>
      <c r="AJ791" s="15"/>
      <c r="AK791" s="15"/>
      <c r="AL791" s="15"/>
      <c r="AM791" s="15"/>
      <c r="AN791" s="15"/>
    </row>
    <row r="792">
      <c r="A792" s="15"/>
      <c r="B792" s="15"/>
      <c r="C792" s="15"/>
      <c r="D792" s="15"/>
      <c r="E792" s="15"/>
      <c r="F792" s="15"/>
      <c r="G792" s="15"/>
      <c r="H792" s="15"/>
      <c r="I792" s="15"/>
      <c r="J792" s="15"/>
      <c r="K792" s="15"/>
      <c r="L792" s="15"/>
      <c r="M792" s="15"/>
      <c r="N792" s="15"/>
      <c r="O792" s="15"/>
      <c r="P792" s="15"/>
      <c r="Q792" s="15"/>
      <c r="R792" s="15"/>
      <c r="S792" s="28"/>
      <c r="T792" s="15"/>
      <c r="U792" s="15"/>
      <c r="V792" s="15"/>
      <c r="W792" s="15"/>
      <c r="X792" s="15"/>
      <c r="Y792" s="15"/>
      <c r="Z792" s="15"/>
      <c r="AA792" s="15"/>
      <c r="AB792" s="15"/>
      <c r="AC792" s="15"/>
      <c r="AD792" s="15"/>
      <c r="AE792" s="15"/>
      <c r="AF792" s="15"/>
      <c r="AG792" s="29"/>
      <c r="AH792" s="15"/>
      <c r="AI792" s="15"/>
      <c r="AJ792" s="15"/>
      <c r="AK792" s="15"/>
      <c r="AL792" s="15"/>
      <c r="AM792" s="15"/>
      <c r="AN792" s="15"/>
    </row>
    <row r="793">
      <c r="A793" s="15"/>
      <c r="B793" s="15"/>
      <c r="C793" s="15"/>
      <c r="D793" s="15"/>
      <c r="E793" s="15"/>
      <c r="F793" s="15"/>
      <c r="G793" s="15"/>
      <c r="H793" s="15"/>
      <c r="I793" s="15"/>
      <c r="J793" s="15"/>
      <c r="K793" s="15"/>
      <c r="L793" s="15"/>
      <c r="M793" s="15"/>
      <c r="N793" s="15"/>
      <c r="O793" s="15"/>
      <c r="P793" s="15"/>
      <c r="Q793" s="15"/>
      <c r="R793" s="15"/>
      <c r="S793" s="28"/>
      <c r="T793" s="15"/>
      <c r="U793" s="15"/>
      <c r="V793" s="15"/>
      <c r="W793" s="15"/>
      <c r="X793" s="15"/>
      <c r="Y793" s="15"/>
      <c r="Z793" s="15"/>
      <c r="AA793" s="15"/>
      <c r="AB793" s="15"/>
      <c r="AC793" s="15"/>
      <c r="AD793" s="15"/>
      <c r="AE793" s="15"/>
      <c r="AF793" s="15"/>
      <c r="AG793" s="29"/>
      <c r="AH793" s="15"/>
      <c r="AI793" s="15"/>
      <c r="AJ793" s="15"/>
      <c r="AK793" s="15"/>
      <c r="AL793" s="15"/>
      <c r="AM793" s="15"/>
      <c r="AN793" s="15"/>
    </row>
    <row r="794">
      <c r="A794" s="15"/>
      <c r="B794" s="15"/>
      <c r="C794" s="15"/>
      <c r="D794" s="15"/>
      <c r="E794" s="15"/>
      <c r="F794" s="15"/>
      <c r="G794" s="15"/>
      <c r="H794" s="15"/>
      <c r="I794" s="15"/>
      <c r="J794" s="15"/>
      <c r="K794" s="15"/>
      <c r="L794" s="15"/>
      <c r="M794" s="15"/>
      <c r="N794" s="15"/>
      <c r="O794" s="15"/>
      <c r="P794" s="15"/>
      <c r="Q794" s="15"/>
      <c r="R794" s="15"/>
      <c r="S794" s="28"/>
      <c r="T794" s="15"/>
      <c r="U794" s="15"/>
      <c r="V794" s="15"/>
      <c r="W794" s="15"/>
      <c r="X794" s="15"/>
      <c r="Y794" s="15"/>
      <c r="Z794" s="15"/>
      <c r="AA794" s="15"/>
      <c r="AB794" s="15"/>
      <c r="AC794" s="15"/>
      <c r="AD794" s="15"/>
      <c r="AE794" s="15"/>
      <c r="AF794" s="15"/>
      <c r="AG794" s="29"/>
      <c r="AH794" s="15"/>
      <c r="AI794" s="15"/>
      <c r="AJ794" s="15"/>
      <c r="AK794" s="15"/>
      <c r="AL794" s="15"/>
      <c r="AM794" s="15"/>
      <c r="AN794" s="15"/>
    </row>
    <row r="795">
      <c r="A795" s="15"/>
      <c r="B795" s="15"/>
      <c r="C795" s="15"/>
      <c r="D795" s="15"/>
      <c r="E795" s="15"/>
      <c r="F795" s="15"/>
      <c r="G795" s="15"/>
      <c r="H795" s="15"/>
      <c r="I795" s="15"/>
      <c r="J795" s="15"/>
      <c r="K795" s="15"/>
      <c r="L795" s="15"/>
      <c r="M795" s="15"/>
      <c r="N795" s="15"/>
      <c r="O795" s="15"/>
      <c r="P795" s="15"/>
      <c r="Q795" s="15"/>
      <c r="R795" s="15"/>
      <c r="S795" s="28"/>
      <c r="T795" s="15"/>
      <c r="U795" s="15"/>
      <c r="V795" s="15"/>
      <c r="W795" s="15"/>
      <c r="X795" s="15"/>
      <c r="Y795" s="15"/>
      <c r="Z795" s="15"/>
      <c r="AA795" s="15"/>
      <c r="AB795" s="15"/>
      <c r="AC795" s="15"/>
      <c r="AD795" s="15"/>
      <c r="AE795" s="15"/>
      <c r="AF795" s="15"/>
      <c r="AG795" s="29"/>
      <c r="AH795" s="15"/>
      <c r="AI795" s="15"/>
      <c r="AJ795" s="15"/>
      <c r="AK795" s="15"/>
      <c r="AL795" s="15"/>
      <c r="AM795" s="15"/>
      <c r="AN795" s="15"/>
    </row>
    <row r="796">
      <c r="A796" s="15"/>
      <c r="B796" s="15"/>
      <c r="C796" s="15"/>
      <c r="D796" s="15"/>
      <c r="E796" s="15"/>
      <c r="F796" s="15"/>
      <c r="G796" s="15"/>
      <c r="H796" s="15"/>
      <c r="I796" s="15"/>
      <c r="J796" s="15"/>
      <c r="K796" s="15"/>
      <c r="L796" s="15"/>
      <c r="M796" s="15"/>
      <c r="N796" s="15"/>
      <c r="O796" s="15"/>
      <c r="P796" s="15"/>
      <c r="Q796" s="15"/>
      <c r="R796" s="15"/>
      <c r="S796" s="28"/>
      <c r="T796" s="15"/>
      <c r="U796" s="15"/>
      <c r="V796" s="15"/>
      <c r="W796" s="15"/>
      <c r="X796" s="15"/>
      <c r="Y796" s="15"/>
      <c r="Z796" s="15"/>
      <c r="AA796" s="15"/>
      <c r="AB796" s="15"/>
      <c r="AC796" s="15"/>
      <c r="AD796" s="15"/>
      <c r="AE796" s="15"/>
      <c r="AF796" s="15"/>
      <c r="AG796" s="29"/>
      <c r="AH796" s="15"/>
      <c r="AI796" s="15"/>
      <c r="AJ796" s="15"/>
      <c r="AK796" s="15"/>
      <c r="AL796" s="15"/>
      <c r="AM796" s="15"/>
      <c r="AN796" s="15"/>
    </row>
    <row r="797">
      <c r="A797" s="15"/>
      <c r="B797" s="15"/>
      <c r="C797" s="15"/>
      <c r="D797" s="15"/>
      <c r="E797" s="15"/>
      <c r="F797" s="15"/>
      <c r="G797" s="15"/>
      <c r="H797" s="15"/>
      <c r="I797" s="15"/>
      <c r="J797" s="15"/>
      <c r="K797" s="15"/>
      <c r="L797" s="15"/>
      <c r="M797" s="15"/>
      <c r="N797" s="15"/>
      <c r="O797" s="15"/>
      <c r="P797" s="15"/>
      <c r="Q797" s="15"/>
      <c r="R797" s="15"/>
      <c r="S797" s="28"/>
      <c r="T797" s="15"/>
      <c r="U797" s="15"/>
      <c r="V797" s="15"/>
      <c r="W797" s="15"/>
      <c r="X797" s="15"/>
      <c r="Y797" s="15"/>
      <c r="Z797" s="15"/>
      <c r="AA797" s="15"/>
      <c r="AB797" s="15"/>
      <c r="AC797" s="15"/>
      <c r="AD797" s="15"/>
      <c r="AE797" s="15"/>
      <c r="AF797" s="15"/>
      <c r="AG797" s="29"/>
      <c r="AH797" s="15"/>
      <c r="AI797" s="15"/>
      <c r="AJ797" s="15"/>
      <c r="AK797" s="15"/>
      <c r="AL797" s="15"/>
      <c r="AM797" s="15"/>
      <c r="AN797" s="15"/>
    </row>
    <row r="798">
      <c r="A798" s="15"/>
      <c r="B798" s="15"/>
      <c r="C798" s="15"/>
      <c r="D798" s="15"/>
      <c r="E798" s="15"/>
      <c r="F798" s="15"/>
      <c r="G798" s="15"/>
      <c r="H798" s="15"/>
      <c r="I798" s="15"/>
      <c r="J798" s="15"/>
      <c r="K798" s="15"/>
      <c r="L798" s="15"/>
      <c r="M798" s="15"/>
      <c r="N798" s="15"/>
      <c r="O798" s="15"/>
      <c r="P798" s="15"/>
      <c r="Q798" s="15"/>
      <c r="R798" s="15"/>
      <c r="S798" s="28"/>
      <c r="T798" s="15"/>
      <c r="U798" s="15"/>
      <c r="V798" s="15"/>
      <c r="W798" s="15"/>
      <c r="X798" s="15"/>
      <c r="Y798" s="15"/>
      <c r="Z798" s="15"/>
      <c r="AA798" s="15"/>
      <c r="AB798" s="15"/>
      <c r="AC798" s="15"/>
      <c r="AD798" s="15"/>
      <c r="AE798" s="15"/>
      <c r="AF798" s="15"/>
      <c r="AG798" s="29"/>
      <c r="AH798" s="15"/>
      <c r="AI798" s="15"/>
      <c r="AJ798" s="15"/>
      <c r="AK798" s="15"/>
      <c r="AL798" s="15"/>
      <c r="AM798" s="15"/>
      <c r="AN798" s="15"/>
    </row>
    <row r="799">
      <c r="A799" s="15"/>
      <c r="B799" s="15"/>
      <c r="C799" s="15"/>
      <c r="D799" s="15"/>
      <c r="E799" s="15"/>
      <c r="F799" s="15"/>
      <c r="G799" s="15"/>
      <c r="H799" s="15"/>
      <c r="I799" s="15"/>
      <c r="J799" s="15"/>
      <c r="K799" s="15"/>
      <c r="L799" s="15"/>
      <c r="M799" s="15"/>
      <c r="N799" s="15"/>
      <c r="O799" s="15"/>
      <c r="P799" s="15"/>
      <c r="Q799" s="15"/>
      <c r="R799" s="15"/>
      <c r="S799" s="28"/>
      <c r="T799" s="15"/>
      <c r="U799" s="15"/>
      <c r="V799" s="15"/>
      <c r="W799" s="15"/>
      <c r="X799" s="15"/>
      <c r="Y799" s="15"/>
      <c r="Z799" s="15"/>
      <c r="AA799" s="15"/>
      <c r="AB799" s="15"/>
      <c r="AC799" s="15"/>
      <c r="AD799" s="15"/>
      <c r="AE799" s="15"/>
      <c r="AF799" s="15"/>
      <c r="AG799" s="29"/>
      <c r="AH799" s="15"/>
      <c r="AI799" s="15"/>
      <c r="AJ799" s="15"/>
      <c r="AK799" s="15"/>
      <c r="AL799" s="15"/>
      <c r="AM799" s="15"/>
      <c r="AN799" s="15"/>
    </row>
    <row r="800">
      <c r="A800" s="15"/>
      <c r="B800" s="15"/>
      <c r="C800" s="15"/>
      <c r="D800" s="15"/>
      <c r="E800" s="15"/>
      <c r="F800" s="15"/>
      <c r="G800" s="15"/>
      <c r="H800" s="15"/>
      <c r="I800" s="15"/>
      <c r="J800" s="15"/>
      <c r="K800" s="15"/>
      <c r="L800" s="15"/>
      <c r="M800" s="15"/>
      <c r="N800" s="15"/>
      <c r="O800" s="15"/>
      <c r="P800" s="15"/>
      <c r="Q800" s="15"/>
      <c r="R800" s="15"/>
      <c r="S800" s="28"/>
      <c r="T800" s="15"/>
      <c r="U800" s="15"/>
      <c r="V800" s="15"/>
      <c r="W800" s="15"/>
      <c r="X800" s="15"/>
      <c r="Y800" s="15"/>
      <c r="Z800" s="15"/>
      <c r="AA800" s="15"/>
      <c r="AB800" s="15"/>
      <c r="AC800" s="15"/>
      <c r="AD800" s="15"/>
      <c r="AE800" s="15"/>
      <c r="AF800" s="15"/>
      <c r="AG800" s="29"/>
      <c r="AH800" s="15"/>
      <c r="AI800" s="15"/>
      <c r="AJ800" s="15"/>
      <c r="AK800" s="15"/>
      <c r="AL800" s="15"/>
      <c r="AM800" s="15"/>
      <c r="AN800" s="15"/>
    </row>
    <row r="801">
      <c r="A801" s="15"/>
      <c r="B801" s="15"/>
      <c r="C801" s="15"/>
      <c r="D801" s="15"/>
      <c r="E801" s="15"/>
      <c r="F801" s="15"/>
      <c r="G801" s="15"/>
      <c r="H801" s="15"/>
      <c r="I801" s="15"/>
      <c r="J801" s="15"/>
      <c r="K801" s="15"/>
      <c r="L801" s="15"/>
      <c r="M801" s="15"/>
      <c r="N801" s="15"/>
      <c r="O801" s="15"/>
      <c r="P801" s="15"/>
      <c r="Q801" s="15"/>
      <c r="R801" s="15"/>
      <c r="S801" s="28"/>
      <c r="T801" s="15"/>
      <c r="U801" s="15"/>
      <c r="V801" s="15"/>
      <c r="W801" s="15"/>
      <c r="X801" s="15"/>
      <c r="Y801" s="15"/>
      <c r="Z801" s="15"/>
      <c r="AA801" s="15"/>
      <c r="AB801" s="15"/>
      <c r="AC801" s="15"/>
      <c r="AD801" s="15"/>
      <c r="AE801" s="15"/>
      <c r="AF801" s="15"/>
      <c r="AG801" s="29"/>
      <c r="AH801" s="15"/>
      <c r="AI801" s="15"/>
      <c r="AJ801" s="15"/>
      <c r="AK801" s="15"/>
      <c r="AL801" s="15"/>
      <c r="AM801" s="15"/>
      <c r="AN801" s="15"/>
    </row>
    <row r="802">
      <c r="A802" s="15"/>
      <c r="B802" s="15"/>
      <c r="C802" s="15"/>
      <c r="D802" s="15"/>
      <c r="E802" s="15"/>
      <c r="F802" s="15"/>
      <c r="G802" s="15"/>
      <c r="H802" s="15"/>
      <c r="I802" s="15"/>
      <c r="J802" s="15"/>
      <c r="K802" s="15"/>
      <c r="L802" s="15"/>
      <c r="M802" s="15"/>
      <c r="N802" s="15"/>
      <c r="O802" s="15"/>
      <c r="P802" s="15"/>
      <c r="Q802" s="15"/>
      <c r="R802" s="15"/>
      <c r="S802" s="28"/>
      <c r="T802" s="15"/>
      <c r="U802" s="15"/>
      <c r="V802" s="15"/>
      <c r="W802" s="15"/>
      <c r="X802" s="15"/>
      <c r="Y802" s="15"/>
      <c r="Z802" s="15"/>
      <c r="AA802" s="15"/>
      <c r="AB802" s="15"/>
      <c r="AC802" s="15"/>
      <c r="AD802" s="15"/>
      <c r="AE802" s="15"/>
      <c r="AF802" s="15"/>
      <c r="AG802" s="29"/>
      <c r="AH802" s="15"/>
      <c r="AI802" s="15"/>
      <c r="AJ802" s="15"/>
      <c r="AK802" s="15"/>
      <c r="AL802" s="15"/>
      <c r="AM802" s="15"/>
      <c r="AN802" s="15"/>
    </row>
    <row r="803">
      <c r="A803" s="15"/>
      <c r="B803" s="15"/>
      <c r="C803" s="15"/>
      <c r="D803" s="15"/>
      <c r="E803" s="15"/>
      <c r="F803" s="15"/>
      <c r="G803" s="15"/>
      <c r="H803" s="15"/>
      <c r="I803" s="15"/>
      <c r="J803" s="15"/>
      <c r="K803" s="15"/>
      <c r="L803" s="15"/>
      <c r="M803" s="15"/>
      <c r="N803" s="15"/>
      <c r="O803" s="15"/>
      <c r="P803" s="15"/>
      <c r="Q803" s="15"/>
      <c r="R803" s="15"/>
      <c r="S803" s="28"/>
      <c r="T803" s="15"/>
      <c r="U803" s="15"/>
      <c r="V803" s="15"/>
      <c r="W803" s="15"/>
      <c r="X803" s="15"/>
      <c r="Y803" s="15"/>
      <c r="Z803" s="15"/>
      <c r="AA803" s="15"/>
      <c r="AB803" s="15"/>
      <c r="AC803" s="15"/>
      <c r="AD803" s="15"/>
      <c r="AE803" s="15"/>
      <c r="AF803" s="15"/>
      <c r="AG803" s="29"/>
      <c r="AH803" s="15"/>
      <c r="AI803" s="15"/>
      <c r="AJ803" s="15"/>
      <c r="AK803" s="15"/>
      <c r="AL803" s="15"/>
      <c r="AM803" s="15"/>
      <c r="AN803" s="15"/>
    </row>
    <row r="804">
      <c r="A804" s="15"/>
      <c r="B804" s="15"/>
      <c r="C804" s="15"/>
      <c r="D804" s="15"/>
      <c r="E804" s="15"/>
      <c r="F804" s="15"/>
      <c r="G804" s="15"/>
      <c r="H804" s="15"/>
      <c r="I804" s="15"/>
      <c r="J804" s="15"/>
      <c r="K804" s="15"/>
      <c r="L804" s="15"/>
      <c r="M804" s="15"/>
      <c r="N804" s="15"/>
      <c r="O804" s="15"/>
      <c r="P804" s="15"/>
      <c r="Q804" s="15"/>
      <c r="R804" s="15"/>
      <c r="S804" s="28"/>
      <c r="T804" s="15"/>
      <c r="U804" s="15"/>
      <c r="V804" s="15"/>
      <c r="W804" s="15"/>
      <c r="X804" s="15"/>
      <c r="Y804" s="15"/>
      <c r="Z804" s="15"/>
      <c r="AA804" s="15"/>
      <c r="AB804" s="15"/>
      <c r="AC804" s="15"/>
      <c r="AD804" s="15"/>
      <c r="AE804" s="15"/>
      <c r="AF804" s="15"/>
      <c r="AG804" s="29"/>
      <c r="AH804" s="15"/>
      <c r="AI804" s="15"/>
      <c r="AJ804" s="15"/>
      <c r="AK804" s="15"/>
      <c r="AL804" s="15"/>
      <c r="AM804" s="15"/>
      <c r="AN804" s="15"/>
    </row>
    <row r="805">
      <c r="A805" s="15"/>
      <c r="B805" s="15"/>
      <c r="C805" s="15"/>
      <c r="D805" s="15"/>
      <c r="E805" s="15"/>
      <c r="F805" s="15"/>
      <c r="G805" s="15"/>
      <c r="H805" s="15"/>
      <c r="I805" s="15"/>
      <c r="J805" s="15"/>
      <c r="K805" s="15"/>
      <c r="L805" s="15"/>
      <c r="M805" s="15"/>
      <c r="N805" s="15"/>
      <c r="O805" s="15"/>
      <c r="P805" s="15"/>
      <c r="Q805" s="15"/>
      <c r="R805" s="15"/>
      <c r="S805" s="28"/>
      <c r="T805" s="15"/>
      <c r="U805" s="15"/>
      <c r="V805" s="15"/>
      <c r="W805" s="15"/>
      <c r="X805" s="15"/>
      <c r="Y805" s="15"/>
      <c r="Z805" s="15"/>
      <c r="AA805" s="15"/>
      <c r="AB805" s="15"/>
      <c r="AC805" s="15"/>
      <c r="AD805" s="15"/>
      <c r="AE805" s="15"/>
      <c r="AF805" s="15"/>
      <c r="AG805" s="29"/>
      <c r="AH805" s="15"/>
      <c r="AI805" s="15"/>
      <c r="AJ805" s="15"/>
      <c r="AK805" s="15"/>
      <c r="AL805" s="15"/>
      <c r="AM805" s="15"/>
      <c r="AN805" s="15"/>
    </row>
    <row r="806">
      <c r="A806" s="15"/>
      <c r="B806" s="15"/>
      <c r="C806" s="15"/>
      <c r="D806" s="15"/>
      <c r="E806" s="15"/>
      <c r="F806" s="15"/>
      <c r="G806" s="15"/>
      <c r="H806" s="15"/>
      <c r="I806" s="15"/>
      <c r="J806" s="15"/>
      <c r="K806" s="15"/>
      <c r="L806" s="15"/>
      <c r="M806" s="15"/>
      <c r="N806" s="15"/>
      <c r="O806" s="15"/>
      <c r="P806" s="15"/>
      <c r="Q806" s="15"/>
      <c r="R806" s="15"/>
      <c r="S806" s="28"/>
      <c r="T806" s="15"/>
      <c r="U806" s="15"/>
      <c r="V806" s="15"/>
      <c r="W806" s="15"/>
      <c r="X806" s="15"/>
      <c r="Y806" s="15"/>
      <c r="Z806" s="15"/>
      <c r="AA806" s="15"/>
      <c r="AB806" s="15"/>
      <c r="AC806" s="15"/>
      <c r="AD806" s="15"/>
      <c r="AE806" s="15"/>
      <c r="AF806" s="15"/>
      <c r="AG806" s="29"/>
      <c r="AH806" s="15"/>
      <c r="AI806" s="15"/>
      <c r="AJ806" s="15"/>
      <c r="AK806" s="15"/>
      <c r="AL806" s="15"/>
      <c r="AM806" s="15"/>
      <c r="AN806" s="15"/>
    </row>
    <row r="807">
      <c r="A807" s="15"/>
      <c r="B807" s="15"/>
      <c r="C807" s="15"/>
      <c r="D807" s="15"/>
      <c r="E807" s="15"/>
      <c r="F807" s="15"/>
      <c r="G807" s="15"/>
      <c r="H807" s="15"/>
      <c r="I807" s="15"/>
      <c r="J807" s="15"/>
      <c r="K807" s="15"/>
      <c r="L807" s="15"/>
      <c r="M807" s="15"/>
      <c r="N807" s="15"/>
      <c r="O807" s="15"/>
      <c r="P807" s="15"/>
      <c r="Q807" s="15"/>
      <c r="R807" s="15"/>
      <c r="S807" s="28"/>
      <c r="T807" s="15"/>
      <c r="U807" s="15"/>
      <c r="V807" s="15"/>
      <c r="W807" s="15"/>
      <c r="X807" s="15"/>
      <c r="Y807" s="15"/>
      <c r="Z807" s="15"/>
      <c r="AA807" s="15"/>
      <c r="AB807" s="15"/>
      <c r="AC807" s="15"/>
      <c r="AD807" s="15"/>
      <c r="AE807" s="15"/>
      <c r="AF807" s="15"/>
      <c r="AG807" s="29"/>
      <c r="AH807" s="15"/>
      <c r="AI807" s="15"/>
      <c r="AJ807" s="15"/>
      <c r="AK807" s="15"/>
      <c r="AL807" s="15"/>
      <c r="AM807" s="15"/>
      <c r="AN807" s="15"/>
    </row>
    <row r="808">
      <c r="A808" s="15"/>
      <c r="B808" s="15"/>
      <c r="C808" s="15"/>
      <c r="D808" s="15"/>
      <c r="E808" s="15"/>
      <c r="F808" s="15"/>
      <c r="G808" s="15"/>
      <c r="H808" s="15"/>
      <c r="I808" s="15"/>
      <c r="J808" s="15"/>
      <c r="K808" s="15"/>
      <c r="L808" s="15"/>
      <c r="M808" s="15"/>
      <c r="N808" s="15"/>
      <c r="O808" s="15"/>
      <c r="P808" s="15"/>
      <c r="Q808" s="15"/>
      <c r="R808" s="15"/>
      <c r="S808" s="28"/>
      <c r="T808" s="15"/>
      <c r="U808" s="15"/>
      <c r="V808" s="15"/>
      <c r="W808" s="15"/>
      <c r="X808" s="15"/>
      <c r="Y808" s="15"/>
      <c r="Z808" s="15"/>
      <c r="AA808" s="15"/>
      <c r="AB808" s="15"/>
      <c r="AC808" s="15"/>
      <c r="AD808" s="15"/>
      <c r="AE808" s="15"/>
      <c r="AF808" s="15"/>
      <c r="AG808" s="29"/>
      <c r="AH808" s="15"/>
      <c r="AI808" s="15"/>
      <c r="AJ808" s="15"/>
      <c r="AK808" s="15"/>
      <c r="AL808" s="15"/>
      <c r="AM808" s="15"/>
      <c r="AN808" s="15"/>
    </row>
    <row r="809">
      <c r="A809" s="15"/>
      <c r="B809" s="15"/>
      <c r="C809" s="15"/>
      <c r="D809" s="15"/>
      <c r="E809" s="15"/>
      <c r="F809" s="15"/>
      <c r="G809" s="15"/>
      <c r="H809" s="15"/>
      <c r="I809" s="15"/>
      <c r="J809" s="15"/>
      <c r="K809" s="15"/>
      <c r="L809" s="15"/>
      <c r="M809" s="15"/>
      <c r="N809" s="15"/>
      <c r="O809" s="15"/>
      <c r="P809" s="15"/>
      <c r="Q809" s="15"/>
      <c r="R809" s="15"/>
      <c r="S809" s="28"/>
      <c r="T809" s="15"/>
      <c r="U809" s="15"/>
      <c r="V809" s="15"/>
      <c r="W809" s="15"/>
      <c r="X809" s="15"/>
      <c r="Y809" s="15"/>
      <c r="Z809" s="15"/>
      <c r="AA809" s="15"/>
      <c r="AB809" s="15"/>
      <c r="AC809" s="15"/>
      <c r="AD809" s="15"/>
      <c r="AE809" s="15"/>
      <c r="AF809" s="15"/>
      <c r="AG809" s="29"/>
      <c r="AH809" s="15"/>
      <c r="AI809" s="15"/>
      <c r="AJ809" s="15"/>
      <c r="AK809" s="15"/>
      <c r="AL809" s="15"/>
      <c r="AM809" s="15"/>
      <c r="AN809" s="15"/>
    </row>
    <row r="810">
      <c r="A810" s="15"/>
      <c r="B810" s="15"/>
      <c r="C810" s="15"/>
      <c r="D810" s="15"/>
      <c r="E810" s="15"/>
      <c r="F810" s="15"/>
      <c r="G810" s="15"/>
      <c r="H810" s="15"/>
      <c r="I810" s="15"/>
      <c r="J810" s="15"/>
      <c r="K810" s="15"/>
      <c r="L810" s="15"/>
      <c r="M810" s="15"/>
      <c r="N810" s="15"/>
      <c r="O810" s="15"/>
      <c r="P810" s="15"/>
      <c r="Q810" s="15"/>
      <c r="R810" s="15"/>
      <c r="S810" s="28"/>
      <c r="T810" s="15"/>
      <c r="U810" s="15"/>
      <c r="V810" s="15"/>
      <c r="W810" s="15"/>
      <c r="X810" s="15"/>
      <c r="Y810" s="15"/>
      <c r="Z810" s="15"/>
      <c r="AA810" s="15"/>
      <c r="AB810" s="15"/>
      <c r="AC810" s="15"/>
      <c r="AD810" s="15"/>
      <c r="AE810" s="15"/>
      <c r="AF810" s="15"/>
      <c r="AG810" s="29"/>
      <c r="AH810" s="15"/>
      <c r="AI810" s="15"/>
      <c r="AJ810" s="15"/>
      <c r="AK810" s="15"/>
      <c r="AL810" s="15"/>
      <c r="AM810" s="15"/>
      <c r="AN810" s="15"/>
    </row>
    <row r="811">
      <c r="A811" s="15"/>
      <c r="B811" s="15"/>
      <c r="C811" s="15"/>
      <c r="D811" s="15"/>
      <c r="E811" s="15"/>
      <c r="F811" s="15"/>
      <c r="G811" s="15"/>
      <c r="H811" s="15"/>
      <c r="I811" s="15"/>
      <c r="J811" s="15"/>
      <c r="K811" s="15"/>
      <c r="L811" s="15"/>
      <c r="M811" s="15"/>
      <c r="N811" s="15"/>
      <c r="O811" s="15"/>
      <c r="P811" s="15"/>
      <c r="Q811" s="15"/>
      <c r="R811" s="15"/>
      <c r="S811" s="28"/>
      <c r="T811" s="15"/>
      <c r="U811" s="15"/>
      <c r="V811" s="15"/>
      <c r="W811" s="15"/>
      <c r="X811" s="15"/>
      <c r="Y811" s="15"/>
      <c r="Z811" s="15"/>
      <c r="AA811" s="15"/>
      <c r="AB811" s="15"/>
      <c r="AC811" s="15"/>
      <c r="AD811" s="15"/>
      <c r="AE811" s="15"/>
      <c r="AF811" s="15"/>
      <c r="AG811" s="29"/>
      <c r="AH811" s="15"/>
      <c r="AI811" s="15"/>
      <c r="AJ811" s="15"/>
      <c r="AK811" s="15"/>
      <c r="AL811" s="15"/>
      <c r="AM811" s="15"/>
      <c r="AN811" s="15"/>
    </row>
    <row r="812">
      <c r="A812" s="15"/>
      <c r="B812" s="15"/>
      <c r="C812" s="15"/>
      <c r="D812" s="15"/>
      <c r="E812" s="15"/>
      <c r="F812" s="15"/>
      <c r="G812" s="15"/>
      <c r="H812" s="15"/>
      <c r="I812" s="15"/>
      <c r="J812" s="15"/>
      <c r="K812" s="15"/>
      <c r="L812" s="15"/>
      <c r="M812" s="15"/>
      <c r="N812" s="15"/>
      <c r="O812" s="15"/>
      <c r="P812" s="15"/>
      <c r="Q812" s="15"/>
      <c r="R812" s="15"/>
      <c r="S812" s="28"/>
      <c r="T812" s="15"/>
      <c r="U812" s="15"/>
      <c r="V812" s="15"/>
      <c r="W812" s="15"/>
      <c r="X812" s="15"/>
      <c r="Y812" s="15"/>
      <c r="Z812" s="15"/>
      <c r="AA812" s="15"/>
      <c r="AB812" s="15"/>
      <c r="AC812" s="15"/>
      <c r="AD812" s="15"/>
      <c r="AE812" s="15"/>
      <c r="AF812" s="15"/>
      <c r="AG812" s="29"/>
      <c r="AH812" s="15"/>
      <c r="AI812" s="15"/>
      <c r="AJ812" s="15"/>
      <c r="AK812" s="15"/>
      <c r="AL812" s="15"/>
      <c r="AM812" s="15"/>
      <c r="AN812" s="15"/>
    </row>
    <row r="813">
      <c r="A813" s="15"/>
      <c r="B813" s="15"/>
      <c r="C813" s="15"/>
      <c r="D813" s="15"/>
      <c r="E813" s="15"/>
      <c r="F813" s="15"/>
      <c r="G813" s="15"/>
      <c r="H813" s="15"/>
      <c r="I813" s="15"/>
      <c r="J813" s="15"/>
      <c r="K813" s="15"/>
      <c r="L813" s="15"/>
      <c r="M813" s="15"/>
      <c r="N813" s="15"/>
      <c r="O813" s="15"/>
      <c r="P813" s="15"/>
      <c r="Q813" s="15"/>
      <c r="R813" s="15"/>
      <c r="S813" s="28"/>
      <c r="T813" s="15"/>
      <c r="U813" s="15"/>
      <c r="V813" s="15"/>
      <c r="W813" s="15"/>
      <c r="X813" s="15"/>
      <c r="Y813" s="15"/>
      <c r="Z813" s="15"/>
      <c r="AA813" s="15"/>
      <c r="AB813" s="15"/>
      <c r="AC813" s="15"/>
      <c r="AD813" s="15"/>
      <c r="AE813" s="15"/>
      <c r="AF813" s="15"/>
      <c r="AG813" s="29"/>
      <c r="AH813" s="15"/>
      <c r="AI813" s="15"/>
      <c r="AJ813" s="15"/>
      <c r="AK813" s="15"/>
      <c r="AL813" s="15"/>
      <c r="AM813" s="15"/>
      <c r="AN813" s="15"/>
    </row>
    <row r="814">
      <c r="A814" s="15"/>
      <c r="B814" s="15"/>
      <c r="C814" s="15"/>
      <c r="D814" s="15"/>
      <c r="E814" s="15"/>
      <c r="F814" s="15"/>
      <c r="G814" s="15"/>
      <c r="H814" s="15"/>
      <c r="I814" s="15"/>
      <c r="J814" s="15"/>
      <c r="K814" s="15"/>
      <c r="L814" s="15"/>
      <c r="M814" s="15"/>
      <c r="N814" s="15"/>
      <c r="O814" s="15"/>
      <c r="P814" s="15"/>
      <c r="Q814" s="15"/>
      <c r="R814" s="15"/>
      <c r="S814" s="28"/>
      <c r="T814" s="15"/>
      <c r="U814" s="15"/>
      <c r="V814" s="15"/>
      <c r="W814" s="15"/>
      <c r="X814" s="15"/>
      <c r="Y814" s="15"/>
      <c r="Z814" s="15"/>
      <c r="AA814" s="15"/>
      <c r="AB814" s="15"/>
      <c r="AC814" s="15"/>
      <c r="AD814" s="15"/>
      <c r="AE814" s="15"/>
      <c r="AF814" s="15"/>
      <c r="AG814" s="29"/>
      <c r="AH814" s="15"/>
      <c r="AI814" s="15"/>
      <c r="AJ814" s="15"/>
      <c r="AK814" s="15"/>
      <c r="AL814" s="15"/>
      <c r="AM814" s="15"/>
      <c r="AN814" s="15"/>
    </row>
    <row r="815">
      <c r="A815" s="15"/>
      <c r="B815" s="15"/>
      <c r="C815" s="15"/>
      <c r="D815" s="15"/>
      <c r="E815" s="15"/>
      <c r="F815" s="15"/>
      <c r="G815" s="15"/>
      <c r="H815" s="15"/>
      <c r="I815" s="15"/>
      <c r="J815" s="15"/>
      <c r="K815" s="15"/>
      <c r="L815" s="15"/>
      <c r="M815" s="15"/>
      <c r="N815" s="15"/>
      <c r="O815" s="15"/>
      <c r="P815" s="15"/>
      <c r="Q815" s="15"/>
      <c r="R815" s="15"/>
      <c r="S815" s="28"/>
      <c r="T815" s="15"/>
      <c r="U815" s="15"/>
      <c r="V815" s="15"/>
      <c r="W815" s="15"/>
      <c r="X815" s="15"/>
      <c r="Y815" s="15"/>
      <c r="Z815" s="15"/>
      <c r="AA815" s="15"/>
      <c r="AB815" s="15"/>
      <c r="AC815" s="15"/>
      <c r="AD815" s="15"/>
      <c r="AE815" s="15"/>
      <c r="AF815" s="15"/>
      <c r="AG815" s="29"/>
      <c r="AH815" s="15"/>
      <c r="AI815" s="15"/>
      <c r="AJ815" s="15"/>
      <c r="AK815" s="15"/>
      <c r="AL815" s="15"/>
      <c r="AM815" s="15"/>
      <c r="AN815" s="15"/>
    </row>
    <row r="816">
      <c r="A816" s="15"/>
      <c r="B816" s="15"/>
      <c r="C816" s="15"/>
      <c r="D816" s="15"/>
      <c r="E816" s="15"/>
      <c r="F816" s="15"/>
      <c r="G816" s="15"/>
      <c r="H816" s="15"/>
      <c r="I816" s="15"/>
      <c r="J816" s="15"/>
      <c r="K816" s="15"/>
      <c r="L816" s="15"/>
      <c r="M816" s="15"/>
      <c r="N816" s="15"/>
      <c r="O816" s="15"/>
      <c r="P816" s="15"/>
      <c r="Q816" s="15"/>
      <c r="R816" s="15"/>
      <c r="S816" s="28"/>
      <c r="T816" s="15"/>
      <c r="U816" s="15"/>
      <c r="V816" s="15"/>
      <c r="W816" s="15"/>
      <c r="X816" s="15"/>
      <c r="Y816" s="15"/>
      <c r="Z816" s="15"/>
      <c r="AA816" s="15"/>
      <c r="AB816" s="15"/>
      <c r="AC816" s="15"/>
      <c r="AD816" s="15"/>
      <c r="AE816" s="15"/>
      <c r="AF816" s="15"/>
      <c r="AG816" s="29"/>
      <c r="AH816" s="15"/>
      <c r="AI816" s="15"/>
      <c r="AJ816" s="15"/>
      <c r="AK816" s="15"/>
      <c r="AL816" s="15"/>
      <c r="AM816" s="15"/>
      <c r="AN816" s="15"/>
    </row>
    <row r="817">
      <c r="A817" s="15"/>
      <c r="B817" s="15"/>
      <c r="C817" s="15"/>
      <c r="D817" s="15"/>
      <c r="E817" s="15"/>
      <c r="F817" s="15"/>
      <c r="G817" s="15"/>
      <c r="H817" s="15"/>
      <c r="I817" s="15"/>
      <c r="J817" s="15"/>
      <c r="K817" s="15"/>
      <c r="L817" s="15"/>
      <c r="M817" s="15"/>
      <c r="N817" s="15"/>
      <c r="O817" s="15"/>
      <c r="P817" s="15"/>
      <c r="Q817" s="15"/>
      <c r="R817" s="15"/>
      <c r="S817" s="28"/>
      <c r="T817" s="15"/>
      <c r="U817" s="15"/>
      <c r="V817" s="15"/>
      <c r="W817" s="15"/>
      <c r="X817" s="15"/>
      <c r="Y817" s="15"/>
      <c r="Z817" s="15"/>
      <c r="AA817" s="15"/>
      <c r="AB817" s="15"/>
      <c r="AC817" s="15"/>
      <c r="AD817" s="15"/>
      <c r="AE817" s="15"/>
      <c r="AF817" s="15"/>
      <c r="AG817" s="29"/>
      <c r="AH817" s="15"/>
      <c r="AI817" s="15"/>
      <c r="AJ817" s="15"/>
      <c r="AK817" s="15"/>
      <c r="AL817" s="15"/>
      <c r="AM817" s="15"/>
      <c r="AN817" s="15"/>
    </row>
    <row r="818">
      <c r="A818" s="15"/>
      <c r="B818" s="15"/>
      <c r="C818" s="15"/>
      <c r="D818" s="15"/>
      <c r="E818" s="15"/>
      <c r="F818" s="15"/>
      <c r="G818" s="15"/>
      <c r="H818" s="15"/>
      <c r="I818" s="15"/>
      <c r="J818" s="15"/>
      <c r="K818" s="15"/>
      <c r="L818" s="15"/>
      <c r="M818" s="15"/>
      <c r="N818" s="15"/>
      <c r="O818" s="15"/>
      <c r="P818" s="15"/>
      <c r="Q818" s="15"/>
      <c r="R818" s="15"/>
      <c r="S818" s="28"/>
      <c r="T818" s="15"/>
      <c r="U818" s="15"/>
      <c r="V818" s="15"/>
      <c r="W818" s="15"/>
      <c r="X818" s="15"/>
      <c r="Y818" s="15"/>
      <c r="Z818" s="15"/>
      <c r="AA818" s="15"/>
      <c r="AB818" s="15"/>
      <c r="AC818" s="15"/>
      <c r="AD818" s="15"/>
      <c r="AE818" s="15"/>
      <c r="AF818" s="15"/>
      <c r="AG818" s="29"/>
      <c r="AH818" s="15"/>
      <c r="AI818" s="15"/>
      <c r="AJ818" s="15"/>
      <c r="AK818" s="15"/>
      <c r="AL818" s="15"/>
      <c r="AM818" s="15"/>
      <c r="AN818" s="15"/>
    </row>
    <row r="819">
      <c r="A819" s="15"/>
      <c r="B819" s="15"/>
      <c r="C819" s="15"/>
      <c r="D819" s="15"/>
      <c r="E819" s="15"/>
      <c r="F819" s="15"/>
      <c r="G819" s="15"/>
      <c r="H819" s="15"/>
      <c r="I819" s="15"/>
      <c r="J819" s="15"/>
      <c r="K819" s="15"/>
      <c r="L819" s="15"/>
      <c r="M819" s="15"/>
      <c r="N819" s="15"/>
      <c r="O819" s="15"/>
      <c r="P819" s="15"/>
      <c r="Q819" s="15"/>
      <c r="R819" s="15"/>
      <c r="S819" s="28"/>
      <c r="T819" s="15"/>
      <c r="U819" s="15"/>
      <c r="V819" s="15"/>
      <c r="W819" s="15"/>
      <c r="X819" s="15"/>
      <c r="Y819" s="15"/>
      <c r="Z819" s="15"/>
      <c r="AA819" s="15"/>
      <c r="AB819" s="15"/>
      <c r="AC819" s="15"/>
      <c r="AD819" s="15"/>
      <c r="AE819" s="15"/>
      <c r="AF819" s="15"/>
      <c r="AG819" s="29"/>
      <c r="AH819" s="15"/>
      <c r="AI819" s="15"/>
      <c r="AJ819" s="15"/>
      <c r="AK819" s="15"/>
      <c r="AL819" s="15"/>
      <c r="AM819" s="15"/>
      <c r="AN819" s="15"/>
    </row>
    <row r="820">
      <c r="A820" s="15"/>
      <c r="B820" s="15"/>
      <c r="C820" s="15"/>
      <c r="D820" s="15"/>
      <c r="E820" s="15"/>
      <c r="F820" s="15"/>
      <c r="G820" s="15"/>
      <c r="H820" s="15"/>
      <c r="I820" s="15"/>
      <c r="J820" s="15"/>
      <c r="K820" s="15"/>
      <c r="L820" s="15"/>
      <c r="M820" s="15"/>
      <c r="N820" s="15"/>
      <c r="O820" s="15"/>
      <c r="P820" s="15"/>
      <c r="Q820" s="15"/>
      <c r="R820" s="15"/>
      <c r="S820" s="28"/>
      <c r="T820" s="15"/>
      <c r="U820" s="15"/>
      <c r="V820" s="15"/>
      <c r="W820" s="15"/>
      <c r="X820" s="15"/>
      <c r="Y820" s="15"/>
      <c r="Z820" s="15"/>
      <c r="AA820" s="15"/>
      <c r="AB820" s="15"/>
      <c r="AC820" s="15"/>
      <c r="AD820" s="15"/>
      <c r="AE820" s="15"/>
      <c r="AF820" s="15"/>
      <c r="AG820" s="29"/>
      <c r="AH820" s="15"/>
      <c r="AI820" s="15"/>
      <c r="AJ820" s="15"/>
      <c r="AK820" s="15"/>
      <c r="AL820" s="15"/>
      <c r="AM820" s="15"/>
      <c r="AN820" s="15"/>
    </row>
    <row r="821">
      <c r="A821" s="15"/>
      <c r="B821" s="15"/>
      <c r="C821" s="15"/>
      <c r="D821" s="15"/>
      <c r="E821" s="15"/>
      <c r="F821" s="15"/>
      <c r="G821" s="15"/>
      <c r="H821" s="15"/>
      <c r="I821" s="15"/>
      <c r="J821" s="15"/>
      <c r="K821" s="15"/>
      <c r="L821" s="15"/>
      <c r="M821" s="15"/>
      <c r="N821" s="15"/>
      <c r="O821" s="15"/>
      <c r="P821" s="15"/>
      <c r="Q821" s="15"/>
      <c r="R821" s="15"/>
      <c r="S821" s="28"/>
      <c r="T821" s="15"/>
      <c r="U821" s="15"/>
      <c r="V821" s="15"/>
      <c r="W821" s="15"/>
      <c r="X821" s="15"/>
      <c r="Y821" s="15"/>
      <c r="Z821" s="15"/>
      <c r="AA821" s="15"/>
      <c r="AB821" s="15"/>
      <c r="AC821" s="15"/>
      <c r="AD821" s="15"/>
      <c r="AE821" s="15"/>
      <c r="AF821" s="15"/>
      <c r="AG821" s="29"/>
      <c r="AH821" s="15"/>
      <c r="AI821" s="15"/>
      <c r="AJ821" s="15"/>
      <c r="AK821" s="15"/>
      <c r="AL821" s="15"/>
      <c r="AM821" s="15"/>
      <c r="AN821" s="15"/>
    </row>
    <row r="822">
      <c r="A822" s="15"/>
      <c r="B822" s="15"/>
      <c r="C822" s="15"/>
      <c r="D822" s="15"/>
      <c r="E822" s="15"/>
      <c r="F822" s="15"/>
      <c r="G822" s="15"/>
      <c r="H822" s="15"/>
      <c r="I822" s="15"/>
      <c r="J822" s="15"/>
      <c r="K822" s="15"/>
      <c r="L822" s="15"/>
      <c r="M822" s="15"/>
      <c r="N822" s="15"/>
      <c r="O822" s="15"/>
      <c r="P822" s="15"/>
      <c r="Q822" s="15"/>
      <c r="R822" s="15"/>
      <c r="S822" s="28"/>
      <c r="T822" s="15"/>
      <c r="U822" s="15"/>
      <c r="V822" s="15"/>
      <c r="W822" s="15"/>
      <c r="X822" s="15"/>
      <c r="Y822" s="15"/>
      <c r="Z822" s="15"/>
      <c r="AA822" s="15"/>
      <c r="AB822" s="15"/>
      <c r="AC822" s="15"/>
      <c r="AD822" s="15"/>
      <c r="AE822" s="15"/>
      <c r="AF822" s="15"/>
      <c r="AG822" s="29"/>
      <c r="AH822" s="15"/>
      <c r="AI822" s="15"/>
      <c r="AJ822" s="15"/>
      <c r="AK822" s="15"/>
      <c r="AL822" s="15"/>
      <c r="AM822" s="15"/>
      <c r="AN822" s="15"/>
    </row>
    <row r="823">
      <c r="S823" s="30"/>
      <c r="AG823" s="31"/>
    </row>
    <row r="824">
      <c r="S824" s="30"/>
      <c r="AG824" s="31"/>
    </row>
    <row r="825">
      <c r="S825" s="30"/>
      <c r="AG825" s="31"/>
    </row>
    <row r="826">
      <c r="S826" s="30"/>
      <c r="AG826" s="31"/>
    </row>
    <row r="827">
      <c r="S827" s="30"/>
      <c r="AG827" s="31"/>
    </row>
    <row r="828">
      <c r="S828" s="30"/>
      <c r="AG828" s="31"/>
    </row>
    <row r="829">
      <c r="S829" s="30"/>
      <c r="AG829" s="31"/>
    </row>
    <row r="830">
      <c r="S830" s="30"/>
      <c r="AG830" s="31"/>
    </row>
    <row r="831">
      <c r="S831" s="30"/>
      <c r="AG831" s="31"/>
    </row>
    <row r="832">
      <c r="S832" s="30"/>
      <c r="AG832" s="31"/>
    </row>
    <row r="833">
      <c r="S833" s="30"/>
      <c r="AG833" s="31"/>
    </row>
    <row r="834">
      <c r="S834" s="30"/>
      <c r="AG834" s="31"/>
    </row>
    <row r="835">
      <c r="S835" s="30"/>
      <c r="AG835" s="31"/>
    </row>
    <row r="836">
      <c r="S836" s="30"/>
      <c r="AG836" s="31"/>
    </row>
    <row r="837">
      <c r="S837" s="30"/>
      <c r="AG837" s="31"/>
    </row>
    <row r="838">
      <c r="S838" s="30"/>
      <c r="AG838" s="31"/>
    </row>
    <row r="839">
      <c r="S839" s="30"/>
      <c r="AG839" s="31"/>
    </row>
    <row r="840">
      <c r="S840" s="30"/>
      <c r="AG840" s="31"/>
    </row>
    <row r="841">
      <c r="S841" s="30"/>
      <c r="AG841" s="31"/>
    </row>
    <row r="842">
      <c r="S842" s="30"/>
      <c r="AG842" s="31"/>
    </row>
    <row r="843">
      <c r="S843" s="30"/>
      <c r="AG843" s="31"/>
    </row>
    <row r="844">
      <c r="S844" s="30"/>
      <c r="AG844" s="31"/>
    </row>
    <row r="845">
      <c r="S845" s="30"/>
      <c r="AG845" s="31"/>
    </row>
    <row r="846">
      <c r="S846" s="30"/>
      <c r="AG846" s="31"/>
    </row>
    <row r="847">
      <c r="S847" s="30"/>
      <c r="AG847" s="31"/>
    </row>
    <row r="848">
      <c r="S848" s="30"/>
      <c r="AG848" s="31"/>
    </row>
    <row r="849">
      <c r="S849" s="30"/>
      <c r="AG849" s="31"/>
    </row>
    <row r="850">
      <c r="S850" s="30"/>
      <c r="AG850" s="31"/>
    </row>
    <row r="851">
      <c r="S851" s="30"/>
      <c r="AG851" s="31"/>
    </row>
    <row r="852">
      <c r="S852" s="30"/>
      <c r="AG852" s="31"/>
    </row>
    <row r="853">
      <c r="S853" s="30"/>
      <c r="AG853" s="31"/>
    </row>
    <row r="854">
      <c r="S854" s="30"/>
      <c r="AG854" s="31"/>
    </row>
    <row r="855">
      <c r="S855" s="30"/>
      <c r="AG855" s="31"/>
    </row>
    <row r="856">
      <c r="S856" s="30"/>
      <c r="AG856" s="31"/>
    </row>
    <row r="857">
      <c r="S857" s="30"/>
      <c r="AG857" s="31"/>
    </row>
    <row r="858">
      <c r="S858" s="30"/>
      <c r="AG858" s="31"/>
    </row>
    <row r="859">
      <c r="S859" s="30"/>
      <c r="AG859" s="31"/>
    </row>
    <row r="860">
      <c r="S860" s="30"/>
      <c r="AG860" s="31"/>
    </row>
    <row r="861">
      <c r="S861" s="30"/>
      <c r="AG861" s="31"/>
    </row>
    <row r="862">
      <c r="S862" s="30"/>
      <c r="AG862" s="31"/>
    </row>
    <row r="863">
      <c r="S863" s="30"/>
      <c r="AG863" s="31"/>
    </row>
    <row r="864">
      <c r="S864" s="30"/>
      <c r="AG864" s="31"/>
    </row>
    <row r="865">
      <c r="S865" s="30"/>
      <c r="AG865" s="31"/>
    </row>
    <row r="866">
      <c r="S866" s="30"/>
      <c r="AG866" s="31"/>
    </row>
    <row r="867">
      <c r="S867" s="30"/>
      <c r="AG867" s="31"/>
    </row>
    <row r="868">
      <c r="S868" s="30"/>
      <c r="AG868" s="31"/>
    </row>
    <row r="869">
      <c r="S869" s="30"/>
      <c r="AG869" s="31"/>
    </row>
    <row r="870">
      <c r="S870" s="30"/>
      <c r="AG870" s="31"/>
    </row>
    <row r="871">
      <c r="S871" s="30"/>
      <c r="AG871" s="31"/>
    </row>
    <row r="872">
      <c r="S872" s="30"/>
      <c r="AG872" s="31"/>
    </row>
    <row r="873">
      <c r="S873" s="30"/>
      <c r="AG873" s="31"/>
    </row>
    <row r="874">
      <c r="S874" s="30"/>
      <c r="AG874" s="31"/>
    </row>
    <row r="875">
      <c r="S875" s="30"/>
      <c r="AG875" s="31"/>
    </row>
    <row r="876">
      <c r="S876" s="30"/>
      <c r="AG876" s="31"/>
    </row>
    <row r="877">
      <c r="S877" s="30"/>
      <c r="AG877" s="31"/>
    </row>
    <row r="878">
      <c r="S878" s="30"/>
      <c r="AG878" s="31"/>
    </row>
    <row r="879">
      <c r="S879" s="30"/>
      <c r="AG879" s="31"/>
    </row>
    <row r="880">
      <c r="S880" s="30"/>
      <c r="AG880" s="31"/>
    </row>
    <row r="881">
      <c r="S881" s="30"/>
      <c r="AG881" s="31"/>
    </row>
    <row r="882">
      <c r="S882" s="30"/>
      <c r="AG882" s="31"/>
    </row>
    <row r="883">
      <c r="S883" s="30"/>
      <c r="AG883" s="31"/>
    </row>
    <row r="884">
      <c r="S884" s="30"/>
      <c r="AG884" s="31"/>
    </row>
    <row r="885">
      <c r="S885" s="30"/>
      <c r="AG885" s="31"/>
    </row>
    <row r="886">
      <c r="S886" s="30"/>
      <c r="AG886" s="31"/>
    </row>
    <row r="887">
      <c r="S887" s="30"/>
      <c r="AG887" s="31"/>
    </row>
    <row r="888">
      <c r="S888" s="30"/>
      <c r="AG888" s="31"/>
    </row>
    <row r="889">
      <c r="S889" s="30"/>
      <c r="AG889" s="31"/>
    </row>
    <row r="890">
      <c r="S890" s="30"/>
      <c r="AG890" s="31"/>
    </row>
    <row r="891">
      <c r="S891" s="30"/>
      <c r="AG891" s="31"/>
    </row>
    <row r="892">
      <c r="S892" s="30"/>
      <c r="AG892" s="31"/>
    </row>
    <row r="893">
      <c r="S893" s="30"/>
      <c r="AG893" s="31"/>
    </row>
    <row r="894">
      <c r="S894" s="30"/>
      <c r="AG894" s="31"/>
    </row>
    <row r="895">
      <c r="S895" s="30"/>
      <c r="AG895" s="31"/>
    </row>
    <row r="896">
      <c r="S896" s="30"/>
      <c r="AG896" s="31"/>
    </row>
    <row r="897">
      <c r="S897" s="30"/>
      <c r="AG897" s="31"/>
    </row>
    <row r="898">
      <c r="S898" s="30"/>
      <c r="AG898" s="31"/>
    </row>
    <row r="899">
      <c r="S899" s="30"/>
      <c r="AG899" s="31"/>
    </row>
    <row r="900">
      <c r="S900" s="30"/>
      <c r="AG900" s="31"/>
    </row>
    <row r="901">
      <c r="S901" s="30"/>
      <c r="AG901" s="31"/>
    </row>
    <row r="902">
      <c r="S902" s="30"/>
      <c r="AG902" s="31"/>
    </row>
    <row r="903">
      <c r="S903" s="30"/>
      <c r="AG903" s="31"/>
    </row>
    <row r="904">
      <c r="S904" s="30"/>
      <c r="AG904" s="31"/>
    </row>
    <row r="905">
      <c r="S905" s="30"/>
      <c r="AG905" s="31"/>
    </row>
    <row r="906">
      <c r="S906" s="30"/>
      <c r="AG906" s="31"/>
    </row>
    <row r="907">
      <c r="S907" s="30"/>
      <c r="AG907" s="31"/>
    </row>
    <row r="908">
      <c r="S908" s="30"/>
      <c r="AG908" s="31"/>
    </row>
    <row r="909">
      <c r="S909" s="30"/>
      <c r="AG909" s="31"/>
    </row>
    <row r="910">
      <c r="S910" s="30"/>
      <c r="AG910" s="31"/>
    </row>
    <row r="911">
      <c r="S911" s="30"/>
      <c r="AG911" s="31"/>
    </row>
    <row r="912">
      <c r="S912" s="30"/>
      <c r="AG912" s="31"/>
    </row>
    <row r="913">
      <c r="S913" s="30"/>
      <c r="AG913" s="31"/>
    </row>
    <row r="914">
      <c r="S914" s="30"/>
      <c r="AG914" s="31"/>
    </row>
    <row r="915">
      <c r="S915" s="30"/>
      <c r="AG915" s="31"/>
    </row>
    <row r="916">
      <c r="S916" s="30"/>
      <c r="AG916" s="31"/>
    </row>
    <row r="917">
      <c r="S917" s="30"/>
      <c r="AG917" s="31"/>
    </row>
    <row r="918">
      <c r="S918" s="30"/>
      <c r="AG918" s="31"/>
    </row>
    <row r="919">
      <c r="S919" s="30"/>
      <c r="AG919" s="31"/>
    </row>
    <row r="920">
      <c r="S920" s="30"/>
      <c r="AG920" s="31"/>
    </row>
    <row r="921">
      <c r="S921" s="30"/>
      <c r="AG921" s="31"/>
    </row>
    <row r="922">
      <c r="S922" s="30"/>
      <c r="AG922" s="31"/>
    </row>
    <row r="923">
      <c r="S923" s="30"/>
      <c r="AG923" s="31"/>
    </row>
    <row r="924">
      <c r="S924" s="30"/>
      <c r="AG924" s="31"/>
    </row>
    <row r="925">
      <c r="S925" s="30"/>
      <c r="AG925" s="31"/>
    </row>
    <row r="926">
      <c r="S926" s="30"/>
      <c r="AG926" s="31"/>
    </row>
    <row r="927">
      <c r="S927" s="30"/>
      <c r="AG927" s="31"/>
    </row>
    <row r="928">
      <c r="S928" s="30"/>
      <c r="AG928" s="31"/>
    </row>
    <row r="929">
      <c r="S929" s="30"/>
      <c r="AG929" s="31"/>
    </row>
    <row r="930">
      <c r="S930" s="30"/>
      <c r="AG930" s="31"/>
    </row>
    <row r="931">
      <c r="S931" s="30"/>
      <c r="AG931" s="31"/>
    </row>
    <row r="932">
      <c r="S932" s="30"/>
      <c r="AG932" s="31"/>
    </row>
    <row r="933">
      <c r="S933" s="30"/>
      <c r="AG933" s="31"/>
    </row>
    <row r="934">
      <c r="S934" s="30"/>
      <c r="AG934" s="31"/>
    </row>
    <row r="935">
      <c r="S935" s="30"/>
      <c r="AG935" s="31"/>
    </row>
    <row r="936">
      <c r="S936" s="30"/>
      <c r="AG936" s="31"/>
    </row>
    <row r="937">
      <c r="S937" s="30"/>
      <c r="AG937" s="31"/>
    </row>
    <row r="938">
      <c r="S938" s="30"/>
      <c r="AG938" s="31"/>
    </row>
    <row r="939">
      <c r="S939" s="30"/>
      <c r="AG939" s="31"/>
    </row>
    <row r="940">
      <c r="S940" s="30"/>
      <c r="AG940" s="31"/>
    </row>
    <row r="941">
      <c r="S941" s="30"/>
      <c r="AG941" s="31"/>
    </row>
    <row r="942">
      <c r="S942" s="30"/>
      <c r="AG942" s="31"/>
    </row>
    <row r="943">
      <c r="S943" s="30"/>
      <c r="AG943" s="31"/>
    </row>
    <row r="944">
      <c r="S944" s="30"/>
      <c r="AG944" s="31"/>
    </row>
    <row r="945">
      <c r="S945" s="30"/>
      <c r="AG945" s="31"/>
    </row>
    <row r="946">
      <c r="S946" s="30"/>
      <c r="AG946" s="31"/>
    </row>
    <row r="947">
      <c r="S947" s="30"/>
      <c r="AG947" s="31"/>
    </row>
    <row r="948">
      <c r="S948" s="30"/>
      <c r="AG948" s="31"/>
    </row>
    <row r="949">
      <c r="S949" s="30"/>
      <c r="AG949" s="31"/>
    </row>
    <row r="950">
      <c r="S950" s="30"/>
      <c r="AG950" s="31"/>
    </row>
    <row r="951">
      <c r="S951" s="30"/>
      <c r="AG951" s="31"/>
    </row>
    <row r="952">
      <c r="S952" s="30"/>
      <c r="AG952" s="31"/>
    </row>
    <row r="953">
      <c r="S953" s="30"/>
      <c r="AG953" s="31"/>
    </row>
    <row r="954">
      <c r="S954" s="30"/>
      <c r="AG954" s="31"/>
    </row>
    <row r="955">
      <c r="S955" s="30"/>
      <c r="AG955" s="31"/>
    </row>
    <row r="956">
      <c r="S956" s="30"/>
      <c r="AG956" s="31"/>
    </row>
    <row r="957">
      <c r="S957" s="30"/>
      <c r="AG957" s="31"/>
    </row>
    <row r="958">
      <c r="S958" s="30"/>
      <c r="AG958" s="31"/>
    </row>
    <row r="959">
      <c r="S959" s="30"/>
      <c r="AG959" s="31"/>
    </row>
    <row r="960">
      <c r="S960" s="30"/>
      <c r="AG960" s="31"/>
    </row>
    <row r="961">
      <c r="S961" s="30"/>
      <c r="AG961" s="31"/>
    </row>
    <row r="962">
      <c r="S962" s="30"/>
      <c r="AG962" s="31"/>
    </row>
    <row r="963">
      <c r="S963" s="30"/>
      <c r="AG963" s="31"/>
    </row>
    <row r="964">
      <c r="S964" s="30"/>
      <c r="AG964" s="31"/>
    </row>
    <row r="965">
      <c r="S965" s="30"/>
      <c r="AG965" s="31"/>
    </row>
    <row r="966">
      <c r="S966" s="30"/>
      <c r="AG966" s="31"/>
    </row>
    <row r="967">
      <c r="S967" s="30"/>
      <c r="AG967" s="31"/>
    </row>
    <row r="968">
      <c r="S968" s="30"/>
      <c r="AG968" s="31"/>
    </row>
    <row r="969">
      <c r="S969" s="30"/>
      <c r="AG969" s="31"/>
    </row>
    <row r="970">
      <c r="S970" s="30"/>
      <c r="AG970" s="31"/>
    </row>
    <row r="971">
      <c r="S971" s="30"/>
      <c r="AG971" s="31"/>
    </row>
    <row r="972">
      <c r="S972" s="30"/>
      <c r="AG972" s="31"/>
    </row>
    <row r="973">
      <c r="S973" s="30"/>
      <c r="AG973" s="31"/>
    </row>
    <row r="974">
      <c r="S974" s="30"/>
      <c r="AG974" s="31"/>
    </row>
    <row r="975">
      <c r="S975" s="30"/>
      <c r="AG975" s="31"/>
    </row>
    <row r="976">
      <c r="S976" s="30"/>
      <c r="AG976" s="31"/>
    </row>
    <row r="977">
      <c r="S977" s="30"/>
      <c r="AG977" s="31"/>
    </row>
    <row r="978">
      <c r="S978" s="30"/>
      <c r="AG978" s="31"/>
    </row>
    <row r="979">
      <c r="S979" s="30"/>
      <c r="AG979" s="31"/>
    </row>
    <row r="980">
      <c r="S980" s="30"/>
      <c r="AG980" s="31"/>
    </row>
    <row r="981">
      <c r="S981" s="30"/>
      <c r="AG981" s="31"/>
    </row>
    <row r="982">
      <c r="S982" s="30"/>
      <c r="AG982" s="31"/>
    </row>
    <row r="983">
      <c r="S983" s="30"/>
      <c r="AG983" s="31"/>
    </row>
    <row r="984">
      <c r="S984" s="30"/>
      <c r="AG984" s="31"/>
    </row>
    <row r="985">
      <c r="S985" s="30"/>
      <c r="AG985" s="31"/>
    </row>
    <row r="986">
      <c r="S986" s="30"/>
      <c r="AG986" s="31"/>
    </row>
    <row r="987">
      <c r="S987" s="30"/>
      <c r="AG987" s="31"/>
    </row>
    <row r="988">
      <c r="S988" s="30"/>
      <c r="AG988" s="31"/>
    </row>
    <row r="989">
      <c r="S989" s="30"/>
      <c r="AG989" s="31"/>
    </row>
    <row r="990">
      <c r="S990" s="30"/>
      <c r="AG990" s="31"/>
    </row>
    <row r="991">
      <c r="S991" s="30"/>
      <c r="AG991" s="31"/>
    </row>
    <row r="992">
      <c r="S992" s="30"/>
      <c r="AG992" s="31"/>
    </row>
    <row r="993">
      <c r="S993" s="30"/>
      <c r="AG993" s="31"/>
    </row>
    <row r="994">
      <c r="S994" s="30"/>
      <c r="AG994" s="31"/>
    </row>
    <row r="995">
      <c r="S995" s="30"/>
      <c r="AG995" s="31"/>
    </row>
    <row r="996">
      <c r="S996" s="30"/>
      <c r="AG996" s="31"/>
    </row>
    <row r="997">
      <c r="S997" s="30"/>
      <c r="AG997" s="31"/>
    </row>
    <row r="998">
      <c r="S998" s="30"/>
      <c r="AG998" s="31"/>
    </row>
    <row r="999">
      <c r="S999" s="30"/>
      <c r="AG999" s="31"/>
    </row>
    <row r="1000">
      <c r="S1000" s="30"/>
      <c r="AG1000" s="31"/>
    </row>
  </sheetData>
  <autoFilter ref="$A$1:$AN$722">
    <sortState ref="A1:AN722">
      <sortCondition ref="AG1:AG722"/>
      <sortCondition ref="AH1:AH722"/>
      <sortCondition ref="V1:V722"/>
      <sortCondition ref="U1:U722"/>
      <sortCondition ref="T1:T722"/>
      <sortCondition ref="S1:S722"/>
      <sortCondition descending="1" sortBy="cellColor" ref="R1:R722" dxfId="1"/>
      <sortCondition descending="1" sortBy="cellColor" ref="O1:O722" dxfId="1"/>
      <sortCondition descending="1" sortBy="cellColor" ref="N1:N722" dxfId="1"/>
      <sortCondition descending="1" sortBy="cellColor" ref="M1:M722" dxfId="1"/>
      <sortCondition descending="1" sortBy="cellColor" ref="L1:L722" dxfId="1"/>
      <sortCondition descending="1" sortBy="cellColor" ref="K1:K722" dxfId="1"/>
      <sortCondition descending="1" sortBy="cellColor" ref="J1:J722" dxfId="1"/>
      <sortCondition descending="1" sortBy="cellColor" ref="I1:I722" dxfId="1"/>
      <sortCondition descending="1" sortBy="cellColor" ref="H1:H722" dxfId="1"/>
      <sortCondition ref="B1:B722"/>
      <sortCondition descending="1" sortBy="cellColor" ref="A1:A722" dxfId="1"/>
      <sortCondition ref="G1:G722"/>
    </sortState>
  </autoFilter>
  <hyperlinks>
    <hyperlink r:id="rId1" ref="X349"/>
    <hyperlink r:id="rId2" ref="X395"/>
    <hyperlink r:id="rId3" ref="X468"/>
    <hyperlink r:id="rId4" ref="AC524"/>
    <hyperlink r:id="rId5" ref="AC650"/>
    <hyperlink r:id="rId6" ref="AC678"/>
    <hyperlink r:id="rId7" ref="X71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6.5"/>
    <col customWidth="1" min="3" max="3" width="4.0"/>
    <col customWidth="1" min="4" max="4" width="8.75"/>
    <col customWidth="1" min="5" max="5" width="8.88"/>
    <col customWidth="1" min="6" max="6" width="28.0"/>
    <col customWidth="1" hidden="1" min="7" max="7" width="25.38"/>
    <col customWidth="1" min="8" max="8" width="22.75"/>
    <col customWidth="1" min="9" max="9" width="33.75"/>
    <col customWidth="1" hidden="1" min="10" max="10" width="25.25"/>
    <col customWidth="1" min="11" max="11" width="7.0"/>
    <col customWidth="1" min="12" max="12" width="15.0"/>
    <col customWidth="1" min="13" max="13" width="16.25"/>
    <col customWidth="1" min="14" max="14" width="34.25"/>
    <col customWidth="1" min="15" max="15" width="20.88"/>
    <col customWidth="1" min="16" max="16" width="21.88"/>
    <col customWidth="1" min="17" max="17" width="8.13"/>
    <col customWidth="1" min="18" max="18" width="11.63"/>
    <col customWidth="1" min="19" max="19" width="14.63"/>
    <col customWidth="1" min="20" max="20" width="12.75"/>
    <col customWidth="1" min="21" max="21" width="10.5"/>
    <col customWidth="1" min="22" max="22" width="112.38"/>
    <col customWidth="1" min="23" max="23" width="34.38"/>
    <col customWidth="1" min="24" max="24" width="14.25"/>
    <col customWidth="1" min="25" max="25" width="24.5"/>
    <col customWidth="1" min="26" max="26" width="15.88"/>
    <col customWidth="1" min="27" max="27" width="12.88"/>
    <col customWidth="1" min="28" max="28" width="18.75"/>
    <col customWidth="1" min="29" max="29" width="8.13"/>
    <col customWidth="1" min="30" max="30" width="7.88"/>
    <col customWidth="1" min="31" max="31" width="14.38"/>
    <col customWidth="1" min="32" max="32" width="12.0"/>
    <col customWidth="1" min="33" max="39" width="18.88"/>
  </cols>
  <sheetData>
    <row r="1">
      <c r="A1" s="15" t="s">
        <v>0</v>
      </c>
      <c r="B1" s="15" t="s">
        <v>2</v>
      </c>
      <c r="C1" s="15" t="s">
        <v>3</v>
      </c>
      <c r="D1" s="15" t="s">
        <v>4</v>
      </c>
      <c r="E1" s="15" t="s">
        <v>5</v>
      </c>
      <c r="F1" s="15" t="s">
        <v>6</v>
      </c>
      <c r="G1" s="15" t="s">
        <v>7</v>
      </c>
      <c r="H1" s="15" t="s">
        <v>8</v>
      </c>
      <c r="I1" s="8" t="s">
        <v>9</v>
      </c>
      <c r="J1" s="15" t="s">
        <v>10</v>
      </c>
      <c r="K1" s="15" t="s">
        <v>2361</v>
      </c>
      <c r="L1" s="15" t="s">
        <v>12</v>
      </c>
      <c r="M1" s="15" t="s">
        <v>13</v>
      </c>
      <c r="N1" s="15" t="s">
        <v>2362</v>
      </c>
      <c r="O1" s="15" t="s">
        <v>15</v>
      </c>
      <c r="P1" s="15" t="s">
        <v>16</v>
      </c>
      <c r="Q1" s="15" t="s">
        <v>17</v>
      </c>
      <c r="R1" s="15" t="s">
        <v>18</v>
      </c>
      <c r="S1" s="15" t="s">
        <v>19</v>
      </c>
      <c r="T1" s="15" t="s">
        <v>20</v>
      </c>
      <c r="U1" s="15" t="s">
        <v>21</v>
      </c>
      <c r="V1" s="15" t="s">
        <v>22</v>
      </c>
      <c r="W1" s="15" t="s">
        <v>23</v>
      </c>
      <c r="X1" s="15" t="s">
        <v>24</v>
      </c>
      <c r="Y1" s="15" t="s">
        <v>25</v>
      </c>
      <c r="Z1" s="15" t="s">
        <v>26</v>
      </c>
      <c r="AA1" s="15" t="s">
        <v>2363</v>
      </c>
      <c r="AB1" s="15" t="s">
        <v>28</v>
      </c>
      <c r="AC1" s="15" t="s">
        <v>29</v>
      </c>
      <c r="AD1" s="15" t="s">
        <v>30</v>
      </c>
      <c r="AE1" s="15" t="s">
        <v>31</v>
      </c>
      <c r="AF1" s="15" t="s">
        <v>32</v>
      </c>
      <c r="AG1" s="8" t="s">
        <v>33</v>
      </c>
      <c r="AH1" s="15"/>
      <c r="AI1" s="15"/>
      <c r="AJ1" s="15"/>
      <c r="AK1" s="15"/>
      <c r="AL1" s="15"/>
      <c r="AM1" s="15"/>
    </row>
    <row r="2">
      <c r="A2" s="14">
        <v>44403.8364368287</v>
      </c>
      <c r="B2" s="8" t="s">
        <v>49</v>
      </c>
      <c r="C2" s="8">
        <v>41.0</v>
      </c>
      <c r="D2" s="8" t="s">
        <v>35</v>
      </c>
      <c r="E2" s="8" t="s">
        <v>246</v>
      </c>
      <c r="F2" s="15"/>
      <c r="G2" s="15"/>
      <c r="H2" s="8" t="s">
        <v>247</v>
      </c>
      <c r="I2" s="8" t="s">
        <v>2364</v>
      </c>
      <c r="J2" s="8" t="s">
        <v>2365</v>
      </c>
      <c r="K2" s="8" t="s">
        <v>39</v>
      </c>
      <c r="L2" s="8" t="s">
        <v>40</v>
      </c>
      <c r="M2" s="8" t="s">
        <v>40</v>
      </c>
      <c r="N2" s="15"/>
      <c r="O2" s="15"/>
      <c r="P2" s="8" t="s">
        <v>249</v>
      </c>
      <c r="Q2" s="8" t="s">
        <v>250</v>
      </c>
      <c r="R2" s="8">
        <v>2000.0</v>
      </c>
      <c r="S2" s="8">
        <v>0.0</v>
      </c>
      <c r="T2" s="8" t="s">
        <v>251</v>
      </c>
      <c r="U2" s="8">
        <v>18.0</v>
      </c>
      <c r="V2" s="8" t="s">
        <v>252</v>
      </c>
      <c r="W2" s="8" t="s">
        <v>253</v>
      </c>
      <c r="X2" s="8" t="s">
        <v>246</v>
      </c>
      <c r="Y2" s="8" t="s">
        <v>254</v>
      </c>
      <c r="Z2" s="8" t="s">
        <v>71</v>
      </c>
      <c r="AA2" s="8" t="s">
        <v>61</v>
      </c>
      <c r="AB2" s="15"/>
      <c r="AC2" s="8">
        <v>10.0</v>
      </c>
      <c r="AD2" s="8">
        <v>20.0</v>
      </c>
      <c r="AE2" s="8">
        <v>5.0</v>
      </c>
      <c r="AF2" s="8">
        <v>1000.0</v>
      </c>
      <c r="AG2" s="32"/>
      <c r="AH2" s="15"/>
      <c r="AI2" s="15"/>
      <c r="AJ2" s="15"/>
      <c r="AK2" s="15"/>
      <c r="AL2" s="15"/>
      <c r="AM2" s="15"/>
    </row>
    <row r="3">
      <c r="A3" s="14">
        <v>44403.836685277776</v>
      </c>
      <c r="B3" s="8" t="s">
        <v>49</v>
      </c>
      <c r="C3" s="8">
        <v>28.0</v>
      </c>
      <c r="D3" s="8" t="s">
        <v>35</v>
      </c>
      <c r="E3" s="8" t="s">
        <v>36</v>
      </c>
      <c r="F3" s="8" t="s">
        <v>164</v>
      </c>
      <c r="G3" s="8" t="s">
        <v>2138</v>
      </c>
      <c r="H3" s="8" t="s">
        <v>302</v>
      </c>
      <c r="I3" s="15"/>
      <c r="J3" s="8" t="s">
        <v>2366</v>
      </c>
      <c r="K3" s="8" t="s">
        <v>890</v>
      </c>
      <c r="L3" s="8" t="s">
        <v>40</v>
      </c>
      <c r="M3" s="8" t="s">
        <v>40</v>
      </c>
      <c r="N3" s="15"/>
      <c r="O3" s="15"/>
      <c r="P3" s="8" t="s">
        <v>2367</v>
      </c>
      <c r="Q3" s="8" t="s">
        <v>42</v>
      </c>
      <c r="R3" s="8">
        <v>4500.0</v>
      </c>
      <c r="S3" s="15"/>
      <c r="T3" s="15"/>
      <c r="U3" s="8">
        <v>18.0</v>
      </c>
      <c r="V3" s="8" t="s">
        <v>1003</v>
      </c>
      <c r="W3" s="8" t="s">
        <v>2140</v>
      </c>
      <c r="X3" s="8" t="s">
        <v>267</v>
      </c>
      <c r="Y3" s="8" t="s">
        <v>350</v>
      </c>
      <c r="Z3" s="8" t="s">
        <v>47</v>
      </c>
      <c r="AA3" s="8" t="s">
        <v>61</v>
      </c>
      <c r="AB3" s="15"/>
      <c r="AC3" s="8">
        <v>8.0</v>
      </c>
      <c r="AD3" s="8">
        <v>5.0</v>
      </c>
      <c r="AE3" s="8">
        <v>6.0</v>
      </c>
      <c r="AF3" s="8">
        <v>4500.0</v>
      </c>
      <c r="AG3" s="32"/>
      <c r="AH3" s="15"/>
      <c r="AI3" s="15"/>
      <c r="AJ3" s="15"/>
      <c r="AK3" s="15"/>
      <c r="AL3" s="15"/>
      <c r="AM3" s="15"/>
    </row>
    <row r="4">
      <c r="A4" s="14">
        <v>44403.83693547454</v>
      </c>
      <c r="B4" s="8" t="s">
        <v>49</v>
      </c>
      <c r="C4" s="8">
        <v>23.0</v>
      </c>
      <c r="D4" s="8" t="s">
        <v>35</v>
      </c>
      <c r="E4" s="8" t="s">
        <v>36</v>
      </c>
      <c r="F4" s="8" t="s">
        <v>124</v>
      </c>
      <c r="G4" s="8" t="s">
        <v>124</v>
      </c>
      <c r="H4" s="8" t="s">
        <v>38</v>
      </c>
      <c r="I4" s="8" t="s">
        <v>2368</v>
      </c>
      <c r="J4" s="8" t="s">
        <v>2369</v>
      </c>
      <c r="K4" s="8" t="s">
        <v>39</v>
      </c>
      <c r="L4" s="8" t="s">
        <v>40</v>
      </c>
      <c r="M4" s="8" t="s">
        <v>40</v>
      </c>
      <c r="N4" s="15"/>
      <c r="O4" s="15"/>
      <c r="P4" s="8" t="s">
        <v>2370</v>
      </c>
      <c r="Q4" s="8" t="s">
        <v>42</v>
      </c>
      <c r="R4" s="8">
        <v>5000.0</v>
      </c>
      <c r="S4" s="8">
        <v>0.0</v>
      </c>
      <c r="T4" s="8">
        <v>0.0</v>
      </c>
      <c r="U4" s="8">
        <v>16.0</v>
      </c>
      <c r="V4" s="8" t="s">
        <v>2182</v>
      </c>
      <c r="W4" s="8" t="s">
        <v>2183</v>
      </c>
      <c r="X4" s="8" t="s">
        <v>122</v>
      </c>
      <c r="Y4" s="8" t="s">
        <v>2184</v>
      </c>
      <c r="Z4" s="8" t="s">
        <v>60</v>
      </c>
      <c r="AA4" s="8" t="s">
        <v>133</v>
      </c>
      <c r="AB4" s="8" t="s">
        <v>2371</v>
      </c>
      <c r="AC4" s="8">
        <v>7.0</v>
      </c>
      <c r="AD4" s="8">
        <v>0.0</v>
      </c>
      <c r="AE4" s="8">
        <v>0.0</v>
      </c>
      <c r="AF4" s="8">
        <v>5000.0</v>
      </c>
      <c r="AG4" s="32"/>
      <c r="AH4" s="15"/>
      <c r="AI4" s="15"/>
      <c r="AJ4" s="15"/>
      <c r="AK4" s="15"/>
      <c r="AL4" s="15"/>
      <c r="AM4" s="15"/>
    </row>
    <row r="5">
      <c r="A5" s="14">
        <v>44403.837006064816</v>
      </c>
      <c r="B5" s="8" t="s">
        <v>73</v>
      </c>
      <c r="C5" s="8">
        <v>25.0</v>
      </c>
      <c r="D5" s="8" t="s">
        <v>35</v>
      </c>
      <c r="E5" s="8" t="s">
        <v>36</v>
      </c>
      <c r="F5" s="15"/>
      <c r="G5" s="15"/>
      <c r="H5" s="8" t="s">
        <v>38</v>
      </c>
      <c r="I5" s="8" t="s">
        <v>2368</v>
      </c>
      <c r="J5" s="15"/>
      <c r="K5" s="8" t="s">
        <v>39</v>
      </c>
      <c r="L5" s="8" t="s">
        <v>40</v>
      </c>
      <c r="M5" s="8" t="s">
        <v>39</v>
      </c>
      <c r="N5" s="15"/>
      <c r="O5" s="8" t="s">
        <v>1543</v>
      </c>
      <c r="P5" s="8" t="s">
        <v>2372</v>
      </c>
      <c r="Q5" s="8" t="s">
        <v>42</v>
      </c>
      <c r="R5" s="8">
        <v>17000.0</v>
      </c>
      <c r="S5" s="15"/>
      <c r="T5" s="15"/>
      <c r="U5" s="8">
        <v>99.0</v>
      </c>
      <c r="V5" s="8" t="s">
        <v>1544</v>
      </c>
      <c r="W5" s="8" t="s">
        <v>1545</v>
      </c>
      <c r="X5" s="8" t="s">
        <v>1546</v>
      </c>
      <c r="Y5" s="8" t="s">
        <v>159</v>
      </c>
      <c r="Z5" s="8" t="s">
        <v>81</v>
      </c>
      <c r="AA5" s="8" t="s">
        <v>91</v>
      </c>
      <c r="AB5" s="15"/>
      <c r="AC5" s="8">
        <v>10.0</v>
      </c>
      <c r="AD5" s="8">
        <v>3.0</v>
      </c>
      <c r="AE5" s="8">
        <v>2.0</v>
      </c>
      <c r="AF5" s="8">
        <v>3000.0</v>
      </c>
      <c r="AG5" s="32"/>
      <c r="AH5" s="15"/>
      <c r="AI5" s="15"/>
      <c r="AJ5" s="15"/>
      <c r="AK5" s="15"/>
      <c r="AL5" s="15"/>
      <c r="AM5" s="15"/>
    </row>
    <row r="6">
      <c r="A6" s="14">
        <v>44403.83718771991</v>
      </c>
      <c r="B6" s="8" t="s">
        <v>49</v>
      </c>
      <c r="C6" s="8">
        <v>22.0</v>
      </c>
      <c r="D6" s="8" t="s">
        <v>35</v>
      </c>
      <c r="E6" s="8" t="s">
        <v>36</v>
      </c>
      <c r="F6" s="8" t="s">
        <v>50</v>
      </c>
      <c r="G6" s="8" t="s">
        <v>180</v>
      </c>
      <c r="H6" s="8" t="s">
        <v>38</v>
      </c>
      <c r="I6" s="8" t="s">
        <v>2373</v>
      </c>
      <c r="J6" s="8" t="s">
        <v>2374</v>
      </c>
      <c r="K6" s="8" t="s">
        <v>39</v>
      </c>
      <c r="L6" s="8" t="s">
        <v>40</v>
      </c>
      <c r="M6" s="8" t="s">
        <v>40</v>
      </c>
      <c r="N6" s="15"/>
      <c r="O6" s="15"/>
      <c r="P6" s="8" t="s">
        <v>1481</v>
      </c>
      <c r="Q6" s="8" t="s">
        <v>42</v>
      </c>
      <c r="R6" s="8">
        <v>4000.0</v>
      </c>
      <c r="S6" s="8">
        <v>0.0</v>
      </c>
      <c r="T6" s="8">
        <v>0.0</v>
      </c>
      <c r="U6" s="8">
        <v>16.0</v>
      </c>
      <c r="V6" s="8" t="s">
        <v>2052</v>
      </c>
      <c r="W6" s="8" t="s">
        <v>2375</v>
      </c>
      <c r="X6" s="8" t="s">
        <v>106</v>
      </c>
      <c r="Y6" s="8" t="s">
        <v>159</v>
      </c>
      <c r="Z6" s="8" t="s">
        <v>60</v>
      </c>
      <c r="AA6" s="8" t="s">
        <v>61</v>
      </c>
      <c r="AB6" s="15"/>
      <c r="AC6" s="8">
        <v>8.0</v>
      </c>
      <c r="AD6" s="8">
        <v>1.0</v>
      </c>
      <c r="AE6" s="8">
        <v>0.0</v>
      </c>
      <c r="AF6" s="8">
        <v>4000.0</v>
      </c>
      <c r="AG6" s="32"/>
      <c r="AH6" s="15"/>
      <c r="AI6" s="15"/>
      <c r="AJ6" s="15"/>
      <c r="AK6" s="15"/>
      <c r="AL6" s="15"/>
      <c r="AM6" s="15"/>
    </row>
    <row r="7">
      <c r="A7" s="14">
        <v>44403.83817321759</v>
      </c>
      <c r="B7" s="8" t="s">
        <v>49</v>
      </c>
      <c r="C7" s="8">
        <v>27.0</v>
      </c>
      <c r="D7" s="8" t="s">
        <v>35</v>
      </c>
      <c r="E7" s="8" t="s">
        <v>36</v>
      </c>
      <c r="F7" s="8" t="s">
        <v>186</v>
      </c>
      <c r="G7" s="8" t="s">
        <v>833</v>
      </c>
      <c r="H7" s="8" t="s">
        <v>38</v>
      </c>
      <c r="I7" s="8" t="s">
        <v>2368</v>
      </c>
      <c r="J7" s="8" t="s">
        <v>2376</v>
      </c>
      <c r="K7" s="8" t="s">
        <v>39</v>
      </c>
      <c r="L7" s="8" t="s">
        <v>40</v>
      </c>
      <c r="M7" s="8" t="s">
        <v>40</v>
      </c>
      <c r="N7" s="15"/>
      <c r="O7" s="15"/>
      <c r="P7" s="8" t="s">
        <v>2377</v>
      </c>
      <c r="Q7" s="8" t="s">
        <v>42</v>
      </c>
      <c r="R7" s="8">
        <v>4000.0</v>
      </c>
      <c r="S7" s="8">
        <v>3000.0</v>
      </c>
      <c r="T7" s="8">
        <v>0.0</v>
      </c>
      <c r="U7" s="8">
        <v>0.0</v>
      </c>
      <c r="V7" s="8" t="s">
        <v>834</v>
      </c>
      <c r="W7" s="8" t="s">
        <v>103</v>
      </c>
      <c r="X7" s="8" t="s">
        <v>835</v>
      </c>
      <c r="Y7" s="8" t="s">
        <v>70</v>
      </c>
      <c r="Z7" s="8" t="s">
        <v>47</v>
      </c>
      <c r="AA7" s="8" t="s">
        <v>61</v>
      </c>
      <c r="AB7" s="15"/>
      <c r="AC7" s="8">
        <v>8.0</v>
      </c>
      <c r="AD7" s="8">
        <v>7.0</v>
      </c>
      <c r="AE7" s="8">
        <v>0.0</v>
      </c>
      <c r="AF7" s="8">
        <v>2500.0</v>
      </c>
      <c r="AG7" s="32"/>
      <c r="AH7" s="15"/>
      <c r="AI7" s="15"/>
      <c r="AJ7" s="15"/>
      <c r="AK7" s="15"/>
      <c r="AL7" s="15"/>
      <c r="AM7" s="15"/>
    </row>
    <row r="8">
      <c r="A8" s="14">
        <v>44403.83851295139</v>
      </c>
      <c r="B8" s="8" t="s">
        <v>49</v>
      </c>
      <c r="C8" s="8">
        <v>31.0</v>
      </c>
      <c r="D8" s="8" t="s">
        <v>35</v>
      </c>
      <c r="E8" s="8" t="s">
        <v>36</v>
      </c>
      <c r="F8" s="8" t="s">
        <v>349</v>
      </c>
      <c r="G8" s="8" t="s">
        <v>349</v>
      </c>
      <c r="H8" s="8" t="s">
        <v>38</v>
      </c>
      <c r="I8" s="8" t="s">
        <v>2378</v>
      </c>
      <c r="J8" s="8" t="s">
        <v>2379</v>
      </c>
      <c r="K8" s="8" t="s">
        <v>39</v>
      </c>
      <c r="L8" s="8" t="s">
        <v>40</v>
      </c>
      <c r="M8" s="8" t="s">
        <v>40</v>
      </c>
      <c r="N8" s="15"/>
      <c r="O8" s="15"/>
      <c r="P8" s="8" t="s">
        <v>589</v>
      </c>
      <c r="Q8" s="8" t="s">
        <v>42</v>
      </c>
      <c r="R8" s="8">
        <v>9500.0</v>
      </c>
      <c r="S8" s="8">
        <v>9500.0</v>
      </c>
      <c r="T8" s="8">
        <v>0.0</v>
      </c>
      <c r="U8" s="8">
        <v>14.0</v>
      </c>
      <c r="V8" s="8" t="s">
        <v>1151</v>
      </c>
      <c r="W8" s="8" t="s">
        <v>1152</v>
      </c>
      <c r="X8" s="8" t="s">
        <v>349</v>
      </c>
      <c r="Y8" s="8" t="s">
        <v>347</v>
      </c>
      <c r="Z8" s="8" t="s">
        <v>71</v>
      </c>
      <c r="AA8" s="8" t="s">
        <v>48</v>
      </c>
      <c r="AB8" s="15"/>
      <c r="AC8" s="8">
        <v>9.0</v>
      </c>
      <c r="AD8" s="8">
        <v>7.0</v>
      </c>
      <c r="AE8" s="8">
        <v>3.0</v>
      </c>
      <c r="AF8" s="8">
        <v>2800.0</v>
      </c>
      <c r="AG8" s="32"/>
      <c r="AH8" s="15"/>
      <c r="AI8" s="15"/>
      <c r="AJ8" s="15"/>
      <c r="AK8" s="15"/>
      <c r="AL8" s="15"/>
      <c r="AM8" s="15"/>
    </row>
    <row r="9">
      <c r="A9" s="14">
        <v>44403.83856109953</v>
      </c>
      <c r="B9" s="8" t="s">
        <v>49</v>
      </c>
      <c r="C9" s="8">
        <v>27.0</v>
      </c>
      <c r="D9" s="8" t="s">
        <v>35</v>
      </c>
      <c r="E9" s="8" t="s">
        <v>36</v>
      </c>
      <c r="F9" s="8" t="s">
        <v>363</v>
      </c>
      <c r="G9" s="8" t="s">
        <v>527</v>
      </c>
      <c r="H9" s="8" t="s">
        <v>247</v>
      </c>
      <c r="I9" s="8" t="s">
        <v>2380</v>
      </c>
      <c r="J9" s="8" t="s">
        <v>2381</v>
      </c>
      <c r="K9" s="8" t="s">
        <v>39</v>
      </c>
      <c r="L9" s="8" t="s">
        <v>40</v>
      </c>
      <c r="M9" s="8" t="s">
        <v>40</v>
      </c>
      <c r="N9" s="15"/>
      <c r="O9" s="15"/>
      <c r="P9" s="8" t="s">
        <v>2382</v>
      </c>
      <c r="Q9" s="8" t="s">
        <v>42</v>
      </c>
      <c r="R9" s="8">
        <v>5500.0</v>
      </c>
      <c r="S9" s="8">
        <v>5500.0</v>
      </c>
      <c r="T9" s="8">
        <v>0.0</v>
      </c>
      <c r="U9" s="8">
        <v>14.0</v>
      </c>
      <c r="V9" s="8" t="s">
        <v>1719</v>
      </c>
      <c r="W9" s="8" t="s">
        <v>2383</v>
      </c>
      <c r="X9" s="8" t="s">
        <v>79</v>
      </c>
      <c r="Y9" s="8" t="s">
        <v>80</v>
      </c>
      <c r="Z9" s="8" t="s">
        <v>71</v>
      </c>
      <c r="AA9" s="8" t="s">
        <v>61</v>
      </c>
      <c r="AB9" s="15"/>
      <c r="AC9" s="8">
        <v>5.0</v>
      </c>
      <c r="AD9" s="8">
        <v>4.0</v>
      </c>
      <c r="AE9" s="8">
        <v>1.0</v>
      </c>
      <c r="AF9" s="8">
        <v>3300.0</v>
      </c>
      <c r="AG9" s="32"/>
      <c r="AH9" s="15"/>
      <c r="AI9" s="15"/>
      <c r="AJ9" s="15"/>
      <c r="AK9" s="15"/>
      <c r="AL9" s="15"/>
      <c r="AM9" s="15"/>
    </row>
    <row r="10">
      <c r="A10" s="14">
        <v>44403.83907278936</v>
      </c>
      <c r="B10" s="8" t="s">
        <v>49</v>
      </c>
      <c r="C10" s="8">
        <v>24.0</v>
      </c>
      <c r="D10" s="8" t="s">
        <v>35</v>
      </c>
      <c r="E10" s="8" t="s">
        <v>36</v>
      </c>
      <c r="F10" s="8" t="s">
        <v>349</v>
      </c>
      <c r="G10" s="8" t="s">
        <v>349</v>
      </c>
      <c r="H10" s="8" t="s">
        <v>38</v>
      </c>
      <c r="I10" s="8" t="s">
        <v>2384</v>
      </c>
      <c r="J10" s="8" t="s">
        <v>2385</v>
      </c>
      <c r="K10" s="8" t="s">
        <v>890</v>
      </c>
      <c r="L10" s="8" t="s">
        <v>40</v>
      </c>
      <c r="M10" s="8" t="s">
        <v>40</v>
      </c>
      <c r="N10" s="15"/>
      <c r="O10" s="15"/>
      <c r="P10" s="8" t="s">
        <v>2040</v>
      </c>
      <c r="Q10" s="8" t="s">
        <v>42</v>
      </c>
      <c r="R10" s="8">
        <v>4000.0</v>
      </c>
      <c r="S10" s="8">
        <v>0.0</v>
      </c>
      <c r="T10" s="8">
        <v>0.0</v>
      </c>
      <c r="U10" s="8">
        <v>14.0</v>
      </c>
      <c r="V10" s="8" t="s">
        <v>223</v>
      </c>
      <c r="W10" s="8" t="s">
        <v>508</v>
      </c>
      <c r="X10" s="8" t="s">
        <v>604</v>
      </c>
      <c r="Y10" s="8" t="s">
        <v>59</v>
      </c>
      <c r="Z10" s="8" t="s">
        <v>132</v>
      </c>
      <c r="AA10" s="8" t="s">
        <v>61</v>
      </c>
      <c r="AB10" s="15"/>
      <c r="AC10" s="8">
        <v>7.0</v>
      </c>
      <c r="AD10" s="8">
        <v>1.0</v>
      </c>
      <c r="AE10" s="8">
        <v>1.0</v>
      </c>
      <c r="AF10" s="8">
        <v>4000.0</v>
      </c>
      <c r="AG10" s="32"/>
      <c r="AH10" s="15"/>
      <c r="AI10" s="15"/>
      <c r="AJ10" s="15"/>
      <c r="AK10" s="15"/>
      <c r="AL10" s="15"/>
      <c r="AM10" s="15"/>
    </row>
    <row r="11">
      <c r="A11" s="14">
        <v>44403.839217500004</v>
      </c>
      <c r="B11" s="8" t="s">
        <v>49</v>
      </c>
      <c r="C11" s="8">
        <v>27.0</v>
      </c>
      <c r="D11" s="8" t="s">
        <v>35</v>
      </c>
      <c r="E11" s="8" t="s">
        <v>36</v>
      </c>
      <c r="F11" s="8" t="s">
        <v>363</v>
      </c>
      <c r="G11" s="8" t="s">
        <v>2386</v>
      </c>
      <c r="H11" s="8" t="s">
        <v>38</v>
      </c>
      <c r="I11" s="8" t="s">
        <v>2368</v>
      </c>
      <c r="J11" s="8" t="s">
        <v>2387</v>
      </c>
      <c r="K11" s="8" t="s">
        <v>39</v>
      </c>
      <c r="L11" s="8" t="s">
        <v>40</v>
      </c>
      <c r="M11" s="8" t="s">
        <v>40</v>
      </c>
      <c r="N11" s="15"/>
      <c r="O11" s="15"/>
      <c r="P11" s="8" t="s">
        <v>293</v>
      </c>
      <c r="Q11" s="8" t="s">
        <v>42</v>
      </c>
      <c r="R11" s="8">
        <v>5100.0</v>
      </c>
      <c r="S11" s="8">
        <v>10200.0</v>
      </c>
      <c r="T11" s="8">
        <v>0.0</v>
      </c>
      <c r="U11" s="8">
        <v>14.0</v>
      </c>
      <c r="V11" s="8" t="s">
        <v>1444</v>
      </c>
      <c r="W11" s="8" t="s">
        <v>1445</v>
      </c>
      <c r="X11" s="8" t="s">
        <v>441</v>
      </c>
      <c r="Y11" s="8" t="s">
        <v>80</v>
      </c>
      <c r="Z11" s="8" t="s">
        <v>90</v>
      </c>
      <c r="AA11" s="8" t="s">
        <v>61</v>
      </c>
      <c r="AB11" s="15"/>
      <c r="AC11" s="8">
        <v>8.0</v>
      </c>
      <c r="AD11" s="8">
        <v>2.0</v>
      </c>
      <c r="AE11" s="8">
        <v>3.0</v>
      </c>
      <c r="AF11" s="8">
        <v>3000.0</v>
      </c>
      <c r="AG11" s="32"/>
      <c r="AH11" s="15"/>
      <c r="AI11" s="15"/>
      <c r="AJ11" s="15"/>
      <c r="AK11" s="15"/>
      <c r="AL11" s="15"/>
      <c r="AM11" s="15"/>
    </row>
    <row r="12">
      <c r="A12" s="14">
        <v>44403.83939836806</v>
      </c>
      <c r="B12" s="8" t="s">
        <v>49</v>
      </c>
      <c r="C12" s="8">
        <v>24.0</v>
      </c>
      <c r="D12" s="8" t="s">
        <v>35</v>
      </c>
      <c r="E12" s="8" t="s">
        <v>36</v>
      </c>
      <c r="F12" s="15"/>
      <c r="G12" s="8" t="s">
        <v>300</v>
      </c>
      <c r="H12" s="8" t="s">
        <v>38</v>
      </c>
      <c r="I12" s="8" t="s">
        <v>2388</v>
      </c>
      <c r="J12" s="8" t="s">
        <v>2389</v>
      </c>
      <c r="K12" s="8" t="s">
        <v>39</v>
      </c>
      <c r="L12" s="8" t="s">
        <v>40</v>
      </c>
      <c r="M12" s="8" t="s">
        <v>39</v>
      </c>
      <c r="N12" s="15"/>
      <c r="O12" s="8" t="s">
        <v>151</v>
      </c>
      <c r="P12" s="8" t="s">
        <v>152</v>
      </c>
      <c r="Q12" s="8" t="s">
        <v>42</v>
      </c>
      <c r="R12" s="8">
        <v>3000.0</v>
      </c>
      <c r="S12" s="8">
        <v>0.0</v>
      </c>
      <c r="T12" s="8">
        <v>0.0</v>
      </c>
      <c r="U12" s="8">
        <v>14.0</v>
      </c>
      <c r="V12" s="8" t="s">
        <v>153</v>
      </c>
      <c r="W12" s="8" t="s">
        <v>154</v>
      </c>
      <c r="X12" s="8" t="s">
        <v>2390</v>
      </c>
      <c r="Y12" s="8" t="s">
        <v>155</v>
      </c>
      <c r="Z12" s="8" t="s">
        <v>60</v>
      </c>
      <c r="AA12" s="8" t="s">
        <v>91</v>
      </c>
      <c r="AB12" s="15"/>
      <c r="AC12" s="8">
        <v>7.0</v>
      </c>
      <c r="AD12" s="8">
        <v>1.0</v>
      </c>
      <c r="AE12" s="8">
        <v>1.0</v>
      </c>
      <c r="AF12" s="8">
        <v>700.0</v>
      </c>
      <c r="AG12" s="32"/>
      <c r="AH12" s="15"/>
      <c r="AI12" s="15"/>
      <c r="AJ12" s="15"/>
      <c r="AK12" s="15"/>
      <c r="AL12" s="15"/>
      <c r="AM12" s="15"/>
    </row>
    <row r="13">
      <c r="A13" s="14">
        <v>44403.83967298611</v>
      </c>
      <c r="B13" s="8" t="s">
        <v>49</v>
      </c>
      <c r="C13" s="8">
        <v>27.0</v>
      </c>
      <c r="D13" s="8" t="s">
        <v>1043</v>
      </c>
      <c r="E13" s="8" t="s">
        <v>36</v>
      </c>
      <c r="F13" s="8" t="s">
        <v>2391</v>
      </c>
      <c r="G13" s="8" t="s">
        <v>106</v>
      </c>
      <c r="H13" s="8" t="s">
        <v>38</v>
      </c>
      <c r="I13" s="15"/>
      <c r="J13" s="15"/>
      <c r="K13" s="8" t="s">
        <v>39</v>
      </c>
      <c r="L13" s="8" t="s">
        <v>40</v>
      </c>
      <c r="M13" s="8" t="s">
        <v>40</v>
      </c>
      <c r="N13" s="15"/>
      <c r="O13" s="15"/>
      <c r="P13" s="8" t="s">
        <v>312</v>
      </c>
      <c r="Q13" s="8" t="s">
        <v>42</v>
      </c>
      <c r="R13" s="8">
        <v>6000.0</v>
      </c>
      <c r="S13" s="8">
        <v>0.0</v>
      </c>
      <c r="T13" s="8">
        <v>0.0</v>
      </c>
      <c r="U13" s="8">
        <v>15.0</v>
      </c>
      <c r="V13" s="8" t="s">
        <v>1044</v>
      </c>
      <c r="W13" s="8" t="s">
        <v>1045</v>
      </c>
      <c r="X13" s="8" t="s">
        <v>58</v>
      </c>
      <c r="Y13" s="8" t="s">
        <v>70</v>
      </c>
      <c r="Z13" s="8" t="s">
        <v>71</v>
      </c>
      <c r="AA13" s="8" t="s">
        <v>61</v>
      </c>
      <c r="AB13" s="15"/>
      <c r="AC13" s="8">
        <v>7.0</v>
      </c>
      <c r="AD13" s="8">
        <v>5.0</v>
      </c>
      <c r="AE13" s="8">
        <v>1.0</v>
      </c>
      <c r="AF13" s="8">
        <v>2700.0</v>
      </c>
      <c r="AG13" s="32"/>
      <c r="AH13" s="15"/>
      <c r="AI13" s="15"/>
      <c r="AJ13" s="15"/>
      <c r="AK13" s="15"/>
      <c r="AL13" s="15"/>
      <c r="AM13" s="15"/>
    </row>
    <row r="14">
      <c r="A14" s="14">
        <v>44403.84053134259</v>
      </c>
      <c r="B14" s="8" t="s">
        <v>73</v>
      </c>
      <c r="C14" s="8">
        <v>30.0</v>
      </c>
      <c r="D14" s="8" t="s">
        <v>35</v>
      </c>
      <c r="E14" s="8" t="s">
        <v>36</v>
      </c>
      <c r="F14" s="8" t="s">
        <v>50</v>
      </c>
      <c r="G14" s="8" t="s">
        <v>117</v>
      </c>
      <c r="H14" s="8" t="s">
        <v>38</v>
      </c>
      <c r="I14" s="8" t="s">
        <v>2392</v>
      </c>
      <c r="J14" s="8" t="s">
        <v>2393</v>
      </c>
      <c r="K14" s="8" t="s">
        <v>39</v>
      </c>
      <c r="L14" s="8" t="s">
        <v>40</v>
      </c>
      <c r="M14" s="8" t="s">
        <v>40</v>
      </c>
      <c r="N14" s="15"/>
      <c r="O14" s="15"/>
      <c r="P14" s="8" t="s">
        <v>2394</v>
      </c>
      <c r="Q14" s="8" t="s">
        <v>42</v>
      </c>
      <c r="R14" s="8">
        <v>3900.0</v>
      </c>
      <c r="S14" s="8">
        <v>0.0</v>
      </c>
      <c r="T14" s="8">
        <v>0.0</v>
      </c>
      <c r="U14" s="8">
        <v>14.0</v>
      </c>
      <c r="V14" s="8" t="s">
        <v>320</v>
      </c>
      <c r="W14" s="8" t="s">
        <v>1147</v>
      </c>
      <c r="X14" s="8" t="s">
        <v>122</v>
      </c>
      <c r="Y14" s="8" t="s">
        <v>70</v>
      </c>
      <c r="Z14" s="8" t="s">
        <v>71</v>
      </c>
      <c r="AA14" s="8" t="s">
        <v>61</v>
      </c>
      <c r="AB14" s="15"/>
      <c r="AC14" s="8">
        <v>5.0</v>
      </c>
      <c r="AD14" s="8">
        <v>5.0</v>
      </c>
      <c r="AE14" s="8">
        <v>1.0</v>
      </c>
      <c r="AF14" s="8">
        <v>2800.0</v>
      </c>
      <c r="AG14" s="32"/>
      <c r="AH14" s="15"/>
      <c r="AI14" s="15"/>
      <c r="AJ14" s="15"/>
      <c r="AK14" s="15"/>
      <c r="AL14" s="15"/>
      <c r="AM14" s="15"/>
    </row>
    <row r="15">
      <c r="A15" s="14">
        <v>44403.84093961805</v>
      </c>
      <c r="B15" s="8" t="s">
        <v>49</v>
      </c>
      <c r="C15" s="8">
        <v>29.0</v>
      </c>
      <c r="D15" s="8" t="s">
        <v>35</v>
      </c>
      <c r="E15" s="8" t="s">
        <v>36</v>
      </c>
      <c r="F15" s="8" t="s">
        <v>363</v>
      </c>
      <c r="G15" s="8" t="s">
        <v>1210</v>
      </c>
      <c r="H15" s="8" t="s">
        <v>247</v>
      </c>
      <c r="I15" s="8" t="s">
        <v>2395</v>
      </c>
      <c r="J15" s="8" t="s">
        <v>2396</v>
      </c>
      <c r="K15" s="8" t="s">
        <v>39</v>
      </c>
      <c r="L15" s="8" t="s">
        <v>40</v>
      </c>
      <c r="M15" s="8" t="s">
        <v>40</v>
      </c>
      <c r="N15" s="15"/>
      <c r="O15" s="15"/>
      <c r="P15" s="8" t="s">
        <v>2397</v>
      </c>
      <c r="Q15" s="8" t="s">
        <v>42</v>
      </c>
      <c r="R15" s="8">
        <v>8000.0</v>
      </c>
      <c r="S15" s="8">
        <v>0.0</v>
      </c>
      <c r="T15" s="8">
        <v>0.0</v>
      </c>
      <c r="U15" s="8">
        <v>14.0</v>
      </c>
      <c r="V15" s="8" t="s">
        <v>1213</v>
      </c>
      <c r="W15" s="8" t="s">
        <v>1214</v>
      </c>
      <c r="X15" s="8" t="s">
        <v>79</v>
      </c>
      <c r="Y15" s="8" t="s">
        <v>80</v>
      </c>
      <c r="Z15" s="8" t="s">
        <v>132</v>
      </c>
      <c r="AA15" s="8" t="s">
        <v>61</v>
      </c>
      <c r="AB15" s="15"/>
      <c r="AC15" s="8">
        <v>8.0</v>
      </c>
      <c r="AD15" s="8">
        <v>5.0</v>
      </c>
      <c r="AE15" s="8">
        <v>2.0</v>
      </c>
      <c r="AF15" s="8">
        <v>2900.0</v>
      </c>
      <c r="AG15" s="32"/>
      <c r="AH15" s="15"/>
      <c r="AI15" s="15"/>
      <c r="AJ15" s="15"/>
      <c r="AK15" s="15"/>
      <c r="AL15" s="15"/>
      <c r="AM15" s="15"/>
    </row>
    <row r="16">
      <c r="A16" s="14">
        <v>44403.840983726855</v>
      </c>
      <c r="B16" s="8" t="s">
        <v>49</v>
      </c>
      <c r="C16" s="8">
        <v>41.0</v>
      </c>
      <c r="D16" s="8" t="s">
        <v>35</v>
      </c>
      <c r="E16" s="8" t="s">
        <v>36</v>
      </c>
      <c r="F16" s="8" t="s">
        <v>50</v>
      </c>
      <c r="G16" s="8" t="s">
        <v>117</v>
      </c>
      <c r="H16" s="8" t="s">
        <v>2398</v>
      </c>
      <c r="I16" s="8" t="s">
        <v>113</v>
      </c>
      <c r="J16" s="8" t="s">
        <v>2399</v>
      </c>
      <c r="K16" s="8" t="s">
        <v>39</v>
      </c>
      <c r="L16" s="8" t="s">
        <v>40</v>
      </c>
      <c r="M16" s="8" t="s">
        <v>40</v>
      </c>
      <c r="N16" s="8" t="s">
        <v>113</v>
      </c>
      <c r="O16" s="8" t="s">
        <v>113</v>
      </c>
      <c r="P16" s="8" t="s">
        <v>2400</v>
      </c>
      <c r="Q16" s="8" t="s">
        <v>42</v>
      </c>
      <c r="R16" s="8">
        <v>16800.0</v>
      </c>
      <c r="S16" s="8">
        <v>0.0</v>
      </c>
      <c r="T16" s="8" t="s">
        <v>113</v>
      </c>
      <c r="U16" s="8">
        <v>20.0</v>
      </c>
      <c r="V16" s="8" t="s">
        <v>320</v>
      </c>
      <c r="W16" s="8" t="s">
        <v>321</v>
      </c>
      <c r="X16" s="8" t="s">
        <v>122</v>
      </c>
      <c r="Y16" s="8" t="s">
        <v>70</v>
      </c>
      <c r="Z16" s="8" t="s">
        <v>71</v>
      </c>
      <c r="AA16" s="8" t="s">
        <v>61</v>
      </c>
      <c r="AB16" s="15"/>
      <c r="AC16" s="8">
        <v>7.0</v>
      </c>
      <c r="AD16" s="8">
        <v>18.0</v>
      </c>
      <c r="AE16" s="8">
        <v>7.0</v>
      </c>
      <c r="AF16" s="8">
        <v>1250.0</v>
      </c>
      <c r="AG16" s="32"/>
      <c r="AH16" s="15"/>
      <c r="AI16" s="15"/>
      <c r="AJ16" s="15"/>
      <c r="AK16" s="15"/>
      <c r="AL16" s="15"/>
      <c r="AM16" s="15"/>
    </row>
    <row r="17">
      <c r="A17" s="14">
        <v>44403.84131953704</v>
      </c>
      <c r="B17" s="8" t="s">
        <v>49</v>
      </c>
      <c r="C17" s="8">
        <v>31.0</v>
      </c>
      <c r="D17" s="8" t="s">
        <v>35</v>
      </c>
      <c r="E17" s="8" t="s">
        <v>36</v>
      </c>
      <c r="F17" s="8" t="s">
        <v>349</v>
      </c>
      <c r="G17" s="8" t="s">
        <v>349</v>
      </c>
      <c r="H17" s="8" t="s">
        <v>38</v>
      </c>
      <c r="I17" s="8" t="s">
        <v>2401</v>
      </c>
      <c r="J17" s="8" t="s">
        <v>2402</v>
      </c>
      <c r="K17" s="8" t="s">
        <v>39</v>
      </c>
      <c r="L17" s="8" t="s">
        <v>40</v>
      </c>
      <c r="M17" s="8" t="s">
        <v>40</v>
      </c>
      <c r="N17" s="15"/>
      <c r="O17" s="15"/>
      <c r="P17" s="8" t="s">
        <v>2403</v>
      </c>
      <c r="Q17" s="8" t="s">
        <v>42</v>
      </c>
      <c r="R17" s="8">
        <v>11000.0</v>
      </c>
      <c r="S17" s="8">
        <v>0.0</v>
      </c>
      <c r="T17" s="8">
        <v>0.0</v>
      </c>
      <c r="U17" s="8">
        <v>16.0</v>
      </c>
      <c r="V17" s="8" t="s">
        <v>753</v>
      </c>
      <c r="W17" s="8" t="s">
        <v>754</v>
      </c>
      <c r="X17" s="8" t="s">
        <v>300</v>
      </c>
      <c r="Y17" s="8" t="s">
        <v>185</v>
      </c>
      <c r="Z17" s="8" t="s">
        <v>60</v>
      </c>
      <c r="AA17" s="8" t="s">
        <v>61</v>
      </c>
      <c r="AB17" s="15"/>
      <c r="AC17" s="8">
        <v>8.0</v>
      </c>
      <c r="AD17" s="8">
        <v>8.0</v>
      </c>
      <c r="AE17" s="8">
        <v>4.0</v>
      </c>
      <c r="AF17" s="8">
        <v>2400.0</v>
      </c>
      <c r="AG17" s="32"/>
      <c r="AH17" s="15"/>
      <c r="AI17" s="15"/>
      <c r="AJ17" s="15"/>
      <c r="AK17" s="15"/>
      <c r="AL17" s="15"/>
      <c r="AM17" s="15"/>
    </row>
    <row r="18">
      <c r="A18" s="14">
        <v>44403.8416725</v>
      </c>
      <c r="B18" s="8" t="s">
        <v>49</v>
      </c>
      <c r="C18" s="8">
        <v>23.0</v>
      </c>
      <c r="D18" s="8" t="s">
        <v>2191</v>
      </c>
      <c r="E18" s="8" t="s">
        <v>36</v>
      </c>
      <c r="F18" s="8" t="s">
        <v>2404</v>
      </c>
      <c r="G18" s="8" t="s">
        <v>493</v>
      </c>
      <c r="H18" s="8" t="s">
        <v>38</v>
      </c>
      <c r="I18" s="8" t="s">
        <v>2405</v>
      </c>
      <c r="J18" s="8" t="s">
        <v>2406</v>
      </c>
      <c r="K18" s="8" t="s">
        <v>39</v>
      </c>
      <c r="L18" s="8" t="s">
        <v>40</v>
      </c>
      <c r="M18" s="8" t="s">
        <v>39</v>
      </c>
      <c r="N18" s="15"/>
      <c r="O18" s="8" t="s">
        <v>2192</v>
      </c>
      <c r="P18" s="8" t="s">
        <v>2407</v>
      </c>
      <c r="Q18" s="8" t="s">
        <v>42</v>
      </c>
      <c r="R18" s="8">
        <v>5253.0</v>
      </c>
      <c r="S18" s="8">
        <v>0.0</v>
      </c>
      <c r="T18" s="8">
        <v>0.0</v>
      </c>
      <c r="U18" s="8">
        <v>14.0</v>
      </c>
      <c r="V18" s="8" t="s">
        <v>2193</v>
      </c>
      <c r="W18" s="8" t="s">
        <v>2194</v>
      </c>
      <c r="X18" s="8" t="s">
        <v>122</v>
      </c>
      <c r="Y18" s="8" t="s">
        <v>651</v>
      </c>
      <c r="Z18" s="8" t="s">
        <v>60</v>
      </c>
      <c r="AA18" s="8" t="s">
        <v>61</v>
      </c>
      <c r="AB18" s="15"/>
      <c r="AC18" s="8">
        <v>8.0</v>
      </c>
      <c r="AD18" s="8">
        <v>1.0</v>
      </c>
      <c r="AE18" s="8">
        <v>2.0</v>
      </c>
      <c r="AF18" s="8">
        <v>5253.0</v>
      </c>
      <c r="AG18" s="32"/>
      <c r="AH18" s="15"/>
      <c r="AI18" s="15"/>
      <c r="AJ18" s="15"/>
      <c r="AK18" s="15"/>
      <c r="AL18" s="15"/>
      <c r="AM18" s="15"/>
    </row>
    <row r="19">
      <c r="A19" s="14">
        <v>44403.8418402199</v>
      </c>
      <c r="B19" s="8" t="s">
        <v>49</v>
      </c>
      <c r="C19" s="8">
        <v>24.0</v>
      </c>
      <c r="D19" s="8" t="s">
        <v>35</v>
      </c>
      <c r="E19" s="8" t="s">
        <v>36</v>
      </c>
      <c r="F19" s="8" t="s">
        <v>50</v>
      </c>
      <c r="G19" s="8" t="s">
        <v>493</v>
      </c>
      <c r="H19" s="8" t="s">
        <v>38</v>
      </c>
      <c r="I19" s="8" t="s">
        <v>2408</v>
      </c>
      <c r="J19" s="8" t="s">
        <v>534</v>
      </c>
      <c r="K19" s="8" t="s">
        <v>39</v>
      </c>
      <c r="L19" s="8" t="s">
        <v>40</v>
      </c>
      <c r="M19" s="8" t="s">
        <v>40</v>
      </c>
      <c r="N19" s="15"/>
      <c r="O19" s="15"/>
      <c r="P19" s="8" t="s">
        <v>146</v>
      </c>
      <c r="Q19" s="8" t="s">
        <v>42</v>
      </c>
      <c r="R19" s="8">
        <v>3300.0</v>
      </c>
      <c r="S19" s="8">
        <v>0.0</v>
      </c>
      <c r="T19" s="8">
        <v>0.0</v>
      </c>
      <c r="U19" s="8">
        <v>14.0</v>
      </c>
      <c r="V19" s="8" t="s">
        <v>1609</v>
      </c>
      <c r="W19" s="8" t="s">
        <v>1610</v>
      </c>
      <c r="X19" s="8" t="s">
        <v>122</v>
      </c>
      <c r="Y19" s="8" t="s">
        <v>59</v>
      </c>
      <c r="Z19" s="8" t="s">
        <v>132</v>
      </c>
      <c r="AA19" s="8" t="s">
        <v>91</v>
      </c>
      <c r="AB19" s="15"/>
      <c r="AC19" s="8">
        <v>8.0</v>
      </c>
      <c r="AD19" s="8">
        <v>1.0</v>
      </c>
      <c r="AE19" s="8">
        <v>0.0</v>
      </c>
      <c r="AF19" s="8">
        <v>3200.0</v>
      </c>
      <c r="AG19" s="32"/>
      <c r="AH19" s="15"/>
      <c r="AI19" s="15"/>
      <c r="AJ19" s="15"/>
      <c r="AK19" s="15"/>
      <c r="AL19" s="15"/>
      <c r="AM19" s="15"/>
    </row>
    <row r="20">
      <c r="A20" s="14">
        <v>44403.842228043985</v>
      </c>
      <c r="B20" s="8" t="s">
        <v>49</v>
      </c>
      <c r="C20" s="8">
        <v>28.0</v>
      </c>
      <c r="D20" s="8" t="s">
        <v>35</v>
      </c>
      <c r="E20" s="8" t="s">
        <v>36</v>
      </c>
      <c r="F20" s="8" t="s">
        <v>2409</v>
      </c>
      <c r="G20" s="8" t="s">
        <v>124</v>
      </c>
      <c r="H20" s="8" t="s">
        <v>38</v>
      </c>
      <c r="I20" s="8" t="s">
        <v>2410</v>
      </c>
      <c r="J20" s="8" t="s">
        <v>2411</v>
      </c>
      <c r="K20" s="8" t="s">
        <v>40</v>
      </c>
      <c r="L20" s="8" t="s">
        <v>40</v>
      </c>
      <c r="M20" s="8" t="s">
        <v>40</v>
      </c>
      <c r="N20" s="15"/>
      <c r="O20" s="15"/>
      <c r="P20" s="8" t="s">
        <v>2412</v>
      </c>
      <c r="Q20" s="8" t="s">
        <v>42</v>
      </c>
      <c r="R20" s="8">
        <v>3100.0</v>
      </c>
      <c r="S20" s="8">
        <v>3100.0</v>
      </c>
      <c r="T20" s="8">
        <v>0.0</v>
      </c>
      <c r="U20" s="8">
        <v>14.0</v>
      </c>
      <c r="V20" s="8" t="s">
        <v>1215</v>
      </c>
      <c r="W20" s="8" t="s">
        <v>1216</v>
      </c>
      <c r="X20" s="8" t="s">
        <v>340</v>
      </c>
      <c r="Y20" s="8" t="s">
        <v>89</v>
      </c>
      <c r="Z20" s="8" t="s">
        <v>47</v>
      </c>
      <c r="AA20" s="8" t="s">
        <v>61</v>
      </c>
      <c r="AB20" s="15"/>
      <c r="AC20" s="8">
        <v>6.0</v>
      </c>
      <c r="AD20" s="8">
        <v>0.0</v>
      </c>
      <c r="AE20" s="8">
        <v>2.5</v>
      </c>
      <c r="AF20" s="8">
        <v>2900.0</v>
      </c>
      <c r="AG20" s="32"/>
      <c r="AH20" s="15"/>
      <c r="AI20" s="15"/>
      <c r="AJ20" s="15"/>
      <c r="AK20" s="15"/>
      <c r="AL20" s="15"/>
      <c r="AM20" s="15"/>
    </row>
    <row r="21">
      <c r="A21" s="14">
        <v>44403.84263298611</v>
      </c>
      <c r="B21" s="8" t="s">
        <v>49</v>
      </c>
      <c r="C21" s="8">
        <v>24.0</v>
      </c>
      <c r="D21" s="8" t="s">
        <v>35</v>
      </c>
      <c r="E21" s="8" t="s">
        <v>36</v>
      </c>
      <c r="F21" s="8" t="s">
        <v>50</v>
      </c>
      <c r="G21" s="8" t="s">
        <v>570</v>
      </c>
      <c r="H21" s="8" t="s">
        <v>38</v>
      </c>
      <c r="I21" s="8" t="s">
        <v>2413</v>
      </c>
      <c r="J21" s="8" t="s">
        <v>161</v>
      </c>
      <c r="K21" s="8" t="s">
        <v>39</v>
      </c>
      <c r="L21" s="8" t="s">
        <v>40</v>
      </c>
      <c r="M21" s="8" t="s">
        <v>40</v>
      </c>
      <c r="N21" s="15"/>
      <c r="O21" s="15"/>
      <c r="P21" s="8" t="s">
        <v>128</v>
      </c>
      <c r="Q21" s="8" t="s">
        <v>42</v>
      </c>
      <c r="R21" s="8">
        <v>5200.0</v>
      </c>
      <c r="S21" s="8">
        <v>0.0</v>
      </c>
      <c r="T21" s="8">
        <v>0.0</v>
      </c>
      <c r="U21" s="8">
        <v>14.0</v>
      </c>
      <c r="V21" s="8" t="s">
        <v>940</v>
      </c>
      <c r="W21" s="8" t="s">
        <v>2146</v>
      </c>
      <c r="X21" s="8" t="s">
        <v>122</v>
      </c>
      <c r="Y21" s="8" t="s">
        <v>232</v>
      </c>
      <c r="Z21" s="8" t="s">
        <v>71</v>
      </c>
      <c r="AA21" s="8" t="s">
        <v>61</v>
      </c>
      <c r="AB21" s="24" t="s">
        <v>2147</v>
      </c>
      <c r="AC21" s="8">
        <v>9.0</v>
      </c>
      <c r="AD21" s="8">
        <v>2.0</v>
      </c>
      <c r="AE21" s="8">
        <v>2.0</v>
      </c>
      <c r="AF21" s="8">
        <v>4800.0</v>
      </c>
      <c r="AG21" s="32"/>
      <c r="AH21" s="15"/>
      <c r="AI21" s="15"/>
      <c r="AJ21" s="15"/>
      <c r="AK21" s="15"/>
      <c r="AL21" s="15"/>
      <c r="AM21" s="15"/>
    </row>
    <row r="22">
      <c r="A22" s="14">
        <v>44403.84300337963</v>
      </c>
      <c r="B22" s="8" t="s">
        <v>49</v>
      </c>
      <c r="C22" s="8">
        <v>24.0</v>
      </c>
      <c r="D22" s="8" t="s">
        <v>35</v>
      </c>
      <c r="E22" s="8" t="s">
        <v>36</v>
      </c>
      <c r="F22" s="8" t="s">
        <v>50</v>
      </c>
      <c r="G22" s="8" t="s">
        <v>331</v>
      </c>
      <c r="H22" s="8" t="s">
        <v>38</v>
      </c>
      <c r="I22" s="8" t="s">
        <v>2414</v>
      </c>
      <c r="J22" s="8" t="s">
        <v>2415</v>
      </c>
      <c r="K22" s="8" t="s">
        <v>39</v>
      </c>
      <c r="L22" s="8" t="s">
        <v>40</v>
      </c>
      <c r="M22" s="8" t="s">
        <v>39</v>
      </c>
      <c r="N22" s="15"/>
      <c r="O22" s="15"/>
      <c r="P22" s="8" t="s">
        <v>2416</v>
      </c>
      <c r="Q22" s="8" t="s">
        <v>42</v>
      </c>
      <c r="R22" s="8">
        <v>3200.0</v>
      </c>
      <c r="S22" s="8">
        <v>0.0</v>
      </c>
      <c r="T22" s="8">
        <v>0.0</v>
      </c>
      <c r="U22" s="8">
        <v>14.0</v>
      </c>
      <c r="V22" s="8" t="s">
        <v>1144</v>
      </c>
      <c r="W22" s="8" t="s">
        <v>1145</v>
      </c>
      <c r="X22" s="8" t="s">
        <v>1146</v>
      </c>
      <c r="Y22" s="8" t="s">
        <v>70</v>
      </c>
      <c r="Z22" s="8" t="s">
        <v>71</v>
      </c>
      <c r="AA22" s="8" t="s">
        <v>61</v>
      </c>
      <c r="AB22" s="15"/>
      <c r="AC22" s="8">
        <v>6.0</v>
      </c>
      <c r="AD22" s="8">
        <v>1.0</v>
      </c>
      <c r="AE22" s="8">
        <v>1.0</v>
      </c>
      <c r="AF22" s="8">
        <v>2800.0</v>
      </c>
      <c r="AG22" s="32"/>
      <c r="AH22" s="15"/>
      <c r="AI22" s="15"/>
      <c r="AJ22" s="15"/>
      <c r="AK22" s="15"/>
      <c r="AL22" s="15"/>
      <c r="AM22" s="15"/>
    </row>
    <row r="23">
      <c r="A23" s="14">
        <v>44403.843163020836</v>
      </c>
      <c r="B23" s="8" t="s">
        <v>49</v>
      </c>
      <c r="C23" s="8">
        <v>31.0</v>
      </c>
      <c r="D23" s="8" t="s">
        <v>35</v>
      </c>
      <c r="E23" s="8" t="s">
        <v>36</v>
      </c>
      <c r="F23" s="8" t="s">
        <v>50</v>
      </c>
      <c r="G23" s="8" t="s">
        <v>2417</v>
      </c>
      <c r="H23" s="8" t="s">
        <v>38</v>
      </c>
      <c r="I23" s="8" t="s">
        <v>2418</v>
      </c>
      <c r="J23" s="8" t="s">
        <v>2419</v>
      </c>
      <c r="K23" s="8" t="s">
        <v>39</v>
      </c>
      <c r="L23" s="8" t="s">
        <v>40</v>
      </c>
      <c r="M23" s="8" t="s">
        <v>40</v>
      </c>
      <c r="N23" s="15"/>
      <c r="O23" s="15"/>
      <c r="P23" s="8" t="s">
        <v>2420</v>
      </c>
      <c r="Q23" s="8" t="s">
        <v>42</v>
      </c>
      <c r="R23" s="8">
        <v>10500.0</v>
      </c>
      <c r="S23" s="8">
        <v>0.0</v>
      </c>
      <c r="T23" s="8">
        <v>0.0</v>
      </c>
      <c r="U23" s="8">
        <v>14.0</v>
      </c>
      <c r="V23" s="8" t="s">
        <v>1003</v>
      </c>
      <c r="W23" s="8" t="s">
        <v>196</v>
      </c>
      <c r="X23" s="8" t="s">
        <v>2309</v>
      </c>
      <c r="Y23" s="8" t="s">
        <v>2310</v>
      </c>
      <c r="Z23" s="8" t="s">
        <v>132</v>
      </c>
      <c r="AA23" s="8" t="s">
        <v>61</v>
      </c>
      <c r="AB23" s="15"/>
      <c r="AC23" s="8">
        <v>8.0</v>
      </c>
      <c r="AD23" s="8">
        <v>11.0</v>
      </c>
      <c r="AE23" s="8">
        <v>4.0</v>
      </c>
      <c r="AF23" s="8">
        <v>10500.0</v>
      </c>
      <c r="AG23" s="32"/>
      <c r="AH23" s="15"/>
      <c r="AI23" s="15"/>
      <c r="AJ23" s="15"/>
      <c r="AK23" s="15"/>
      <c r="AL23" s="15"/>
      <c r="AM23" s="15"/>
    </row>
    <row r="24">
      <c r="A24" s="14">
        <v>44403.84344736111</v>
      </c>
      <c r="B24" s="8" t="s">
        <v>49</v>
      </c>
      <c r="C24" s="8">
        <v>26.0</v>
      </c>
      <c r="D24" s="8" t="s">
        <v>35</v>
      </c>
      <c r="E24" s="8" t="s">
        <v>36</v>
      </c>
      <c r="F24" s="8" t="s">
        <v>50</v>
      </c>
      <c r="G24" s="8" t="s">
        <v>331</v>
      </c>
      <c r="H24" s="8" t="s">
        <v>38</v>
      </c>
      <c r="I24" s="8" t="s">
        <v>2368</v>
      </c>
      <c r="J24" s="8" t="s">
        <v>2421</v>
      </c>
      <c r="K24" s="8" t="s">
        <v>39</v>
      </c>
      <c r="L24" s="8" t="s">
        <v>40</v>
      </c>
      <c r="M24" s="8" t="s">
        <v>40</v>
      </c>
      <c r="N24" s="15"/>
      <c r="O24" s="15"/>
      <c r="P24" s="8" t="s">
        <v>2422</v>
      </c>
      <c r="Q24" s="8" t="s">
        <v>42</v>
      </c>
      <c r="R24" s="8">
        <v>6650.0</v>
      </c>
      <c r="S24" s="8">
        <v>11000.0</v>
      </c>
      <c r="T24" s="8">
        <v>0.0</v>
      </c>
      <c r="U24" s="8">
        <v>15.0</v>
      </c>
      <c r="V24" s="8" t="s">
        <v>1156</v>
      </c>
      <c r="W24" s="8" t="s">
        <v>1157</v>
      </c>
      <c r="X24" s="8" t="s">
        <v>1158</v>
      </c>
      <c r="Y24" s="8" t="s">
        <v>297</v>
      </c>
      <c r="Z24" s="8" t="s">
        <v>81</v>
      </c>
      <c r="AA24" s="8" t="s">
        <v>133</v>
      </c>
      <c r="AB24" s="15"/>
      <c r="AC24" s="8">
        <v>8.0</v>
      </c>
      <c r="AD24" s="8" t="s">
        <v>564</v>
      </c>
      <c r="AE24" s="8">
        <v>2.0</v>
      </c>
      <c r="AF24" s="8">
        <v>2800.0</v>
      </c>
      <c r="AG24" s="32"/>
      <c r="AH24" s="15"/>
      <c r="AI24" s="15"/>
      <c r="AJ24" s="15"/>
      <c r="AK24" s="15"/>
      <c r="AL24" s="15"/>
      <c r="AM24" s="15"/>
    </row>
    <row r="25">
      <c r="A25" s="14">
        <v>44403.8440308912</v>
      </c>
      <c r="B25" s="8" t="s">
        <v>49</v>
      </c>
      <c r="C25" s="8">
        <v>25.0</v>
      </c>
      <c r="D25" s="8" t="s">
        <v>35</v>
      </c>
      <c r="E25" s="8" t="s">
        <v>36</v>
      </c>
      <c r="F25" s="8" t="s">
        <v>50</v>
      </c>
      <c r="G25" s="8" t="s">
        <v>106</v>
      </c>
      <c r="H25" s="8" t="s">
        <v>38</v>
      </c>
      <c r="I25" s="8" t="s">
        <v>2413</v>
      </c>
      <c r="J25" s="8" t="s">
        <v>161</v>
      </c>
      <c r="K25" s="8" t="s">
        <v>39</v>
      </c>
      <c r="L25" s="8" t="s">
        <v>40</v>
      </c>
      <c r="M25" s="8" t="s">
        <v>40</v>
      </c>
      <c r="N25" s="15"/>
      <c r="O25" s="15"/>
      <c r="P25" s="8" t="s">
        <v>1481</v>
      </c>
      <c r="Q25" s="8" t="s">
        <v>42</v>
      </c>
      <c r="R25" s="8">
        <v>4200.0</v>
      </c>
      <c r="S25" s="8">
        <v>0.0</v>
      </c>
      <c r="T25" s="8">
        <v>0.0</v>
      </c>
      <c r="U25" s="8">
        <v>18.0</v>
      </c>
      <c r="V25" s="8" t="s">
        <v>1482</v>
      </c>
      <c r="W25" s="8" t="s">
        <v>1483</v>
      </c>
      <c r="X25" s="8" t="s">
        <v>58</v>
      </c>
      <c r="Y25" s="8" t="s">
        <v>347</v>
      </c>
      <c r="Z25" s="8" t="s">
        <v>71</v>
      </c>
      <c r="AA25" s="8" t="s">
        <v>61</v>
      </c>
      <c r="AB25" s="15"/>
      <c r="AC25" s="8">
        <v>7.0</v>
      </c>
      <c r="AD25" s="8">
        <v>3.0</v>
      </c>
      <c r="AE25" s="8">
        <v>1.0</v>
      </c>
      <c r="AF25" s="8">
        <v>3000.0</v>
      </c>
      <c r="AG25" s="32"/>
      <c r="AH25" s="15"/>
      <c r="AI25" s="15"/>
      <c r="AJ25" s="15"/>
      <c r="AK25" s="15"/>
      <c r="AL25" s="15"/>
      <c r="AM25" s="15"/>
    </row>
    <row r="26">
      <c r="A26" s="14">
        <v>44403.84435326389</v>
      </c>
      <c r="B26" s="8" t="s">
        <v>49</v>
      </c>
      <c r="C26" s="8">
        <v>26.0</v>
      </c>
      <c r="D26" s="8" t="s">
        <v>35</v>
      </c>
      <c r="E26" s="8" t="s">
        <v>36</v>
      </c>
      <c r="F26" s="8" t="s">
        <v>363</v>
      </c>
      <c r="G26" s="8" t="s">
        <v>2423</v>
      </c>
      <c r="H26" s="8" t="s">
        <v>38</v>
      </c>
      <c r="I26" s="8" t="s">
        <v>2424</v>
      </c>
      <c r="J26" s="8" t="s">
        <v>2425</v>
      </c>
      <c r="K26" s="8" t="s">
        <v>39</v>
      </c>
      <c r="L26" s="8" t="s">
        <v>40</v>
      </c>
      <c r="M26" s="8" t="s">
        <v>40</v>
      </c>
      <c r="N26" s="15"/>
      <c r="O26" s="15"/>
      <c r="P26" s="8" t="s">
        <v>2426</v>
      </c>
      <c r="Q26" s="8" t="s">
        <v>42</v>
      </c>
      <c r="R26" s="8">
        <v>3800.0</v>
      </c>
      <c r="S26" s="8">
        <v>3800.0</v>
      </c>
      <c r="T26" s="8">
        <v>0.0</v>
      </c>
      <c r="U26" s="8">
        <v>17.0</v>
      </c>
      <c r="V26" s="8" t="s">
        <v>1877</v>
      </c>
      <c r="W26" s="8" t="s">
        <v>1878</v>
      </c>
      <c r="X26" s="8" t="s">
        <v>2427</v>
      </c>
      <c r="Y26" s="8" t="s">
        <v>80</v>
      </c>
      <c r="Z26" s="8" t="s">
        <v>81</v>
      </c>
      <c r="AA26" s="8" t="s">
        <v>91</v>
      </c>
      <c r="AB26" s="15"/>
      <c r="AC26" s="8">
        <v>8.0</v>
      </c>
      <c r="AD26" s="8">
        <v>2.5</v>
      </c>
      <c r="AE26" s="8">
        <v>0.0</v>
      </c>
      <c r="AF26" s="8">
        <v>3500.0</v>
      </c>
      <c r="AG26" s="32"/>
      <c r="AH26" s="15"/>
      <c r="AI26" s="15"/>
      <c r="AJ26" s="15"/>
      <c r="AK26" s="15"/>
      <c r="AL26" s="15"/>
      <c r="AM26" s="15"/>
    </row>
    <row r="27">
      <c r="A27" s="14">
        <v>44403.844374409724</v>
      </c>
      <c r="B27" s="8" t="s">
        <v>49</v>
      </c>
      <c r="C27" s="8">
        <v>23.0</v>
      </c>
      <c r="D27" s="8" t="s">
        <v>35</v>
      </c>
      <c r="E27" s="8" t="s">
        <v>36</v>
      </c>
      <c r="F27" s="8" t="s">
        <v>50</v>
      </c>
      <c r="G27" s="8" t="s">
        <v>493</v>
      </c>
      <c r="H27" s="8" t="s">
        <v>2428</v>
      </c>
      <c r="I27" s="15"/>
      <c r="J27" s="15"/>
      <c r="K27" s="8" t="s">
        <v>890</v>
      </c>
      <c r="L27" s="8" t="s">
        <v>39</v>
      </c>
      <c r="M27" s="8" t="s">
        <v>39</v>
      </c>
      <c r="N27" s="8" t="s">
        <v>642</v>
      </c>
      <c r="O27" s="8" t="s">
        <v>1611</v>
      </c>
      <c r="P27" s="8" t="s">
        <v>2429</v>
      </c>
      <c r="Q27" s="8" t="s">
        <v>42</v>
      </c>
      <c r="R27" s="8">
        <v>6500.0</v>
      </c>
      <c r="S27" s="8">
        <v>0.0</v>
      </c>
      <c r="T27" s="8">
        <v>0.0</v>
      </c>
      <c r="U27" s="8">
        <v>14.0</v>
      </c>
      <c r="V27" s="8" t="s">
        <v>1612</v>
      </c>
      <c r="W27" s="8" t="s">
        <v>1613</v>
      </c>
      <c r="X27" s="8" t="s">
        <v>58</v>
      </c>
      <c r="Y27" s="8" t="s">
        <v>1614</v>
      </c>
      <c r="Z27" s="8" t="s">
        <v>71</v>
      </c>
      <c r="AA27" s="8" t="s">
        <v>61</v>
      </c>
      <c r="AB27" s="15"/>
      <c r="AC27" s="8">
        <v>8.0</v>
      </c>
      <c r="AD27" s="8">
        <v>2.0</v>
      </c>
      <c r="AE27" s="8">
        <v>2.0</v>
      </c>
      <c r="AF27" s="8">
        <v>3200.0</v>
      </c>
      <c r="AG27" s="32"/>
      <c r="AH27" s="15"/>
      <c r="AI27" s="15"/>
      <c r="AJ27" s="15"/>
      <c r="AK27" s="15"/>
      <c r="AL27" s="15"/>
      <c r="AM27" s="15"/>
    </row>
    <row r="28">
      <c r="A28" s="14">
        <v>44403.8449090162</v>
      </c>
      <c r="B28" s="8" t="s">
        <v>49</v>
      </c>
      <c r="C28" s="8">
        <v>25.0</v>
      </c>
      <c r="D28" s="8" t="s">
        <v>431</v>
      </c>
      <c r="E28" s="8" t="s">
        <v>36</v>
      </c>
      <c r="F28" s="8" t="s">
        <v>2430</v>
      </c>
      <c r="G28" s="8" t="s">
        <v>2431</v>
      </c>
      <c r="H28" s="8" t="s">
        <v>38</v>
      </c>
      <c r="I28" s="8" t="s">
        <v>2432</v>
      </c>
      <c r="J28" s="8" t="s">
        <v>2433</v>
      </c>
      <c r="K28" s="8" t="s">
        <v>39</v>
      </c>
      <c r="L28" s="8" t="s">
        <v>40</v>
      </c>
      <c r="M28" s="8" t="s">
        <v>40</v>
      </c>
      <c r="N28" s="15"/>
      <c r="O28" s="15"/>
      <c r="P28" s="8" t="s">
        <v>2214</v>
      </c>
      <c r="Q28" s="8" t="s">
        <v>42</v>
      </c>
      <c r="R28" s="8">
        <v>7000.0</v>
      </c>
      <c r="S28" s="8">
        <v>14000.0</v>
      </c>
      <c r="T28" s="8">
        <v>0.0</v>
      </c>
      <c r="U28" s="8">
        <v>14.0</v>
      </c>
      <c r="V28" s="8" t="s">
        <v>2215</v>
      </c>
      <c r="W28" s="8" t="s">
        <v>2434</v>
      </c>
      <c r="X28" s="8" t="s">
        <v>2435</v>
      </c>
      <c r="Y28" s="8" t="s">
        <v>59</v>
      </c>
      <c r="Z28" s="8" t="s">
        <v>60</v>
      </c>
      <c r="AA28" s="8" t="s">
        <v>91</v>
      </c>
      <c r="AB28" s="24" t="s">
        <v>2436</v>
      </c>
      <c r="AC28" s="8">
        <v>5.0</v>
      </c>
      <c r="AD28" s="8">
        <v>2.0</v>
      </c>
      <c r="AE28" s="8">
        <v>0.0</v>
      </c>
      <c r="AF28" s="8">
        <v>6000.0</v>
      </c>
      <c r="AG28" s="32"/>
      <c r="AH28" s="15"/>
      <c r="AI28" s="15"/>
      <c r="AJ28" s="15"/>
      <c r="AK28" s="15"/>
      <c r="AL28" s="15"/>
      <c r="AM28" s="15"/>
    </row>
    <row r="29">
      <c r="A29" s="14">
        <v>44403.84559886574</v>
      </c>
      <c r="B29" s="8" t="s">
        <v>73</v>
      </c>
      <c r="C29" s="8">
        <v>22.0</v>
      </c>
      <c r="D29" s="8" t="s">
        <v>35</v>
      </c>
      <c r="E29" s="8" t="s">
        <v>36</v>
      </c>
      <c r="F29" s="8" t="s">
        <v>124</v>
      </c>
      <c r="G29" s="8" t="s">
        <v>206</v>
      </c>
      <c r="H29" s="8" t="s">
        <v>38</v>
      </c>
      <c r="I29" s="8" t="s">
        <v>2437</v>
      </c>
      <c r="J29" s="8" t="s">
        <v>84</v>
      </c>
      <c r="K29" s="8" t="s">
        <v>39</v>
      </c>
      <c r="L29" s="8" t="s">
        <v>40</v>
      </c>
      <c r="M29" s="8" t="s">
        <v>39</v>
      </c>
      <c r="N29" s="15"/>
      <c r="O29" s="8" t="s">
        <v>398</v>
      </c>
      <c r="P29" s="8" t="s">
        <v>2438</v>
      </c>
      <c r="Q29" s="8" t="s">
        <v>42</v>
      </c>
      <c r="R29" s="8">
        <v>3000.0</v>
      </c>
      <c r="S29" s="8">
        <v>0.0</v>
      </c>
      <c r="T29" s="8">
        <v>0.0</v>
      </c>
      <c r="U29" s="8">
        <v>4.0</v>
      </c>
      <c r="V29" s="8" t="s">
        <v>399</v>
      </c>
      <c r="W29" s="8" t="s">
        <v>400</v>
      </c>
      <c r="X29" s="8" t="s">
        <v>58</v>
      </c>
      <c r="Y29" s="8" t="s">
        <v>70</v>
      </c>
      <c r="Z29" s="8" t="s">
        <v>71</v>
      </c>
      <c r="AA29" s="8" t="s">
        <v>61</v>
      </c>
      <c r="AB29" s="15"/>
      <c r="AC29" s="8">
        <v>10.0</v>
      </c>
      <c r="AD29" s="8">
        <v>0.0</v>
      </c>
      <c r="AE29" s="8">
        <v>3.0</v>
      </c>
      <c r="AF29" s="8">
        <v>1600.0</v>
      </c>
      <c r="AG29" s="32"/>
      <c r="AH29" s="15"/>
      <c r="AI29" s="15"/>
      <c r="AJ29" s="15"/>
      <c r="AK29" s="15"/>
      <c r="AL29" s="15"/>
      <c r="AM29" s="15"/>
    </row>
    <row r="30">
      <c r="A30" s="14">
        <v>44403.845672870375</v>
      </c>
      <c r="B30" s="8" t="s">
        <v>49</v>
      </c>
      <c r="C30" s="8">
        <v>23.0</v>
      </c>
      <c r="D30" s="8" t="s">
        <v>35</v>
      </c>
      <c r="E30" s="8" t="s">
        <v>36</v>
      </c>
      <c r="F30" s="8" t="s">
        <v>2430</v>
      </c>
      <c r="G30" s="8" t="s">
        <v>2439</v>
      </c>
      <c r="H30" s="8" t="s">
        <v>38</v>
      </c>
      <c r="I30" s="8" t="s">
        <v>2388</v>
      </c>
      <c r="J30" s="8" t="s">
        <v>2389</v>
      </c>
      <c r="K30" s="8" t="s">
        <v>39</v>
      </c>
      <c r="L30" s="8" t="s">
        <v>40</v>
      </c>
      <c r="M30" s="8" t="s">
        <v>40</v>
      </c>
      <c r="N30" s="15"/>
      <c r="O30" s="15"/>
      <c r="P30" s="8" t="s">
        <v>2440</v>
      </c>
      <c r="Q30" s="8" t="s">
        <v>42</v>
      </c>
      <c r="R30" s="8">
        <v>5000.0</v>
      </c>
      <c r="S30" s="8">
        <v>5000.0</v>
      </c>
      <c r="T30" s="8">
        <v>0.0</v>
      </c>
      <c r="U30" s="8">
        <v>14.0</v>
      </c>
      <c r="V30" s="8" t="s">
        <v>2441</v>
      </c>
      <c r="W30" s="8" t="s">
        <v>1957</v>
      </c>
      <c r="X30" s="8" t="s">
        <v>58</v>
      </c>
      <c r="Y30" s="8" t="s">
        <v>59</v>
      </c>
      <c r="Z30" s="8" t="s">
        <v>132</v>
      </c>
      <c r="AA30" s="8" t="s">
        <v>91</v>
      </c>
      <c r="AB30" s="15"/>
      <c r="AC30" s="8">
        <v>10.0</v>
      </c>
      <c r="AD30" s="8">
        <v>1.0</v>
      </c>
      <c r="AE30" s="8">
        <v>2.0</v>
      </c>
      <c r="AF30" s="8">
        <v>3800.0</v>
      </c>
      <c r="AG30" s="32"/>
      <c r="AH30" s="15"/>
      <c r="AI30" s="15"/>
      <c r="AJ30" s="15"/>
      <c r="AK30" s="15"/>
      <c r="AL30" s="15"/>
      <c r="AM30" s="15"/>
    </row>
    <row r="31">
      <c r="A31" s="14">
        <v>44403.84800278935</v>
      </c>
      <c r="B31" s="8" t="s">
        <v>49</v>
      </c>
      <c r="C31" s="8">
        <v>28.0</v>
      </c>
      <c r="D31" s="8" t="s">
        <v>35</v>
      </c>
      <c r="E31" s="8" t="s">
        <v>36</v>
      </c>
      <c r="F31" s="8" t="s">
        <v>349</v>
      </c>
      <c r="G31" s="8" t="s">
        <v>349</v>
      </c>
      <c r="H31" s="8" t="s">
        <v>38</v>
      </c>
      <c r="I31" s="8" t="s">
        <v>2442</v>
      </c>
      <c r="J31" s="8" t="s">
        <v>2443</v>
      </c>
      <c r="K31" s="8" t="s">
        <v>39</v>
      </c>
      <c r="L31" s="8" t="s">
        <v>40</v>
      </c>
      <c r="M31" s="8" t="s">
        <v>40</v>
      </c>
      <c r="N31" s="15"/>
      <c r="O31" s="15"/>
      <c r="P31" s="8" t="s">
        <v>152</v>
      </c>
      <c r="Q31" s="8" t="s">
        <v>42</v>
      </c>
      <c r="R31" s="8">
        <v>8500.0</v>
      </c>
      <c r="S31" s="8">
        <v>8500.0</v>
      </c>
      <c r="T31" s="15"/>
      <c r="U31" s="8">
        <v>14.0</v>
      </c>
      <c r="V31" s="8" t="s">
        <v>1730</v>
      </c>
      <c r="W31" s="8" t="s">
        <v>1867</v>
      </c>
      <c r="X31" s="8" t="s">
        <v>1868</v>
      </c>
      <c r="Y31" s="8" t="s">
        <v>155</v>
      </c>
      <c r="Z31" s="8" t="s">
        <v>47</v>
      </c>
      <c r="AA31" s="8" t="s">
        <v>48</v>
      </c>
      <c r="AB31" s="15"/>
      <c r="AC31" s="8">
        <v>7.0</v>
      </c>
      <c r="AD31" s="8">
        <v>4.0</v>
      </c>
      <c r="AE31" s="8">
        <v>1.0</v>
      </c>
      <c r="AF31" s="8">
        <v>3500.0</v>
      </c>
      <c r="AG31" s="32"/>
      <c r="AH31" s="15"/>
      <c r="AI31" s="15"/>
      <c r="AJ31" s="15"/>
      <c r="AK31" s="15"/>
      <c r="AL31" s="15"/>
      <c r="AM31" s="15"/>
    </row>
    <row r="32">
      <c r="A32" s="14">
        <v>44403.84861453704</v>
      </c>
      <c r="B32" s="8" t="s">
        <v>73</v>
      </c>
      <c r="C32" s="8">
        <v>27.0</v>
      </c>
      <c r="D32" s="8" t="s">
        <v>35</v>
      </c>
      <c r="E32" s="8" t="s">
        <v>36</v>
      </c>
      <c r="F32" s="8" t="s">
        <v>50</v>
      </c>
      <c r="G32" s="8" t="s">
        <v>180</v>
      </c>
      <c r="H32" s="8" t="s">
        <v>38</v>
      </c>
      <c r="I32" s="8" t="s">
        <v>2368</v>
      </c>
      <c r="J32" s="8" t="s">
        <v>2444</v>
      </c>
      <c r="K32" s="8" t="s">
        <v>39</v>
      </c>
      <c r="L32" s="8" t="s">
        <v>40</v>
      </c>
      <c r="M32" s="8" t="s">
        <v>40</v>
      </c>
      <c r="N32" s="15"/>
      <c r="O32" s="15"/>
      <c r="P32" s="8" t="s">
        <v>2445</v>
      </c>
      <c r="Q32" s="8" t="s">
        <v>42</v>
      </c>
      <c r="R32" s="8">
        <v>5000.0</v>
      </c>
      <c r="S32" s="8">
        <v>2000.0</v>
      </c>
      <c r="T32" s="8">
        <v>0.0</v>
      </c>
      <c r="U32" s="8">
        <v>18.0</v>
      </c>
      <c r="V32" s="8" t="s">
        <v>1484</v>
      </c>
      <c r="W32" s="8" t="s">
        <v>1485</v>
      </c>
      <c r="X32" s="8" t="s">
        <v>58</v>
      </c>
      <c r="Y32" s="8" t="s">
        <v>350</v>
      </c>
      <c r="Z32" s="8" t="s">
        <v>132</v>
      </c>
      <c r="AA32" s="8" t="s">
        <v>91</v>
      </c>
      <c r="AB32" s="15"/>
      <c r="AC32" s="8">
        <v>6.0</v>
      </c>
      <c r="AD32" s="8">
        <v>4.0</v>
      </c>
      <c r="AE32" s="8">
        <v>0.0</v>
      </c>
      <c r="AF32" s="8">
        <v>3000.0</v>
      </c>
      <c r="AG32" s="32"/>
      <c r="AH32" s="15"/>
      <c r="AI32" s="15"/>
      <c r="AJ32" s="15"/>
      <c r="AK32" s="15"/>
      <c r="AL32" s="15"/>
      <c r="AM32" s="15"/>
    </row>
    <row r="33">
      <c r="A33" s="14">
        <v>44403.84935701389</v>
      </c>
      <c r="B33" s="8" t="s">
        <v>49</v>
      </c>
      <c r="C33" s="8">
        <v>27.0</v>
      </c>
      <c r="D33" s="8" t="s">
        <v>35</v>
      </c>
      <c r="E33" s="8" t="s">
        <v>246</v>
      </c>
      <c r="F33" s="8" t="s">
        <v>72</v>
      </c>
      <c r="G33" s="8" t="s">
        <v>246</v>
      </c>
      <c r="H33" s="8" t="s">
        <v>38</v>
      </c>
      <c r="I33" s="8" t="s">
        <v>2446</v>
      </c>
      <c r="J33" s="8" t="s">
        <v>2385</v>
      </c>
      <c r="K33" s="8" t="s">
        <v>39</v>
      </c>
      <c r="L33" s="8" t="s">
        <v>40</v>
      </c>
      <c r="M33" s="8" t="s">
        <v>39</v>
      </c>
      <c r="N33" s="15"/>
      <c r="O33" s="8" t="s">
        <v>1920</v>
      </c>
      <c r="P33" s="8" t="s">
        <v>152</v>
      </c>
      <c r="Q33" s="8" t="s">
        <v>250</v>
      </c>
      <c r="R33" s="8">
        <v>4300.0</v>
      </c>
      <c r="S33" s="8">
        <v>7000.0</v>
      </c>
      <c r="T33" s="8">
        <v>0.0</v>
      </c>
      <c r="U33" s="8">
        <v>14.0</v>
      </c>
      <c r="V33" s="8" t="s">
        <v>459</v>
      </c>
      <c r="W33" s="8" t="s">
        <v>1921</v>
      </c>
      <c r="X33" s="8" t="s">
        <v>246</v>
      </c>
      <c r="Y33" s="8" t="s">
        <v>197</v>
      </c>
      <c r="Z33" s="8" t="s">
        <v>132</v>
      </c>
      <c r="AA33" s="8" t="s">
        <v>61</v>
      </c>
      <c r="AB33" s="15"/>
      <c r="AC33" s="8">
        <v>7.0</v>
      </c>
      <c r="AD33" s="8">
        <v>3.0</v>
      </c>
      <c r="AE33" s="8">
        <v>1.0</v>
      </c>
      <c r="AF33" s="8">
        <v>3600.0</v>
      </c>
      <c r="AG33" s="32"/>
      <c r="AH33" s="15"/>
      <c r="AI33" s="15"/>
      <c r="AJ33" s="15"/>
      <c r="AK33" s="15"/>
      <c r="AL33" s="15"/>
      <c r="AM33" s="15"/>
    </row>
    <row r="34">
      <c r="A34" s="14">
        <v>44403.849462048616</v>
      </c>
      <c r="B34" s="8" t="s">
        <v>49</v>
      </c>
      <c r="C34" s="8">
        <v>23.0</v>
      </c>
      <c r="D34" s="8" t="s">
        <v>35</v>
      </c>
      <c r="E34" s="8" t="s">
        <v>36</v>
      </c>
      <c r="F34" s="8" t="s">
        <v>349</v>
      </c>
      <c r="G34" s="8" t="s">
        <v>349</v>
      </c>
      <c r="H34" s="8" t="s">
        <v>38</v>
      </c>
      <c r="I34" s="8" t="s">
        <v>2447</v>
      </c>
      <c r="J34" s="8" t="s">
        <v>2448</v>
      </c>
      <c r="K34" s="8" t="s">
        <v>40</v>
      </c>
      <c r="L34" s="8" t="s">
        <v>40</v>
      </c>
      <c r="M34" s="8" t="s">
        <v>40</v>
      </c>
      <c r="N34" s="15"/>
      <c r="O34" s="15"/>
      <c r="P34" s="8" t="s">
        <v>293</v>
      </c>
      <c r="Q34" s="8" t="s">
        <v>42</v>
      </c>
      <c r="R34" s="8">
        <v>3600.0</v>
      </c>
      <c r="S34" s="8">
        <v>0.0</v>
      </c>
      <c r="T34" s="8">
        <v>0.0</v>
      </c>
      <c r="U34" s="8">
        <v>15.0</v>
      </c>
      <c r="V34" s="8" t="s">
        <v>1752</v>
      </c>
      <c r="W34" s="8" t="s">
        <v>1927</v>
      </c>
      <c r="X34" s="8" t="s">
        <v>58</v>
      </c>
      <c r="Y34" s="8" t="s">
        <v>89</v>
      </c>
      <c r="Z34" s="8" t="s">
        <v>71</v>
      </c>
      <c r="AA34" s="8" t="s">
        <v>91</v>
      </c>
      <c r="AB34" s="15"/>
      <c r="AC34" s="8">
        <v>8.0</v>
      </c>
      <c r="AD34" s="8">
        <v>1.0</v>
      </c>
      <c r="AE34" s="8">
        <v>1.0</v>
      </c>
      <c r="AF34" s="8">
        <v>3600.0</v>
      </c>
      <c r="AG34" s="32"/>
      <c r="AH34" s="15"/>
      <c r="AI34" s="15"/>
      <c r="AJ34" s="15"/>
      <c r="AK34" s="15"/>
      <c r="AL34" s="15"/>
      <c r="AM34" s="15"/>
    </row>
    <row r="35">
      <c r="A35" s="14">
        <v>44403.85019016203</v>
      </c>
      <c r="B35" s="8" t="s">
        <v>49</v>
      </c>
      <c r="C35" s="8">
        <v>28.0</v>
      </c>
      <c r="D35" s="8" t="s">
        <v>35</v>
      </c>
      <c r="E35" s="8" t="s">
        <v>36</v>
      </c>
      <c r="F35" s="15"/>
      <c r="G35" s="15"/>
      <c r="H35" s="8" t="s">
        <v>247</v>
      </c>
      <c r="I35" s="15"/>
      <c r="J35" s="15"/>
      <c r="K35" s="8" t="s">
        <v>40</v>
      </c>
      <c r="L35" s="8" t="s">
        <v>39</v>
      </c>
      <c r="M35" s="8" t="s">
        <v>39</v>
      </c>
      <c r="N35" s="8" t="s">
        <v>2078</v>
      </c>
      <c r="O35" s="8" t="s">
        <v>2079</v>
      </c>
      <c r="P35" s="8" t="s">
        <v>2080</v>
      </c>
      <c r="Q35" s="8" t="s">
        <v>42</v>
      </c>
      <c r="R35" s="8">
        <v>4700.0</v>
      </c>
      <c r="S35" s="8">
        <v>6500.0</v>
      </c>
      <c r="T35" s="15"/>
      <c r="U35" s="8">
        <v>15.0</v>
      </c>
      <c r="V35" s="8" t="s">
        <v>2081</v>
      </c>
      <c r="W35" s="8" t="s">
        <v>2082</v>
      </c>
      <c r="X35" s="8" t="s">
        <v>122</v>
      </c>
      <c r="Y35" s="8" t="s">
        <v>89</v>
      </c>
      <c r="Z35" s="8" t="s">
        <v>90</v>
      </c>
      <c r="AA35" s="8" t="s">
        <v>611</v>
      </c>
      <c r="AB35" s="15"/>
      <c r="AC35" s="8">
        <v>8.0</v>
      </c>
      <c r="AD35" s="8">
        <v>3.0</v>
      </c>
      <c r="AE35" s="8">
        <v>0.0</v>
      </c>
      <c r="AF35" s="8">
        <v>4130.0</v>
      </c>
      <c r="AG35" s="32"/>
      <c r="AH35" s="15"/>
      <c r="AI35" s="15"/>
      <c r="AJ35" s="15"/>
      <c r="AK35" s="15"/>
      <c r="AL35" s="15"/>
      <c r="AM35" s="15"/>
    </row>
    <row r="36">
      <c r="A36" s="14">
        <v>44403.85088686342</v>
      </c>
      <c r="B36" s="8" t="s">
        <v>49</v>
      </c>
      <c r="C36" s="8">
        <v>22.0</v>
      </c>
      <c r="D36" s="8" t="s">
        <v>35</v>
      </c>
      <c r="E36" s="8" t="s">
        <v>36</v>
      </c>
      <c r="F36" s="8" t="s">
        <v>50</v>
      </c>
      <c r="G36" s="8" t="s">
        <v>106</v>
      </c>
      <c r="H36" s="8" t="s">
        <v>38</v>
      </c>
      <c r="I36" s="8" t="s">
        <v>2449</v>
      </c>
      <c r="J36" s="8" t="s">
        <v>2450</v>
      </c>
      <c r="K36" s="8" t="s">
        <v>39</v>
      </c>
      <c r="L36" s="8" t="s">
        <v>40</v>
      </c>
      <c r="M36" s="8" t="s">
        <v>40</v>
      </c>
      <c r="N36" s="15"/>
      <c r="O36" s="15"/>
      <c r="P36" s="8" t="s">
        <v>2451</v>
      </c>
      <c r="Q36" s="8" t="s">
        <v>42</v>
      </c>
      <c r="R36" s="8">
        <v>3500.0</v>
      </c>
      <c r="S36" s="8">
        <v>0.0</v>
      </c>
      <c r="T36" s="8">
        <v>0.0</v>
      </c>
      <c r="U36" s="8">
        <v>14.0</v>
      </c>
      <c r="V36" s="8" t="s">
        <v>1854</v>
      </c>
      <c r="W36" s="8" t="s">
        <v>1855</v>
      </c>
      <c r="X36" s="8" t="s">
        <v>2452</v>
      </c>
      <c r="Y36" s="8" t="s">
        <v>651</v>
      </c>
      <c r="Z36" s="8" t="s">
        <v>71</v>
      </c>
      <c r="AA36" s="8" t="s">
        <v>91</v>
      </c>
      <c r="AB36" s="15"/>
      <c r="AC36" s="8">
        <v>10.0</v>
      </c>
      <c r="AD36" s="8">
        <v>1.0</v>
      </c>
      <c r="AE36" s="8">
        <v>0.0</v>
      </c>
      <c r="AF36" s="8">
        <v>3500.0</v>
      </c>
      <c r="AG36" s="32"/>
      <c r="AH36" s="15"/>
      <c r="AI36" s="15"/>
      <c r="AJ36" s="15"/>
      <c r="AK36" s="15"/>
      <c r="AL36" s="15"/>
      <c r="AM36" s="15"/>
    </row>
    <row r="37">
      <c r="A37" s="14">
        <v>44403.85139502315</v>
      </c>
      <c r="B37" s="8" t="s">
        <v>49</v>
      </c>
      <c r="C37" s="8">
        <v>27.0</v>
      </c>
      <c r="D37" s="8" t="s">
        <v>35</v>
      </c>
      <c r="E37" s="8" t="s">
        <v>36</v>
      </c>
      <c r="F37" s="8" t="s">
        <v>349</v>
      </c>
      <c r="G37" s="8" t="s">
        <v>349</v>
      </c>
      <c r="H37" s="8" t="s">
        <v>38</v>
      </c>
      <c r="I37" s="8" t="s">
        <v>2453</v>
      </c>
      <c r="J37" s="8" t="s">
        <v>2443</v>
      </c>
      <c r="K37" s="8" t="s">
        <v>39</v>
      </c>
      <c r="L37" s="8" t="s">
        <v>40</v>
      </c>
      <c r="M37" s="8" t="s">
        <v>40</v>
      </c>
      <c r="N37" s="15"/>
      <c r="O37" s="15"/>
      <c r="P37" s="8" t="s">
        <v>152</v>
      </c>
      <c r="Q37" s="8" t="s">
        <v>42</v>
      </c>
      <c r="R37" s="8">
        <v>7500.0</v>
      </c>
      <c r="S37" s="8">
        <v>7500.0</v>
      </c>
      <c r="T37" s="8">
        <v>0.0</v>
      </c>
      <c r="U37" s="8">
        <v>16.0</v>
      </c>
      <c r="V37" s="8" t="s">
        <v>223</v>
      </c>
      <c r="W37" s="8" t="s">
        <v>224</v>
      </c>
      <c r="X37" s="8" t="s">
        <v>390</v>
      </c>
      <c r="Y37" s="8" t="s">
        <v>2056</v>
      </c>
      <c r="Z37" s="8" t="s">
        <v>71</v>
      </c>
      <c r="AA37" s="8" t="s">
        <v>91</v>
      </c>
      <c r="AB37" s="15"/>
      <c r="AC37" s="8">
        <v>7.0</v>
      </c>
      <c r="AD37" s="8">
        <v>4.0</v>
      </c>
      <c r="AE37" s="8">
        <v>0.0</v>
      </c>
      <c r="AF37" s="8">
        <v>4000.0</v>
      </c>
      <c r="AG37" s="32"/>
      <c r="AH37" s="15"/>
      <c r="AI37" s="15"/>
      <c r="AJ37" s="15"/>
      <c r="AK37" s="15"/>
      <c r="AL37" s="15"/>
      <c r="AM37" s="15"/>
    </row>
    <row r="38">
      <c r="A38" s="14">
        <v>44403.851487893524</v>
      </c>
      <c r="B38" s="8" t="s">
        <v>49</v>
      </c>
      <c r="C38" s="8">
        <v>24.0</v>
      </c>
      <c r="D38" s="8" t="s">
        <v>35</v>
      </c>
      <c r="E38" s="8" t="s">
        <v>36</v>
      </c>
      <c r="F38" s="8" t="s">
        <v>2454</v>
      </c>
      <c r="G38" s="8" t="s">
        <v>482</v>
      </c>
      <c r="H38" s="8" t="s">
        <v>38</v>
      </c>
      <c r="I38" s="8" t="s">
        <v>2368</v>
      </c>
      <c r="J38" s="8" t="s">
        <v>2455</v>
      </c>
      <c r="K38" s="8" t="s">
        <v>39</v>
      </c>
      <c r="L38" s="8" t="s">
        <v>40</v>
      </c>
      <c r="M38" s="8" t="s">
        <v>40</v>
      </c>
      <c r="N38" s="15"/>
      <c r="O38" s="15"/>
      <c r="P38" s="8" t="s">
        <v>2456</v>
      </c>
      <c r="Q38" s="8" t="s">
        <v>42</v>
      </c>
      <c r="R38" s="8">
        <v>4000.0</v>
      </c>
      <c r="S38" s="8">
        <v>0.0</v>
      </c>
      <c r="T38" s="8">
        <v>0.0</v>
      </c>
      <c r="U38" s="8">
        <v>15.0</v>
      </c>
      <c r="V38" s="8" t="s">
        <v>2046</v>
      </c>
      <c r="W38" s="8" t="s">
        <v>2047</v>
      </c>
      <c r="X38" s="8" t="s">
        <v>246</v>
      </c>
      <c r="Y38" s="8" t="s">
        <v>97</v>
      </c>
      <c r="Z38" s="8" t="s">
        <v>71</v>
      </c>
      <c r="AA38" s="8" t="s">
        <v>61</v>
      </c>
      <c r="AB38" s="15"/>
      <c r="AC38" s="8">
        <v>6.0</v>
      </c>
      <c r="AD38" s="8">
        <v>0.0</v>
      </c>
      <c r="AE38" s="8">
        <v>0.0</v>
      </c>
      <c r="AF38" s="8">
        <v>4000.0</v>
      </c>
      <c r="AG38" s="32"/>
      <c r="AH38" s="15"/>
      <c r="AI38" s="15"/>
      <c r="AJ38" s="15"/>
      <c r="AK38" s="15"/>
      <c r="AL38" s="15"/>
      <c r="AM38" s="15"/>
    </row>
    <row r="39">
      <c r="A39" s="14">
        <v>44403.85154363426</v>
      </c>
      <c r="B39" s="8" t="s">
        <v>49</v>
      </c>
      <c r="C39" s="8">
        <v>21.0</v>
      </c>
      <c r="D39" s="8" t="s">
        <v>35</v>
      </c>
      <c r="E39" s="8" t="s">
        <v>36</v>
      </c>
      <c r="F39" s="8" t="s">
        <v>50</v>
      </c>
      <c r="G39" s="8" t="s">
        <v>2457</v>
      </c>
      <c r="H39" s="8" t="s">
        <v>38</v>
      </c>
      <c r="I39" s="8" t="s">
        <v>2458</v>
      </c>
      <c r="J39" s="8" t="s">
        <v>2459</v>
      </c>
      <c r="K39" s="8" t="s">
        <v>39</v>
      </c>
      <c r="L39" s="8" t="s">
        <v>40</v>
      </c>
      <c r="M39" s="8" t="s">
        <v>40</v>
      </c>
      <c r="N39" s="15"/>
      <c r="O39" s="15"/>
      <c r="P39" s="8" t="s">
        <v>2460</v>
      </c>
      <c r="Q39" s="8" t="s">
        <v>42</v>
      </c>
      <c r="R39" s="8">
        <v>1500.0</v>
      </c>
      <c r="S39" s="8">
        <v>0.0</v>
      </c>
      <c r="T39" s="8">
        <v>0.0</v>
      </c>
      <c r="U39" s="8">
        <v>16.0</v>
      </c>
      <c r="V39" s="8" t="s">
        <v>223</v>
      </c>
      <c r="W39" s="8" t="s">
        <v>2461</v>
      </c>
      <c r="X39" s="8" t="s">
        <v>2462</v>
      </c>
      <c r="Y39" s="8" t="s">
        <v>155</v>
      </c>
      <c r="Z39" s="8" t="s">
        <v>71</v>
      </c>
      <c r="AA39" s="8" t="s">
        <v>61</v>
      </c>
      <c r="AB39" s="8" t="s">
        <v>2463</v>
      </c>
      <c r="AC39" s="8">
        <v>1.0</v>
      </c>
      <c r="AD39" s="8">
        <v>0.0</v>
      </c>
      <c r="AE39" s="8">
        <v>0.0</v>
      </c>
      <c r="AF39" s="8">
        <v>1200.0</v>
      </c>
      <c r="AG39" s="32"/>
      <c r="AH39" s="15"/>
      <c r="AI39" s="15"/>
      <c r="AJ39" s="15"/>
      <c r="AK39" s="15"/>
      <c r="AL39" s="15"/>
      <c r="AM39" s="15"/>
    </row>
    <row r="40">
      <c r="A40" s="14">
        <v>44403.851690104166</v>
      </c>
      <c r="B40" s="8" t="s">
        <v>49</v>
      </c>
      <c r="C40" s="8">
        <v>22.0</v>
      </c>
      <c r="D40" s="8" t="s">
        <v>35</v>
      </c>
      <c r="E40" s="8" t="s">
        <v>36</v>
      </c>
      <c r="F40" s="8" t="s">
        <v>2430</v>
      </c>
      <c r="G40" s="8" t="s">
        <v>539</v>
      </c>
      <c r="H40" s="8" t="s">
        <v>38</v>
      </c>
      <c r="I40" s="8" t="s">
        <v>2458</v>
      </c>
      <c r="J40" s="8" t="s">
        <v>2464</v>
      </c>
      <c r="K40" s="8" t="s">
        <v>39</v>
      </c>
      <c r="L40" s="8" t="s">
        <v>40</v>
      </c>
      <c r="M40" s="8" t="s">
        <v>40</v>
      </c>
      <c r="N40" s="15"/>
      <c r="O40" s="15"/>
      <c r="P40" s="8" t="s">
        <v>2465</v>
      </c>
      <c r="Q40" s="8" t="s">
        <v>42</v>
      </c>
      <c r="R40" s="8">
        <v>3800.0</v>
      </c>
      <c r="S40" s="8">
        <v>0.0</v>
      </c>
      <c r="T40" s="8">
        <v>0.0</v>
      </c>
      <c r="U40" s="8">
        <v>16.0</v>
      </c>
      <c r="V40" s="8" t="s">
        <v>1975</v>
      </c>
      <c r="W40" s="8" t="s">
        <v>1976</v>
      </c>
      <c r="X40" s="8" t="s">
        <v>2466</v>
      </c>
      <c r="Y40" s="8" t="s">
        <v>89</v>
      </c>
      <c r="Z40" s="8" t="s">
        <v>132</v>
      </c>
      <c r="AA40" s="8" t="s">
        <v>61</v>
      </c>
      <c r="AB40" s="15"/>
      <c r="AC40" s="8">
        <v>6.0</v>
      </c>
      <c r="AD40" s="8">
        <v>0.5</v>
      </c>
      <c r="AE40" s="8">
        <v>0.0</v>
      </c>
      <c r="AF40" s="8">
        <v>3800.0</v>
      </c>
      <c r="AG40" s="32"/>
      <c r="AH40" s="15"/>
      <c r="AI40" s="15"/>
      <c r="AJ40" s="15"/>
      <c r="AK40" s="15"/>
      <c r="AL40" s="15"/>
      <c r="AM40" s="15"/>
    </row>
    <row r="41">
      <c r="A41" s="14">
        <v>44403.85178104167</v>
      </c>
      <c r="B41" s="8" t="s">
        <v>49</v>
      </c>
      <c r="C41" s="8">
        <v>25.0</v>
      </c>
      <c r="D41" s="8" t="s">
        <v>35</v>
      </c>
      <c r="E41" s="8" t="s">
        <v>36</v>
      </c>
      <c r="F41" s="8" t="s">
        <v>124</v>
      </c>
      <c r="G41" s="8" t="s">
        <v>539</v>
      </c>
      <c r="H41" s="8" t="s">
        <v>38</v>
      </c>
      <c r="I41" s="8" t="s">
        <v>2467</v>
      </c>
      <c r="J41" s="8" t="s">
        <v>915</v>
      </c>
      <c r="K41" s="8" t="s">
        <v>39</v>
      </c>
      <c r="L41" s="8" t="s">
        <v>40</v>
      </c>
      <c r="M41" s="8" t="s">
        <v>40</v>
      </c>
      <c r="N41" s="15"/>
      <c r="O41" s="15"/>
      <c r="P41" s="8" t="s">
        <v>146</v>
      </c>
      <c r="Q41" s="8" t="s">
        <v>42</v>
      </c>
      <c r="R41" s="8">
        <v>5700.0</v>
      </c>
      <c r="S41" s="8">
        <v>0.0</v>
      </c>
      <c r="T41" s="8">
        <v>0.0</v>
      </c>
      <c r="U41" s="8">
        <v>13.0</v>
      </c>
      <c r="V41" s="8" t="s">
        <v>1848</v>
      </c>
      <c r="W41" s="8" t="s">
        <v>1849</v>
      </c>
      <c r="X41" s="8" t="s">
        <v>122</v>
      </c>
      <c r="Y41" s="8" t="s">
        <v>59</v>
      </c>
      <c r="Z41" s="8" t="s">
        <v>132</v>
      </c>
      <c r="AA41" s="8" t="s">
        <v>91</v>
      </c>
      <c r="AB41" s="15"/>
      <c r="AC41" s="8">
        <v>5.0</v>
      </c>
      <c r="AD41" s="8">
        <v>2.8</v>
      </c>
      <c r="AE41" s="8">
        <v>1.0</v>
      </c>
      <c r="AF41" s="8">
        <v>3500.0</v>
      </c>
      <c r="AG41" s="32"/>
      <c r="AH41" s="15"/>
      <c r="AI41" s="15"/>
      <c r="AJ41" s="15"/>
      <c r="AK41" s="15"/>
      <c r="AL41" s="15"/>
      <c r="AM41" s="15"/>
    </row>
    <row r="42">
      <c r="A42" s="14">
        <v>44403.85200630787</v>
      </c>
      <c r="B42" s="8" t="s">
        <v>49</v>
      </c>
      <c r="C42" s="8">
        <v>26.0</v>
      </c>
      <c r="D42" s="8" t="s">
        <v>35</v>
      </c>
      <c r="E42" s="8" t="s">
        <v>36</v>
      </c>
      <c r="F42" s="8" t="s">
        <v>50</v>
      </c>
      <c r="G42" s="15"/>
      <c r="H42" s="8" t="s">
        <v>38</v>
      </c>
      <c r="I42" s="8" t="s">
        <v>2413</v>
      </c>
      <c r="J42" s="8" t="s">
        <v>161</v>
      </c>
      <c r="K42" s="8" t="s">
        <v>39</v>
      </c>
      <c r="L42" s="8" t="s">
        <v>40</v>
      </c>
      <c r="M42" s="8" t="s">
        <v>40</v>
      </c>
      <c r="N42" s="15"/>
      <c r="O42" s="15"/>
      <c r="P42" s="8" t="s">
        <v>128</v>
      </c>
      <c r="Q42" s="8" t="s">
        <v>42</v>
      </c>
      <c r="R42" s="8">
        <v>6500.0</v>
      </c>
      <c r="S42" s="8">
        <v>0.0</v>
      </c>
      <c r="T42" s="8">
        <v>0.0</v>
      </c>
      <c r="U42" s="8">
        <v>16.0</v>
      </c>
      <c r="V42" s="8" t="s">
        <v>1473</v>
      </c>
      <c r="W42" s="8" t="s">
        <v>1474</v>
      </c>
      <c r="X42" s="8" t="s">
        <v>122</v>
      </c>
      <c r="Y42" s="8" t="s">
        <v>1475</v>
      </c>
      <c r="Z42" s="8" t="s">
        <v>60</v>
      </c>
      <c r="AA42" s="8" t="s">
        <v>61</v>
      </c>
      <c r="AB42" s="15"/>
      <c r="AC42" s="8">
        <v>9.0</v>
      </c>
      <c r="AD42" s="8">
        <v>3.0</v>
      </c>
      <c r="AE42" s="8">
        <v>1.0</v>
      </c>
      <c r="AF42" s="8">
        <v>3000.0</v>
      </c>
      <c r="AG42" s="32"/>
      <c r="AH42" s="15"/>
      <c r="AI42" s="15"/>
      <c r="AJ42" s="15"/>
      <c r="AK42" s="15"/>
      <c r="AL42" s="15"/>
      <c r="AM42" s="15"/>
    </row>
    <row r="43">
      <c r="A43" s="14">
        <v>44403.85207469907</v>
      </c>
      <c r="B43" s="8" t="s">
        <v>49</v>
      </c>
      <c r="C43" s="8">
        <v>26.0</v>
      </c>
      <c r="D43" s="8" t="s">
        <v>35</v>
      </c>
      <c r="E43" s="8" t="s">
        <v>36</v>
      </c>
      <c r="F43" s="8" t="s">
        <v>50</v>
      </c>
      <c r="G43" s="8" t="s">
        <v>2468</v>
      </c>
      <c r="H43" s="8" t="s">
        <v>38</v>
      </c>
      <c r="I43" s="8" t="s">
        <v>2442</v>
      </c>
      <c r="J43" s="8" t="s">
        <v>2469</v>
      </c>
      <c r="K43" s="8" t="s">
        <v>39</v>
      </c>
      <c r="L43" s="8" t="s">
        <v>40</v>
      </c>
      <c r="M43" s="8" t="s">
        <v>40</v>
      </c>
      <c r="N43" s="15"/>
      <c r="O43" s="15"/>
      <c r="P43" s="8" t="s">
        <v>2470</v>
      </c>
      <c r="Q43" s="8" t="s">
        <v>42</v>
      </c>
      <c r="R43" s="8">
        <v>3500.0</v>
      </c>
      <c r="S43" s="8">
        <v>0.0</v>
      </c>
      <c r="T43" s="8">
        <v>0.0</v>
      </c>
      <c r="U43" s="8">
        <v>8.0</v>
      </c>
      <c r="V43" s="8" t="s">
        <v>1714</v>
      </c>
      <c r="W43" s="8" t="s">
        <v>1009</v>
      </c>
      <c r="X43" s="8" t="s">
        <v>58</v>
      </c>
      <c r="Y43" s="8" t="s">
        <v>1715</v>
      </c>
      <c r="Z43" s="8" t="s">
        <v>71</v>
      </c>
      <c r="AA43" s="8" t="s">
        <v>48</v>
      </c>
      <c r="AB43" s="15"/>
      <c r="AC43" s="8">
        <v>7.0</v>
      </c>
      <c r="AD43" s="8" t="s">
        <v>1716</v>
      </c>
      <c r="AE43" s="8">
        <v>1.0</v>
      </c>
      <c r="AF43" s="8">
        <v>3300.0</v>
      </c>
      <c r="AG43" s="32"/>
      <c r="AH43" s="15"/>
      <c r="AI43" s="15"/>
      <c r="AJ43" s="15"/>
      <c r="AK43" s="15"/>
      <c r="AL43" s="15"/>
      <c r="AM43" s="15"/>
    </row>
    <row r="44">
      <c r="A44" s="14">
        <v>44403.85218109954</v>
      </c>
      <c r="B44" s="8" t="s">
        <v>49</v>
      </c>
      <c r="C44" s="8">
        <v>29.0</v>
      </c>
      <c r="D44" s="8" t="s">
        <v>35</v>
      </c>
      <c r="E44" s="8" t="s">
        <v>36</v>
      </c>
      <c r="F44" s="8" t="s">
        <v>50</v>
      </c>
      <c r="G44" s="8" t="s">
        <v>106</v>
      </c>
      <c r="H44" s="8" t="s">
        <v>38</v>
      </c>
      <c r="I44" s="8" t="s">
        <v>2471</v>
      </c>
      <c r="J44" s="8" t="s">
        <v>2472</v>
      </c>
      <c r="K44" s="8" t="s">
        <v>39</v>
      </c>
      <c r="L44" s="8" t="s">
        <v>40</v>
      </c>
      <c r="M44" s="8" t="s">
        <v>40</v>
      </c>
      <c r="N44" s="15"/>
      <c r="O44" s="15"/>
      <c r="P44" s="8" t="s">
        <v>2473</v>
      </c>
      <c r="Q44" s="8" t="s">
        <v>42</v>
      </c>
      <c r="R44" s="8">
        <v>5000.0</v>
      </c>
      <c r="S44" s="8">
        <v>0.0</v>
      </c>
      <c r="T44" s="8">
        <v>0.0</v>
      </c>
      <c r="U44" s="8">
        <v>20.0</v>
      </c>
      <c r="V44" s="8" t="s">
        <v>940</v>
      </c>
      <c r="W44" s="8" t="s">
        <v>941</v>
      </c>
      <c r="X44" s="8" t="s">
        <v>82</v>
      </c>
      <c r="Y44" s="8" t="s">
        <v>350</v>
      </c>
      <c r="Z44" s="8" t="s">
        <v>81</v>
      </c>
      <c r="AA44" s="8" t="s">
        <v>61</v>
      </c>
      <c r="AB44" s="15"/>
      <c r="AC44" s="8">
        <v>7.0</v>
      </c>
      <c r="AD44" s="8">
        <v>4.0</v>
      </c>
      <c r="AE44" s="8">
        <v>1.0</v>
      </c>
      <c r="AF44" s="8">
        <v>2500.0</v>
      </c>
      <c r="AG44" s="32"/>
      <c r="AH44" s="15"/>
      <c r="AI44" s="15"/>
      <c r="AJ44" s="15"/>
      <c r="AK44" s="15"/>
      <c r="AL44" s="15"/>
      <c r="AM44" s="15"/>
    </row>
    <row r="45">
      <c r="A45" s="14">
        <v>44403.852210983794</v>
      </c>
      <c r="B45" s="8" t="s">
        <v>49</v>
      </c>
      <c r="C45" s="8">
        <v>33.0</v>
      </c>
      <c r="D45" s="8" t="s">
        <v>35</v>
      </c>
      <c r="E45" s="8" t="s">
        <v>36</v>
      </c>
      <c r="F45" s="8" t="s">
        <v>124</v>
      </c>
      <c r="G45" s="8" t="s">
        <v>124</v>
      </c>
      <c r="H45" s="8" t="s">
        <v>38</v>
      </c>
      <c r="I45" s="8" t="s">
        <v>2474</v>
      </c>
      <c r="J45" s="8" t="s">
        <v>2444</v>
      </c>
      <c r="K45" s="8" t="s">
        <v>39</v>
      </c>
      <c r="L45" s="8" t="s">
        <v>40</v>
      </c>
      <c r="M45" s="8" t="s">
        <v>40</v>
      </c>
      <c r="N45" s="15"/>
      <c r="O45" s="15"/>
      <c r="P45" s="8" t="s">
        <v>2475</v>
      </c>
      <c r="Q45" s="8" t="s">
        <v>42</v>
      </c>
      <c r="R45" s="8">
        <v>5000.0</v>
      </c>
      <c r="S45" s="8">
        <v>0.0</v>
      </c>
      <c r="T45" s="15"/>
      <c r="U45" s="8">
        <v>12.0</v>
      </c>
      <c r="V45" s="8" t="s">
        <v>67</v>
      </c>
      <c r="W45" s="8" t="s">
        <v>867</v>
      </c>
      <c r="X45" s="8" t="s">
        <v>124</v>
      </c>
      <c r="Y45" s="8" t="s">
        <v>868</v>
      </c>
      <c r="Z45" s="8" t="s">
        <v>71</v>
      </c>
      <c r="AA45" s="8" t="s">
        <v>61</v>
      </c>
      <c r="AB45" s="8" t="s">
        <v>869</v>
      </c>
      <c r="AC45" s="8">
        <v>10.0</v>
      </c>
      <c r="AD45" s="8">
        <v>4.0</v>
      </c>
      <c r="AE45" s="8">
        <v>1.0</v>
      </c>
      <c r="AF45" s="8">
        <v>2500.0</v>
      </c>
      <c r="AG45" s="32"/>
      <c r="AH45" s="15"/>
      <c r="AI45" s="15"/>
      <c r="AJ45" s="15"/>
      <c r="AK45" s="15"/>
      <c r="AL45" s="15"/>
      <c r="AM45" s="15"/>
    </row>
    <row r="46">
      <c r="A46" s="14">
        <v>44403.85240283565</v>
      </c>
      <c r="B46" s="8" t="s">
        <v>49</v>
      </c>
      <c r="C46" s="8">
        <v>24.0</v>
      </c>
      <c r="D46" s="8" t="s">
        <v>1043</v>
      </c>
      <c r="E46" s="8" t="s">
        <v>1456</v>
      </c>
      <c r="F46" s="15"/>
      <c r="G46" s="15"/>
      <c r="H46" s="8" t="s">
        <v>38</v>
      </c>
      <c r="I46" s="8" t="s">
        <v>2368</v>
      </c>
      <c r="J46" s="8" t="s">
        <v>2476</v>
      </c>
      <c r="K46" s="8" t="s">
        <v>39</v>
      </c>
      <c r="L46" s="8" t="s">
        <v>39</v>
      </c>
      <c r="M46" s="8" t="s">
        <v>40</v>
      </c>
      <c r="N46" s="8" t="s">
        <v>1458</v>
      </c>
      <c r="O46" s="15"/>
      <c r="P46" s="8" t="s">
        <v>2477</v>
      </c>
      <c r="Q46" s="8" t="s">
        <v>42</v>
      </c>
      <c r="R46" s="8">
        <v>6000.0</v>
      </c>
      <c r="S46" s="8">
        <v>0.0</v>
      </c>
      <c r="T46" s="8">
        <v>0.0</v>
      </c>
      <c r="U46" s="8">
        <v>15.0</v>
      </c>
      <c r="V46" s="8" t="s">
        <v>1459</v>
      </c>
      <c r="W46" s="8" t="s">
        <v>1041</v>
      </c>
      <c r="X46" s="8" t="s">
        <v>1460</v>
      </c>
      <c r="Y46" s="8" t="s">
        <v>228</v>
      </c>
      <c r="Z46" s="8" t="s">
        <v>71</v>
      </c>
      <c r="AA46" s="8" t="s">
        <v>61</v>
      </c>
      <c r="AB46" s="15"/>
      <c r="AC46" s="8">
        <v>8.0</v>
      </c>
      <c r="AD46" s="8">
        <v>4.0</v>
      </c>
      <c r="AE46" s="8">
        <v>5.0</v>
      </c>
      <c r="AF46" s="8">
        <v>3000.0</v>
      </c>
      <c r="AG46" s="32"/>
      <c r="AH46" s="15"/>
      <c r="AI46" s="15"/>
      <c r="AJ46" s="15"/>
      <c r="AK46" s="15"/>
      <c r="AL46" s="15"/>
      <c r="AM46" s="15"/>
    </row>
    <row r="47">
      <c r="A47" s="14">
        <v>44403.852788993056</v>
      </c>
      <c r="B47" s="8" t="s">
        <v>49</v>
      </c>
      <c r="C47" s="8">
        <v>27.0</v>
      </c>
      <c r="D47" s="8" t="s">
        <v>35</v>
      </c>
      <c r="E47" s="8" t="s">
        <v>36</v>
      </c>
      <c r="F47" s="8" t="s">
        <v>50</v>
      </c>
      <c r="G47" s="8" t="s">
        <v>106</v>
      </c>
      <c r="H47" s="8" t="s">
        <v>38</v>
      </c>
      <c r="I47" s="8" t="s">
        <v>2368</v>
      </c>
      <c r="J47" s="8" t="s">
        <v>2478</v>
      </c>
      <c r="K47" s="8" t="s">
        <v>39</v>
      </c>
      <c r="L47" s="8" t="s">
        <v>40</v>
      </c>
      <c r="M47" s="8" t="s">
        <v>40</v>
      </c>
      <c r="N47" s="15"/>
      <c r="O47" s="15"/>
      <c r="P47" s="8" t="s">
        <v>2479</v>
      </c>
      <c r="Q47" s="8" t="s">
        <v>42</v>
      </c>
      <c r="R47" s="8">
        <v>7000.0</v>
      </c>
      <c r="S47" s="8">
        <v>0.0</v>
      </c>
      <c r="T47" s="8">
        <v>0.0</v>
      </c>
      <c r="U47" s="8">
        <v>20.0</v>
      </c>
      <c r="V47" s="8" t="s">
        <v>942</v>
      </c>
      <c r="W47" s="8" t="s">
        <v>943</v>
      </c>
      <c r="X47" s="8" t="s">
        <v>58</v>
      </c>
      <c r="Y47" s="8" t="s">
        <v>70</v>
      </c>
      <c r="Z47" s="8" t="s">
        <v>47</v>
      </c>
      <c r="AA47" s="8" t="s">
        <v>61</v>
      </c>
      <c r="AB47" s="15"/>
      <c r="AC47" s="8">
        <v>8.0</v>
      </c>
      <c r="AD47" s="8">
        <v>5.0</v>
      </c>
      <c r="AE47" s="8">
        <v>4.0</v>
      </c>
      <c r="AF47" s="8">
        <v>2500.0</v>
      </c>
      <c r="AG47" s="32"/>
      <c r="AH47" s="15"/>
      <c r="AI47" s="15"/>
      <c r="AJ47" s="15"/>
      <c r="AK47" s="15"/>
      <c r="AL47" s="15"/>
      <c r="AM47" s="15"/>
    </row>
    <row r="48">
      <c r="A48" s="14">
        <v>44403.85285974537</v>
      </c>
      <c r="B48" s="8" t="s">
        <v>49</v>
      </c>
      <c r="C48" s="8">
        <v>28.0</v>
      </c>
      <c r="D48" s="8" t="s">
        <v>72</v>
      </c>
      <c r="E48" s="8" t="s">
        <v>36</v>
      </c>
      <c r="F48" s="8" t="s">
        <v>349</v>
      </c>
      <c r="G48" s="8" t="s">
        <v>349</v>
      </c>
      <c r="H48" s="8" t="s">
        <v>247</v>
      </c>
      <c r="I48" s="8" t="s">
        <v>2413</v>
      </c>
      <c r="J48" s="8" t="s">
        <v>2480</v>
      </c>
      <c r="K48" s="8" t="s">
        <v>39</v>
      </c>
      <c r="L48" s="8" t="s">
        <v>40</v>
      </c>
      <c r="M48" s="8" t="s">
        <v>40</v>
      </c>
      <c r="N48" s="15"/>
      <c r="O48" s="15"/>
      <c r="P48" s="8" t="s">
        <v>119</v>
      </c>
      <c r="Q48" s="8" t="s">
        <v>42</v>
      </c>
      <c r="R48" s="8">
        <v>8500.0</v>
      </c>
      <c r="S48" s="8">
        <v>0.0</v>
      </c>
      <c r="T48" s="8">
        <v>0.0</v>
      </c>
      <c r="U48" s="8">
        <v>15.0</v>
      </c>
      <c r="V48" s="8" t="s">
        <v>1220</v>
      </c>
      <c r="W48" s="8" t="s">
        <v>1221</v>
      </c>
      <c r="X48" s="8" t="s">
        <v>1222</v>
      </c>
      <c r="Y48" s="8" t="s">
        <v>1223</v>
      </c>
      <c r="Z48" s="8" t="s">
        <v>71</v>
      </c>
      <c r="AA48" s="8" t="s">
        <v>61</v>
      </c>
      <c r="AB48" s="15"/>
      <c r="AC48" s="8">
        <v>7.0</v>
      </c>
      <c r="AD48" s="8">
        <v>6.0</v>
      </c>
      <c r="AE48" s="8">
        <v>2.0</v>
      </c>
      <c r="AF48" s="8">
        <v>2900.0</v>
      </c>
      <c r="AG48" s="32"/>
      <c r="AH48" s="15"/>
      <c r="AI48" s="15"/>
      <c r="AJ48" s="15"/>
      <c r="AK48" s="15"/>
      <c r="AL48" s="15"/>
      <c r="AM48" s="15"/>
    </row>
    <row r="49">
      <c r="A49" s="14">
        <v>44403.85305821759</v>
      </c>
      <c r="B49" s="8" t="s">
        <v>49</v>
      </c>
      <c r="C49" s="8">
        <v>31.0</v>
      </c>
      <c r="D49" s="8" t="s">
        <v>35</v>
      </c>
      <c r="E49" s="8" t="s">
        <v>36</v>
      </c>
      <c r="F49" s="8" t="s">
        <v>349</v>
      </c>
      <c r="G49" s="8" t="s">
        <v>349</v>
      </c>
      <c r="H49" s="8" t="s">
        <v>247</v>
      </c>
      <c r="I49" s="8" t="s">
        <v>2368</v>
      </c>
      <c r="J49" s="8" t="s">
        <v>2481</v>
      </c>
      <c r="K49" s="8" t="s">
        <v>39</v>
      </c>
      <c r="L49" s="8" t="s">
        <v>40</v>
      </c>
      <c r="M49" s="8" t="s">
        <v>40</v>
      </c>
      <c r="N49" s="15"/>
      <c r="O49" s="15"/>
      <c r="P49" s="8" t="s">
        <v>2482</v>
      </c>
      <c r="Q49" s="8" t="s">
        <v>42</v>
      </c>
      <c r="R49" s="8">
        <v>7200.0</v>
      </c>
      <c r="S49" s="8">
        <v>0.0</v>
      </c>
      <c r="T49" s="8">
        <v>0.0</v>
      </c>
      <c r="U49" s="8">
        <v>26.0</v>
      </c>
      <c r="V49" s="8" t="s">
        <v>1652</v>
      </c>
      <c r="W49" s="8" t="s">
        <v>1653</v>
      </c>
      <c r="X49" s="8" t="s">
        <v>300</v>
      </c>
      <c r="Y49" s="8" t="s">
        <v>59</v>
      </c>
      <c r="Z49" s="8" t="s">
        <v>71</v>
      </c>
      <c r="AA49" s="8" t="s">
        <v>61</v>
      </c>
      <c r="AB49" s="15"/>
      <c r="AC49" s="8">
        <v>6.0</v>
      </c>
      <c r="AD49" s="8">
        <v>8.0</v>
      </c>
      <c r="AE49" s="8">
        <v>0.0</v>
      </c>
      <c r="AF49" s="8">
        <v>3200.0</v>
      </c>
      <c r="AG49" s="32"/>
      <c r="AH49" s="15"/>
      <c r="AI49" s="15"/>
      <c r="AJ49" s="15"/>
      <c r="AK49" s="15"/>
      <c r="AL49" s="15"/>
      <c r="AM49" s="15"/>
    </row>
    <row r="50">
      <c r="A50" s="14">
        <v>44403.853654907405</v>
      </c>
      <c r="B50" s="8" t="s">
        <v>49</v>
      </c>
      <c r="C50" s="8">
        <v>30.0</v>
      </c>
      <c r="D50" s="8" t="s">
        <v>35</v>
      </c>
      <c r="E50" s="8" t="s">
        <v>36</v>
      </c>
      <c r="F50" s="8" t="s">
        <v>50</v>
      </c>
      <c r="G50" s="8" t="s">
        <v>2483</v>
      </c>
      <c r="H50" s="8" t="s">
        <v>247</v>
      </c>
      <c r="I50" s="8" t="s">
        <v>2484</v>
      </c>
      <c r="J50" s="8" t="s">
        <v>2443</v>
      </c>
      <c r="K50" s="8" t="s">
        <v>39</v>
      </c>
      <c r="L50" s="8" t="s">
        <v>40</v>
      </c>
      <c r="M50" s="8" t="s">
        <v>40</v>
      </c>
      <c r="N50" s="15"/>
      <c r="O50" s="15"/>
      <c r="P50" s="8" t="s">
        <v>2485</v>
      </c>
      <c r="Q50" s="8" t="s">
        <v>42</v>
      </c>
      <c r="R50" s="8">
        <v>6800.0</v>
      </c>
      <c r="S50" s="8">
        <v>6800.0</v>
      </c>
      <c r="T50" s="15"/>
      <c r="U50" s="8">
        <v>15.0</v>
      </c>
      <c r="V50" s="8" t="s">
        <v>320</v>
      </c>
      <c r="W50" s="8" t="s">
        <v>384</v>
      </c>
      <c r="X50" s="8" t="s">
        <v>1049</v>
      </c>
      <c r="Y50" s="8" t="s">
        <v>80</v>
      </c>
      <c r="Z50" s="8" t="s">
        <v>71</v>
      </c>
      <c r="AA50" s="8" t="s">
        <v>61</v>
      </c>
      <c r="AB50" s="15"/>
      <c r="AC50" s="8">
        <v>8.0</v>
      </c>
      <c r="AD50" s="8">
        <v>6.0</v>
      </c>
      <c r="AE50" s="8">
        <v>2.0</v>
      </c>
      <c r="AF50" s="8">
        <v>2700.0</v>
      </c>
      <c r="AG50" s="32"/>
      <c r="AH50" s="15"/>
      <c r="AI50" s="15"/>
      <c r="AJ50" s="15"/>
      <c r="AK50" s="15"/>
      <c r="AL50" s="15"/>
      <c r="AM50" s="15"/>
    </row>
    <row r="51">
      <c r="A51" s="14">
        <v>44403.85366231481</v>
      </c>
      <c r="B51" s="8" t="s">
        <v>49</v>
      </c>
      <c r="C51" s="8">
        <v>24.0</v>
      </c>
      <c r="D51" s="8" t="s">
        <v>35</v>
      </c>
      <c r="E51" s="8" t="s">
        <v>36</v>
      </c>
      <c r="F51" s="8" t="s">
        <v>186</v>
      </c>
      <c r="G51" s="8" t="s">
        <v>186</v>
      </c>
      <c r="H51" s="8" t="s">
        <v>38</v>
      </c>
      <c r="I51" s="8" t="s">
        <v>75</v>
      </c>
      <c r="J51" s="8" t="s">
        <v>2376</v>
      </c>
      <c r="K51" s="8" t="s">
        <v>39</v>
      </c>
      <c r="L51" s="8" t="s">
        <v>40</v>
      </c>
      <c r="M51" s="8" t="s">
        <v>40</v>
      </c>
      <c r="N51" s="15"/>
      <c r="O51" s="15"/>
      <c r="P51" s="8" t="s">
        <v>2486</v>
      </c>
      <c r="Q51" s="8" t="s">
        <v>42</v>
      </c>
      <c r="R51" s="8">
        <v>4500.0</v>
      </c>
      <c r="S51" s="8">
        <v>0.0</v>
      </c>
      <c r="T51" s="8">
        <v>0.0</v>
      </c>
      <c r="U51" s="8">
        <v>15.0</v>
      </c>
      <c r="V51" s="8" t="s">
        <v>323</v>
      </c>
      <c r="W51" s="8" t="s">
        <v>2487</v>
      </c>
      <c r="X51" s="8" t="s">
        <v>2128</v>
      </c>
      <c r="Y51" s="8" t="s">
        <v>2488</v>
      </c>
      <c r="Z51" s="8" t="s">
        <v>81</v>
      </c>
      <c r="AA51" s="8" t="s">
        <v>61</v>
      </c>
      <c r="AB51" s="15"/>
      <c r="AC51" s="8">
        <v>7.0</v>
      </c>
      <c r="AD51" s="8">
        <v>0.0</v>
      </c>
      <c r="AE51" s="8">
        <v>0.0</v>
      </c>
      <c r="AF51" s="8">
        <v>4500.0</v>
      </c>
      <c r="AG51" s="32"/>
      <c r="AH51" s="15"/>
      <c r="AI51" s="15"/>
      <c r="AJ51" s="15"/>
      <c r="AK51" s="15"/>
      <c r="AL51" s="15"/>
      <c r="AM51" s="15"/>
    </row>
    <row r="52">
      <c r="A52" s="14">
        <v>44403.85368151621</v>
      </c>
      <c r="B52" s="8" t="s">
        <v>49</v>
      </c>
      <c r="C52" s="8">
        <v>26.0</v>
      </c>
      <c r="D52" s="8" t="s">
        <v>35</v>
      </c>
      <c r="E52" s="8" t="s">
        <v>36</v>
      </c>
      <c r="F52" s="8" t="s">
        <v>50</v>
      </c>
      <c r="G52" s="8" t="s">
        <v>206</v>
      </c>
      <c r="H52" s="8" t="s">
        <v>38</v>
      </c>
      <c r="I52" s="8" t="s">
        <v>2489</v>
      </c>
      <c r="J52" s="8" t="s">
        <v>2490</v>
      </c>
      <c r="K52" s="8" t="s">
        <v>40</v>
      </c>
      <c r="L52" s="8" t="s">
        <v>39</v>
      </c>
      <c r="M52" s="8" t="s">
        <v>39</v>
      </c>
      <c r="N52" s="8" t="s">
        <v>847</v>
      </c>
      <c r="O52" s="8" t="s">
        <v>2491</v>
      </c>
      <c r="P52" s="8" t="s">
        <v>2492</v>
      </c>
      <c r="Q52" s="8" t="s">
        <v>42</v>
      </c>
      <c r="R52" s="8">
        <v>3500.0</v>
      </c>
      <c r="S52" s="8">
        <v>0.0</v>
      </c>
      <c r="T52" s="8">
        <v>0.0</v>
      </c>
      <c r="U52" s="8">
        <v>12.0</v>
      </c>
      <c r="V52" s="8" t="s">
        <v>848</v>
      </c>
      <c r="W52" s="8" t="s">
        <v>849</v>
      </c>
      <c r="X52" s="8" t="s">
        <v>58</v>
      </c>
      <c r="Y52" s="8" t="s">
        <v>547</v>
      </c>
      <c r="Z52" s="8" t="s">
        <v>71</v>
      </c>
      <c r="AA52" s="8" t="s">
        <v>61</v>
      </c>
      <c r="AB52" s="8" t="s">
        <v>850</v>
      </c>
      <c r="AC52" s="8">
        <v>8.0</v>
      </c>
      <c r="AD52" s="8">
        <v>3.0</v>
      </c>
      <c r="AE52" s="8">
        <v>2.0</v>
      </c>
      <c r="AF52" s="8">
        <v>2500.0</v>
      </c>
      <c r="AG52" s="32"/>
      <c r="AH52" s="15"/>
      <c r="AI52" s="15"/>
      <c r="AJ52" s="15"/>
      <c r="AK52" s="15"/>
      <c r="AL52" s="15"/>
      <c r="AM52" s="15"/>
    </row>
    <row r="53">
      <c r="A53" s="14">
        <v>44403.85472376157</v>
      </c>
      <c r="B53" s="8" t="s">
        <v>49</v>
      </c>
      <c r="C53" s="8">
        <v>29.0</v>
      </c>
      <c r="D53" s="8" t="s">
        <v>35</v>
      </c>
      <c r="E53" s="8" t="s">
        <v>2356</v>
      </c>
      <c r="F53" s="8" t="s">
        <v>2357</v>
      </c>
      <c r="G53" s="15"/>
      <c r="H53" s="8" t="s">
        <v>247</v>
      </c>
      <c r="I53" s="8" t="s">
        <v>2493</v>
      </c>
      <c r="J53" s="15"/>
      <c r="K53" s="8" t="s">
        <v>890</v>
      </c>
      <c r="L53" s="8" t="s">
        <v>40</v>
      </c>
      <c r="M53" s="8" t="s">
        <v>40</v>
      </c>
      <c r="N53" s="15"/>
      <c r="O53" s="15"/>
      <c r="P53" s="8" t="s">
        <v>2494</v>
      </c>
      <c r="Q53" s="8" t="s">
        <v>2358</v>
      </c>
      <c r="R53" s="8">
        <v>370000.0</v>
      </c>
      <c r="S53" s="8">
        <v>0.0</v>
      </c>
      <c r="T53" s="8">
        <v>0.0</v>
      </c>
      <c r="U53" s="8">
        <v>10.0</v>
      </c>
      <c r="V53" s="8" t="s">
        <v>2359</v>
      </c>
      <c r="W53" s="8" t="s">
        <v>2360</v>
      </c>
      <c r="X53" s="8" t="s">
        <v>2156</v>
      </c>
      <c r="Y53" s="8" t="s">
        <v>1343</v>
      </c>
      <c r="Z53" s="8" t="s">
        <v>60</v>
      </c>
      <c r="AA53" s="8" t="s">
        <v>61</v>
      </c>
      <c r="AB53" s="15"/>
      <c r="AC53" s="8">
        <v>6.0</v>
      </c>
      <c r="AD53" s="8">
        <v>3.0</v>
      </c>
      <c r="AE53" s="8">
        <v>1.0</v>
      </c>
      <c r="AF53" s="8">
        <v>230000.0</v>
      </c>
      <c r="AG53" s="32"/>
      <c r="AH53" s="15"/>
      <c r="AI53" s="15"/>
      <c r="AJ53" s="15"/>
      <c r="AK53" s="15"/>
      <c r="AL53" s="15"/>
      <c r="AM53" s="15"/>
    </row>
    <row r="54">
      <c r="A54" s="14">
        <v>44403.85506768519</v>
      </c>
      <c r="B54" s="8" t="s">
        <v>49</v>
      </c>
      <c r="C54" s="8">
        <v>26.0</v>
      </c>
      <c r="D54" s="8" t="s">
        <v>35</v>
      </c>
      <c r="E54" s="8" t="s">
        <v>36</v>
      </c>
      <c r="F54" s="8" t="s">
        <v>50</v>
      </c>
      <c r="G54" s="8" t="s">
        <v>1454</v>
      </c>
      <c r="H54" s="8" t="s">
        <v>38</v>
      </c>
      <c r="I54" s="8" t="s">
        <v>2495</v>
      </c>
      <c r="J54" s="8" t="s">
        <v>2496</v>
      </c>
      <c r="K54" s="8" t="s">
        <v>39</v>
      </c>
      <c r="L54" s="8" t="s">
        <v>40</v>
      </c>
      <c r="M54" s="8" t="s">
        <v>40</v>
      </c>
      <c r="N54" s="15"/>
      <c r="O54" s="15"/>
      <c r="P54" s="8" t="s">
        <v>152</v>
      </c>
      <c r="Q54" s="8" t="s">
        <v>42</v>
      </c>
      <c r="R54" s="8">
        <v>4800.0</v>
      </c>
      <c r="S54" s="8">
        <v>0.0</v>
      </c>
      <c r="T54" s="8">
        <v>0.0</v>
      </c>
      <c r="U54" s="8">
        <v>15.0</v>
      </c>
      <c r="V54" s="8" t="s">
        <v>1455</v>
      </c>
      <c r="W54" s="8" t="s">
        <v>224</v>
      </c>
      <c r="X54" s="8" t="s">
        <v>58</v>
      </c>
      <c r="Y54" s="8" t="s">
        <v>59</v>
      </c>
      <c r="Z54" s="8" t="s">
        <v>132</v>
      </c>
      <c r="AA54" s="8" t="s">
        <v>91</v>
      </c>
      <c r="AB54" s="15"/>
      <c r="AC54" s="8">
        <v>6.0</v>
      </c>
      <c r="AD54" s="8">
        <v>2.0</v>
      </c>
      <c r="AE54" s="8">
        <v>1.0</v>
      </c>
      <c r="AF54" s="8">
        <v>3000.0</v>
      </c>
      <c r="AG54" s="32"/>
      <c r="AH54" s="15"/>
      <c r="AI54" s="15"/>
      <c r="AJ54" s="15"/>
      <c r="AK54" s="15"/>
      <c r="AL54" s="15"/>
      <c r="AM54" s="15"/>
    </row>
    <row r="55">
      <c r="A55" s="14">
        <v>44403.85534127315</v>
      </c>
      <c r="B55" s="8" t="s">
        <v>49</v>
      </c>
      <c r="C55" s="8">
        <v>26.0</v>
      </c>
      <c r="D55" s="8" t="s">
        <v>35</v>
      </c>
      <c r="E55" s="8" t="s">
        <v>36</v>
      </c>
      <c r="F55" s="8" t="s">
        <v>50</v>
      </c>
      <c r="G55" s="8" t="s">
        <v>206</v>
      </c>
      <c r="H55" s="8" t="s">
        <v>38</v>
      </c>
      <c r="I55" s="8" t="s">
        <v>2368</v>
      </c>
      <c r="J55" s="8" t="s">
        <v>2421</v>
      </c>
      <c r="K55" s="8" t="s">
        <v>39</v>
      </c>
      <c r="L55" s="8" t="s">
        <v>40</v>
      </c>
      <c r="M55" s="8" t="s">
        <v>40</v>
      </c>
      <c r="N55" s="15"/>
      <c r="O55" s="15"/>
      <c r="P55" s="8" t="s">
        <v>2497</v>
      </c>
      <c r="Q55" s="8" t="s">
        <v>42</v>
      </c>
      <c r="R55" s="8">
        <v>5200.0</v>
      </c>
      <c r="S55" s="8">
        <v>0.0</v>
      </c>
      <c r="T55" s="8">
        <v>0.0</v>
      </c>
      <c r="U55" s="8">
        <v>0.0</v>
      </c>
      <c r="V55" s="8" t="s">
        <v>1396</v>
      </c>
      <c r="W55" s="8" t="s">
        <v>549</v>
      </c>
      <c r="X55" s="8" t="s">
        <v>122</v>
      </c>
      <c r="Y55" s="8" t="s">
        <v>59</v>
      </c>
      <c r="Z55" s="8" t="s">
        <v>60</v>
      </c>
      <c r="AA55" s="8" t="s">
        <v>61</v>
      </c>
      <c r="AB55" s="8" t="s">
        <v>1397</v>
      </c>
      <c r="AC55" s="8">
        <v>9.0</v>
      </c>
      <c r="AD55" s="8">
        <v>2.0</v>
      </c>
      <c r="AE55" s="8">
        <v>2.0</v>
      </c>
      <c r="AF55" s="8">
        <v>3000.0</v>
      </c>
      <c r="AG55" s="32"/>
      <c r="AH55" s="15"/>
      <c r="AI55" s="15"/>
      <c r="AJ55" s="15"/>
      <c r="AK55" s="15"/>
      <c r="AL55" s="15"/>
      <c r="AM55" s="15"/>
    </row>
    <row r="56">
      <c r="A56" s="14">
        <v>44403.855719513886</v>
      </c>
      <c r="B56" s="8" t="s">
        <v>49</v>
      </c>
      <c r="C56" s="8">
        <v>25.0</v>
      </c>
      <c r="D56" s="8" t="s">
        <v>35</v>
      </c>
      <c r="E56" s="8" t="s">
        <v>246</v>
      </c>
      <c r="F56" s="8" t="s">
        <v>246</v>
      </c>
      <c r="G56" s="8" t="s">
        <v>246</v>
      </c>
      <c r="H56" s="8" t="s">
        <v>38</v>
      </c>
      <c r="I56" s="8" t="s">
        <v>2062</v>
      </c>
      <c r="J56" s="8" t="s">
        <v>2498</v>
      </c>
      <c r="K56" s="8" t="s">
        <v>39</v>
      </c>
      <c r="L56" s="8" t="s">
        <v>40</v>
      </c>
      <c r="M56" s="8" t="s">
        <v>39</v>
      </c>
      <c r="N56" s="15"/>
      <c r="O56" s="15"/>
      <c r="P56" s="8" t="s">
        <v>128</v>
      </c>
      <c r="Q56" s="8" t="s">
        <v>250</v>
      </c>
      <c r="R56" s="8">
        <v>6800.0</v>
      </c>
      <c r="S56" s="8">
        <v>12240.0</v>
      </c>
      <c r="T56" s="8">
        <v>37570.0</v>
      </c>
      <c r="U56" s="8">
        <v>18.0</v>
      </c>
      <c r="V56" s="8" t="s">
        <v>2063</v>
      </c>
      <c r="W56" s="8" t="s">
        <v>2064</v>
      </c>
      <c r="X56" s="8" t="s">
        <v>246</v>
      </c>
      <c r="Y56" s="8" t="s">
        <v>1013</v>
      </c>
      <c r="Z56" s="8" t="s">
        <v>81</v>
      </c>
      <c r="AA56" s="8" t="s">
        <v>61</v>
      </c>
      <c r="AB56" s="15"/>
      <c r="AC56" s="8">
        <v>5.0</v>
      </c>
      <c r="AD56" s="8">
        <v>3.0</v>
      </c>
      <c r="AE56" s="8">
        <v>2.0</v>
      </c>
      <c r="AF56" s="8">
        <v>4000.0</v>
      </c>
      <c r="AG56" s="32"/>
      <c r="AH56" s="15"/>
      <c r="AI56" s="15"/>
      <c r="AJ56" s="15"/>
      <c r="AK56" s="15"/>
      <c r="AL56" s="15"/>
      <c r="AM56" s="15"/>
    </row>
    <row r="57">
      <c r="A57" s="14">
        <v>44403.85684554398</v>
      </c>
      <c r="B57" s="8" t="s">
        <v>49</v>
      </c>
      <c r="C57" s="8">
        <v>26.0</v>
      </c>
      <c r="D57" s="8" t="s">
        <v>35</v>
      </c>
      <c r="E57" s="8" t="s">
        <v>36</v>
      </c>
      <c r="F57" s="8" t="s">
        <v>50</v>
      </c>
      <c r="G57" s="8" t="s">
        <v>2439</v>
      </c>
      <c r="H57" s="8" t="s">
        <v>38</v>
      </c>
      <c r="I57" s="8" t="s">
        <v>2499</v>
      </c>
      <c r="J57" s="8" t="s">
        <v>2490</v>
      </c>
      <c r="K57" s="8" t="s">
        <v>39</v>
      </c>
      <c r="L57" s="8" t="s">
        <v>40</v>
      </c>
      <c r="M57" s="8" t="s">
        <v>40</v>
      </c>
      <c r="N57" s="15"/>
      <c r="O57" s="15"/>
      <c r="P57" s="8" t="s">
        <v>2500</v>
      </c>
      <c r="Q57" s="8" t="s">
        <v>42</v>
      </c>
      <c r="R57" s="8">
        <v>4000.0</v>
      </c>
      <c r="S57" s="8">
        <v>4000.0</v>
      </c>
      <c r="T57" s="8">
        <v>0.0</v>
      </c>
      <c r="U57" s="8">
        <v>15.0</v>
      </c>
      <c r="V57" s="8" t="s">
        <v>1472</v>
      </c>
      <c r="W57" s="24" t="s">
        <v>1350</v>
      </c>
      <c r="X57" s="8" t="s">
        <v>2452</v>
      </c>
      <c r="Y57" s="8" t="s">
        <v>423</v>
      </c>
      <c r="Z57" s="8" t="s">
        <v>60</v>
      </c>
      <c r="AA57" s="8" t="s">
        <v>61</v>
      </c>
      <c r="AB57" s="15"/>
      <c r="AC57" s="8">
        <v>4.0</v>
      </c>
      <c r="AD57" s="8">
        <v>4.0</v>
      </c>
      <c r="AE57" s="8">
        <v>1.0</v>
      </c>
      <c r="AF57" s="8">
        <v>3000.0</v>
      </c>
      <c r="AG57" s="32"/>
      <c r="AH57" s="15"/>
      <c r="AI57" s="15"/>
      <c r="AJ57" s="15"/>
      <c r="AK57" s="15"/>
      <c r="AL57" s="15"/>
      <c r="AM57" s="15"/>
    </row>
    <row r="58">
      <c r="A58" s="14">
        <v>44403.85713834491</v>
      </c>
      <c r="B58" s="8" t="s">
        <v>49</v>
      </c>
      <c r="C58" s="8">
        <v>28.0</v>
      </c>
      <c r="D58" s="8" t="s">
        <v>35</v>
      </c>
      <c r="E58" s="8" t="s">
        <v>36</v>
      </c>
      <c r="F58" s="8" t="s">
        <v>2501</v>
      </c>
      <c r="G58" s="8" t="s">
        <v>187</v>
      </c>
      <c r="H58" s="8" t="s">
        <v>38</v>
      </c>
      <c r="I58" s="8" t="s">
        <v>2502</v>
      </c>
      <c r="J58" s="8" t="s">
        <v>2503</v>
      </c>
      <c r="K58" s="8" t="s">
        <v>39</v>
      </c>
      <c r="L58" s="8" t="s">
        <v>40</v>
      </c>
      <c r="M58" s="8" t="s">
        <v>39</v>
      </c>
      <c r="N58" s="15"/>
      <c r="O58" s="8" t="s">
        <v>2504</v>
      </c>
      <c r="P58" s="8" t="s">
        <v>128</v>
      </c>
      <c r="Q58" s="8" t="s">
        <v>112</v>
      </c>
      <c r="R58" s="8">
        <v>5200.0</v>
      </c>
      <c r="S58" s="8">
        <v>0.0</v>
      </c>
      <c r="T58" s="8" t="s">
        <v>2505</v>
      </c>
      <c r="U58" s="8">
        <v>0.0</v>
      </c>
      <c r="V58" s="8" t="s">
        <v>2506</v>
      </c>
      <c r="W58" s="8" t="s">
        <v>2507</v>
      </c>
      <c r="X58" s="8" t="s">
        <v>2508</v>
      </c>
      <c r="Y58" s="8" t="s">
        <v>59</v>
      </c>
      <c r="Z58" s="8" t="s">
        <v>71</v>
      </c>
      <c r="AA58" s="8" t="s">
        <v>91</v>
      </c>
      <c r="AB58" s="8" t="s">
        <v>72</v>
      </c>
      <c r="AC58" s="8">
        <v>10.0</v>
      </c>
      <c r="AD58" s="8">
        <v>4.0</v>
      </c>
      <c r="AE58" s="8">
        <v>3.0</v>
      </c>
      <c r="AF58" s="8">
        <v>850.0</v>
      </c>
      <c r="AG58" s="32"/>
      <c r="AH58" s="15"/>
      <c r="AI58" s="15"/>
      <c r="AJ58" s="15"/>
      <c r="AK58" s="15"/>
      <c r="AL58" s="15"/>
      <c r="AM58" s="15"/>
    </row>
    <row r="59">
      <c r="A59" s="14">
        <v>44403.85815459491</v>
      </c>
      <c r="B59" s="8" t="s">
        <v>49</v>
      </c>
      <c r="C59" s="8">
        <v>23.0</v>
      </c>
      <c r="D59" s="8" t="s">
        <v>35</v>
      </c>
      <c r="E59" s="8" t="s">
        <v>36</v>
      </c>
      <c r="F59" s="8" t="s">
        <v>2509</v>
      </c>
      <c r="G59" s="8" t="s">
        <v>1463</v>
      </c>
      <c r="H59" s="8" t="s">
        <v>38</v>
      </c>
      <c r="I59" s="8" t="s">
        <v>2510</v>
      </c>
      <c r="J59" s="8" t="s">
        <v>84</v>
      </c>
      <c r="K59" s="8" t="s">
        <v>39</v>
      </c>
      <c r="L59" s="8" t="s">
        <v>40</v>
      </c>
      <c r="M59" s="8" t="s">
        <v>40</v>
      </c>
      <c r="N59" s="15"/>
      <c r="O59" s="15"/>
      <c r="P59" s="8" t="s">
        <v>2511</v>
      </c>
      <c r="Q59" s="8" t="s">
        <v>42</v>
      </c>
      <c r="R59" s="8">
        <v>5250.0</v>
      </c>
      <c r="S59" s="8">
        <v>0.0</v>
      </c>
      <c r="T59" s="8">
        <v>0.0</v>
      </c>
      <c r="U59" s="8">
        <v>12.0</v>
      </c>
      <c r="V59" s="8" t="s">
        <v>697</v>
      </c>
      <c r="W59" s="8" t="s">
        <v>87</v>
      </c>
      <c r="X59" s="8" t="s">
        <v>246</v>
      </c>
      <c r="Y59" s="8" t="s">
        <v>2038</v>
      </c>
      <c r="Z59" s="8" t="s">
        <v>71</v>
      </c>
      <c r="AA59" s="8" t="s">
        <v>61</v>
      </c>
      <c r="AB59" s="8" t="s">
        <v>2039</v>
      </c>
      <c r="AC59" s="8">
        <v>8.0</v>
      </c>
      <c r="AD59" s="8">
        <v>1.0</v>
      </c>
      <c r="AE59" s="8">
        <v>1.0</v>
      </c>
      <c r="AF59" s="8">
        <v>4000.0</v>
      </c>
      <c r="AG59" s="32"/>
      <c r="AH59" s="15"/>
      <c r="AI59" s="15"/>
      <c r="AJ59" s="15"/>
      <c r="AK59" s="15"/>
      <c r="AL59" s="15"/>
      <c r="AM59" s="15"/>
    </row>
    <row r="60">
      <c r="A60" s="14">
        <v>44403.85834335648</v>
      </c>
      <c r="B60" s="8" t="s">
        <v>49</v>
      </c>
      <c r="C60" s="8">
        <v>26.0</v>
      </c>
      <c r="D60" s="8" t="s">
        <v>35</v>
      </c>
      <c r="E60" s="8" t="s">
        <v>36</v>
      </c>
      <c r="F60" s="8" t="s">
        <v>124</v>
      </c>
      <c r="G60" s="8" t="s">
        <v>206</v>
      </c>
      <c r="H60" s="8" t="s">
        <v>38</v>
      </c>
      <c r="I60" s="8" t="s">
        <v>2512</v>
      </c>
      <c r="J60" s="8" t="s">
        <v>2513</v>
      </c>
      <c r="K60" s="8" t="s">
        <v>39</v>
      </c>
      <c r="L60" s="8" t="s">
        <v>40</v>
      </c>
      <c r="M60" s="8" t="s">
        <v>40</v>
      </c>
      <c r="N60" s="15"/>
      <c r="O60" s="15"/>
      <c r="P60" s="8" t="s">
        <v>146</v>
      </c>
      <c r="Q60" s="8" t="s">
        <v>42</v>
      </c>
      <c r="R60" s="8">
        <v>3000.0</v>
      </c>
      <c r="S60" s="8">
        <v>0.0</v>
      </c>
      <c r="T60" s="8">
        <v>0.0</v>
      </c>
      <c r="U60" s="8">
        <v>18.0</v>
      </c>
      <c r="V60" s="8" t="s">
        <v>320</v>
      </c>
      <c r="W60" s="8" t="s">
        <v>922</v>
      </c>
      <c r="X60" s="8" t="s">
        <v>923</v>
      </c>
      <c r="Y60" s="8" t="s">
        <v>670</v>
      </c>
      <c r="Z60" s="8" t="s">
        <v>47</v>
      </c>
      <c r="AA60" s="8" t="s">
        <v>61</v>
      </c>
      <c r="AB60" s="15"/>
      <c r="AC60" s="8">
        <v>5.0</v>
      </c>
      <c r="AD60" s="8">
        <v>2.0</v>
      </c>
      <c r="AE60" s="8">
        <v>2.0</v>
      </c>
      <c r="AF60" s="8">
        <v>2500.0</v>
      </c>
      <c r="AG60" s="32"/>
      <c r="AH60" s="15"/>
      <c r="AI60" s="15"/>
      <c r="AJ60" s="15"/>
      <c r="AK60" s="15"/>
      <c r="AL60" s="15"/>
      <c r="AM60" s="15"/>
    </row>
    <row r="61">
      <c r="A61" s="14">
        <v>44403.85902516203</v>
      </c>
      <c r="B61" s="8" t="s">
        <v>49</v>
      </c>
      <c r="C61" s="8">
        <v>27.0</v>
      </c>
      <c r="D61" s="8" t="s">
        <v>35</v>
      </c>
      <c r="E61" s="8" t="s">
        <v>36</v>
      </c>
      <c r="F61" s="8" t="s">
        <v>50</v>
      </c>
      <c r="G61" s="8" t="s">
        <v>300</v>
      </c>
      <c r="H61" s="8" t="s">
        <v>38</v>
      </c>
      <c r="I61" s="8" t="s">
        <v>2514</v>
      </c>
      <c r="J61" s="8" t="s">
        <v>2515</v>
      </c>
      <c r="K61" s="8" t="s">
        <v>39</v>
      </c>
      <c r="L61" s="8" t="s">
        <v>40</v>
      </c>
      <c r="M61" s="8" t="s">
        <v>39</v>
      </c>
      <c r="N61" s="15"/>
      <c r="O61" s="8" t="s">
        <v>876</v>
      </c>
      <c r="P61" s="8" t="s">
        <v>2516</v>
      </c>
      <c r="Q61" s="8" t="s">
        <v>42</v>
      </c>
      <c r="R61" s="8">
        <v>3700.0</v>
      </c>
      <c r="S61" s="8">
        <v>0.0</v>
      </c>
      <c r="T61" s="8">
        <v>0.0</v>
      </c>
      <c r="U61" s="8">
        <v>14.0</v>
      </c>
      <c r="V61" s="8" t="s">
        <v>878</v>
      </c>
      <c r="W61" s="8" t="s">
        <v>879</v>
      </c>
      <c r="X61" s="8" t="s">
        <v>58</v>
      </c>
      <c r="Y61" s="8" t="s">
        <v>880</v>
      </c>
      <c r="Z61" s="8" t="s">
        <v>71</v>
      </c>
      <c r="AA61" s="8" t="s">
        <v>61</v>
      </c>
      <c r="AB61" s="15"/>
      <c r="AC61" s="8">
        <v>8.0</v>
      </c>
      <c r="AD61" s="8">
        <v>3.0</v>
      </c>
      <c r="AE61" s="8">
        <v>2.0</v>
      </c>
      <c r="AF61" s="8">
        <v>2500.0</v>
      </c>
      <c r="AG61" s="32"/>
      <c r="AH61" s="15"/>
      <c r="AI61" s="15"/>
      <c r="AJ61" s="15"/>
      <c r="AK61" s="15"/>
      <c r="AL61" s="15"/>
      <c r="AM61" s="15"/>
    </row>
    <row r="62">
      <c r="A62" s="14">
        <v>44403.85927061342</v>
      </c>
      <c r="B62" s="8" t="s">
        <v>49</v>
      </c>
      <c r="C62" s="8">
        <v>29.0</v>
      </c>
      <c r="D62" s="8" t="s">
        <v>35</v>
      </c>
      <c r="E62" s="8" t="s">
        <v>36</v>
      </c>
      <c r="F62" s="8" t="s">
        <v>2517</v>
      </c>
      <c r="G62" s="8" t="s">
        <v>2518</v>
      </c>
      <c r="H62" s="8" t="s">
        <v>38</v>
      </c>
      <c r="I62" s="8" t="s">
        <v>2519</v>
      </c>
      <c r="J62" s="8" t="s">
        <v>327</v>
      </c>
      <c r="K62" s="8" t="s">
        <v>39</v>
      </c>
      <c r="L62" s="8" t="s">
        <v>39</v>
      </c>
      <c r="M62" s="8" t="s">
        <v>40</v>
      </c>
      <c r="N62" s="8" t="s">
        <v>1177</v>
      </c>
      <c r="O62" s="15"/>
      <c r="P62" s="8" t="s">
        <v>2520</v>
      </c>
      <c r="Q62" s="8" t="s">
        <v>2521</v>
      </c>
      <c r="R62" s="8">
        <v>4000.0</v>
      </c>
      <c r="S62" s="8">
        <v>16000.0</v>
      </c>
      <c r="T62" s="8">
        <v>0.0</v>
      </c>
      <c r="U62" s="8">
        <v>18.0</v>
      </c>
      <c r="V62" s="8" t="s">
        <v>1179</v>
      </c>
      <c r="W62" s="8" t="s">
        <v>2522</v>
      </c>
      <c r="X62" s="8" t="s">
        <v>82</v>
      </c>
      <c r="Y62" s="8" t="s">
        <v>80</v>
      </c>
      <c r="Z62" s="8" t="s">
        <v>81</v>
      </c>
      <c r="AA62" s="8" t="s">
        <v>61</v>
      </c>
      <c r="AB62" s="15"/>
      <c r="AC62" s="8">
        <v>7.0</v>
      </c>
      <c r="AD62" s="8">
        <v>5.0</v>
      </c>
      <c r="AE62" s="8" t="s">
        <v>72</v>
      </c>
      <c r="AF62" s="8">
        <v>2800.0</v>
      </c>
      <c r="AG62" s="32"/>
      <c r="AH62" s="15"/>
      <c r="AI62" s="15"/>
      <c r="AJ62" s="15"/>
      <c r="AK62" s="15"/>
      <c r="AL62" s="15"/>
      <c r="AM62" s="15"/>
    </row>
    <row r="63">
      <c r="A63" s="14">
        <v>44403.8595900463</v>
      </c>
      <c r="B63" s="8" t="s">
        <v>49</v>
      </c>
      <c r="C63" s="8">
        <v>24.0</v>
      </c>
      <c r="D63" s="8" t="s">
        <v>35</v>
      </c>
      <c r="E63" s="8" t="s">
        <v>36</v>
      </c>
      <c r="F63" s="8" t="s">
        <v>515</v>
      </c>
      <c r="G63" s="8" t="s">
        <v>914</v>
      </c>
      <c r="H63" s="8" t="s">
        <v>93</v>
      </c>
      <c r="I63" s="8" t="s">
        <v>2523</v>
      </c>
      <c r="J63" s="8" t="s">
        <v>2524</v>
      </c>
      <c r="K63" s="8" t="s">
        <v>39</v>
      </c>
      <c r="L63" s="8" t="s">
        <v>40</v>
      </c>
      <c r="M63" s="8" t="s">
        <v>40</v>
      </c>
      <c r="N63" s="15"/>
      <c r="O63" s="15"/>
      <c r="P63" s="8" t="s">
        <v>548</v>
      </c>
      <c r="Q63" s="8" t="s">
        <v>42</v>
      </c>
      <c r="R63" s="8">
        <v>4300.0</v>
      </c>
      <c r="S63" s="8">
        <v>0.0</v>
      </c>
      <c r="T63" s="15"/>
      <c r="U63" s="8">
        <v>16.0</v>
      </c>
      <c r="V63" s="8" t="s">
        <v>916</v>
      </c>
      <c r="W63" s="8" t="s">
        <v>917</v>
      </c>
      <c r="X63" s="8" t="s">
        <v>58</v>
      </c>
      <c r="Y63" s="8" t="s">
        <v>59</v>
      </c>
      <c r="Z63" s="8" t="s">
        <v>71</v>
      </c>
      <c r="AA63" s="8" t="s">
        <v>91</v>
      </c>
      <c r="AB63" s="15"/>
      <c r="AC63" s="8">
        <v>8.0</v>
      </c>
      <c r="AD63" s="8">
        <v>3.0</v>
      </c>
      <c r="AE63" s="8">
        <v>1.0</v>
      </c>
      <c r="AF63" s="8">
        <v>2500.0</v>
      </c>
      <c r="AG63" s="32"/>
      <c r="AH63" s="15"/>
      <c r="AI63" s="15"/>
      <c r="AJ63" s="15"/>
      <c r="AK63" s="15"/>
      <c r="AL63" s="15"/>
      <c r="AM63" s="15"/>
    </row>
    <row r="64">
      <c r="A64" s="14">
        <v>44403.85985975694</v>
      </c>
      <c r="B64" s="8" t="s">
        <v>49</v>
      </c>
      <c r="C64" s="8">
        <v>27.0</v>
      </c>
      <c r="D64" s="8" t="s">
        <v>35</v>
      </c>
      <c r="E64" s="8" t="s">
        <v>36</v>
      </c>
      <c r="F64" s="8" t="s">
        <v>124</v>
      </c>
      <c r="G64" s="8" t="s">
        <v>2525</v>
      </c>
      <c r="H64" s="8" t="s">
        <v>38</v>
      </c>
      <c r="I64" s="8" t="s">
        <v>2526</v>
      </c>
      <c r="J64" s="8" t="s">
        <v>2527</v>
      </c>
      <c r="K64" s="8" t="s">
        <v>39</v>
      </c>
      <c r="L64" s="8" t="s">
        <v>40</v>
      </c>
      <c r="M64" s="8" t="s">
        <v>40</v>
      </c>
      <c r="N64" s="15"/>
      <c r="O64" s="15"/>
      <c r="P64" s="8" t="s">
        <v>511</v>
      </c>
      <c r="Q64" s="8" t="s">
        <v>42</v>
      </c>
      <c r="R64" s="8">
        <v>4500.0</v>
      </c>
      <c r="S64" s="8" t="s">
        <v>2528</v>
      </c>
      <c r="T64" s="8">
        <v>0.0</v>
      </c>
      <c r="U64" s="8">
        <v>25.0</v>
      </c>
      <c r="V64" s="8" t="s">
        <v>1649</v>
      </c>
      <c r="W64" s="8" t="s">
        <v>1650</v>
      </c>
      <c r="X64" s="8" t="s">
        <v>124</v>
      </c>
      <c r="Y64" s="8" t="s">
        <v>59</v>
      </c>
      <c r="Z64" s="8" t="s">
        <v>90</v>
      </c>
      <c r="AA64" s="8" t="s">
        <v>133</v>
      </c>
      <c r="AB64" s="8" t="s">
        <v>1651</v>
      </c>
      <c r="AC64" s="8">
        <v>8.0</v>
      </c>
      <c r="AD64" s="8">
        <v>5.0</v>
      </c>
      <c r="AE64" s="8">
        <v>2.0</v>
      </c>
      <c r="AF64" s="8">
        <v>3200.0</v>
      </c>
      <c r="AG64" s="32"/>
      <c r="AH64" s="15"/>
      <c r="AI64" s="15"/>
      <c r="AJ64" s="15"/>
      <c r="AK64" s="15"/>
      <c r="AL64" s="15"/>
      <c r="AM64" s="15"/>
    </row>
    <row r="65">
      <c r="A65" s="14">
        <v>44403.860277789354</v>
      </c>
      <c r="B65" s="8" t="s">
        <v>73</v>
      </c>
      <c r="C65" s="8">
        <v>26.0</v>
      </c>
      <c r="D65" s="8" t="s">
        <v>35</v>
      </c>
      <c r="E65" s="8" t="s">
        <v>36</v>
      </c>
      <c r="F65" s="8" t="s">
        <v>50</v>
      </c>
      <c r="G65" s="8" t="s">
        <v>180</v>
      </c>
      <c r="H65" s="8" t="s">
        <v>38</v>
      </c>
      <c r="I65" s="8" t="s">
        <v>2529</v>
      </c>
      <c r="J65" s="8" t="s">
        <v>2379</v>
      </c>
      <c r="K65" s="8" t="s">
        <v>39</v>
      </c>
      <c r="L65" s="8" t="s">
        <v>40</v>
      </c>
      <c r="M65" s="8" t="s">
        <v>40</v>
      </c>
      <c r="N65" s="15"/>
      <c r="O65" s="15"/>
      <c r="P65" s="8" t="s">
        <v>119</v>
      </c>
      <c r="Q65" s="8" t="s">
        <v>42</v>
      </c>
      <c r="R65" s="8">
        <v>4950.0</v>
      </c>
      <c r="S65" s="8">
        <v>5000.0</v>
      </c>
      <c r="T65" s="15"/>
      <c r="U65" s="8">
        <v>20.0</v>
      </c>
      <c r="V65" s="8" t="s">
        <v>1934</v>
      </c>
      <c r="W65" s="8" t="s">
        <v>1935</v>
      </c>
      <c r="X65" s="8" t="s">
        <v>122</v>
      </c>
      <c r="Y65" s="8" t="s">
        <v>59</v>
      </c>
      <c r="Z65" s="8" t="s">
        <v>132</v>
      </c>
      <c r="AA65" s="8" t="s">
        <v>61</v>
      </c>
      <c r="AB65" s="15"/>
      <c r="AC65" s="8">
        <v>5.0</v>
      </c>
      <c r="AD65" s="8">
        <v>3.0</v>
      </c>
      <c r="AE65" s="8">
        <v>1.0</v>
      </c>
      <c r="AF65" s="8">
        <v>3600.0</v>
      </c>
      <c r="AG65" s="32"/>
      <c r="AH65" s="15"/>
      <c r="AI65" s="15"/>
      <c r="AJ65" s="15"/>
      <c r="AK65" s="15"/>
      <c r="AL65" s="15"/>
      <c r="AM65" s="15"/>
    </row>
    <row r="66">
      <c r="A66" s="14">
        <v>44403.8614624537</v>
      </c>
      <c r="B66" s="8" t="s">
        <v>49</v>
      </c>
      <c r="C66" s="8">
        <v>24.0</v>
      </c>
      <c r="D66" s="8" t="s">
        <v>35</v>
      </c>
      <c r="E66" s="8" t="s">
        <v>36</v>
      </c>
      <c r="F66" s="8" t="s">
        <v>50</v>
      </c>
      <c r="G66" s="8" t="s">
        <v>1338</v>
      </c>
      <c r="H66" s="8" t="s">
        <v>38</v>
      </c>
      <c r="I66" s="8" t="s">
        <v>2530</v>
      </c>
      <c r="J66" s="8" t="s">
        <v>2421</v>
      </c>
      <c r="K66" s="8" t="s">
        <v>39</v>
      </c>
      <c r="L66" s="8" t="s">
        <v>40</v>
      </c>
      <c r="M66" s="8" t="s">
        <v>40</v>
      </c>
      <c r="N66" s="15"/>
      <c r="O66" s="15"/>
      <c r="P66" s="8" t="s">
        <v>293</v>
      </c>
      <c r="Q66" s="8" t="s">
        <v>42</v>
      </c>
      <c r="R66" s="8">
        <v>3640.0</v>
      </c>
      <c r="S66" s="8">
        <v>0.0</v>
      </c>
      <c r="T66" s="8">
        <v>0.0</v>
      </c>
      <c r="U66" s="8">
        <v>14.0</v>
      </c>
      <c r="V66" s="8" t="s">
        <v>1759</v>
      </c>
      <c r="W66" s="8" t="s">
        <v>1760</v>
      </c>
      <c r="X66" s="8" t="s">
        <v>36</v>
      </c>
      <c r="Y66" s="8" t="s">
        <v>80</v>
      </c>
      <c r="Z66" s="8" t="s">
        <v>90</v>
      </c>
      <c r="AA66" s="8" t="s">
        <v>91</v>
      </c>
      <c r="AB66" s="15"/>
      <c r="AC66" s="8">
        <v>3.0</v>
      </c>
      <c r="AD66" s="8">
        <v>1.0</v>
      </c>
      <c r="AE66" s="8">
        <v>0.0</v>
      </c>
      <c r="AF66" s="8">
        <v>3400.0</v>
      </c>
      <c r="AG66" s="32"/>
      <c r="AH66" s="15"/>
      <c r="AI66" s="15"/>
      <c r="AJ66" s="15"/>
      <c r="AK66" s="15"/>
      <c r="AL66" s="15"/>
      <c r="AM66" s="15"/>
    </row>
    <row r="67">
      <c r="A67" s="14">
        <v>44403.862067800925</v>
      </c>
      <c r="B67" s="8" t="s">
        <v>49</v>
      </c>
      <c r="C67" s="8">
        <v>24.0</v>
      </c>
      <c r="D67" s="8" t="s">
        <v>35</v>
      </c>
      <c r="E67" s="8" t="s">
        <v>36</v>
      </c>
      <c r="F67" s="8" t="s">
        <v>50</v>
      </c>
      <c r="G67" s="8" t="s">
        <v>180</v>
      </c>
      <c r="H67" s="8" t="s">
        <v>38</v>
      </c>
      <c r="I67" s="8" t="s">
        <v>2368</v>
      </c>
      <c r="J67" s="8" t="s">
        <v>2531</v>
      </c>
      <c r="K67" s="8" t="s">
        <v>39</v>
      </c>
      <c r="L67" s="8" t="s">
        <v>40</v>
      </c>
      <c r="M67" s="8" t="s">
        <v>40</v>
      </c>
      <c r="N67" s="15"/>
      <c r="O67" s="15"/>
      <c r="P67" s="8" t="s">
        <v>293</v>
      </c>
      <c r="Q67" s="8" t="s">
        <v>42</v>
      </c>
      <c r="R67" s="8">
        <v>4000.0</v>
      </c>
      <c r="S67" s="8">
        <v>10000.0</v>
      </c>
      <c r="T67" s="8">
        <v>0.0</v>
      </c>
      <c r="U67" s="8">
        <v>16.0</v>
      </c>
      <c r="V67" s="8" t="s">
        <v>1635</v>
      </c>
      <c r="W67" s="8" t="s">
        <v>1636</v>
      </c>
      <c r="X67" s="8" t="s">
        <v>58</v>
      </c>
      <c r="Y67" s="8" t="s">
        <v>80</v>
      </c>
      <c r="Z67" s="8" t="s">
        <v>81</v>
      </c>
      <c r="AA67" s="8" t="s">
        <v>91</v>
      </c>
      <c r="AB67" s="15"/>
      <c r="AC67" s="8">
        <v>3.0</v>
      </c>
      <c r="AD67" s="8">
        <v>2.0</v>
      </c>
      <c r="AE67" s="8">
        <v>0.0</v>
      </c>
      <c r="AF67" s="8">
        <v>3200.0</v>
      </c>
      <c r="AG67" s="32"/>
      <c r="AH67" s="15"/>
      <c r="AI67" s="15"/>
      <c r="AJ67" s="15"/>
      <c r="AK67" s="15"/>
      <c r="AL67" s="15"/>
      <c r="AM67" s="15"/>
    </row>
    <row r="68">
      <c r="A68" s="14">
        <v>44403.86344891204</v>
      </c>
      <c r="B68" s="8" t="s">
        <v>49</v>
      </c>
      <c r="C68" s="8">
        <v>31.0</v>
      </c>
      <c r="D68" s="8" t="s">
        <v>35</v>
      </c>
      <c r="E68" s="8" t="s">
        <v>36</v>
      </c>
      <c r="F68" s="8" t="s">
        <v>50</v>
      </c>
      <c r="G68" s="8" t="s">
        <v>570</v>
      </c>
      <c r="H68" s="8" t="s">
        <v>38</v>
      </c>
      <c r="I68" s="8" t="s">
        <v>2368</v>
      </c>
      <c r="J68" s="8" t="s">
        <v>2532</v>
      </c>
      <c r="K68" s="8" t="s">
        <v>39</v>
      </c>
      <c r="L68" s="8" t="s">
        <v>40</v>
      </c>
      <c r="M68" s="8" t="s">
        <v>40</v>
      </c>
      <c r="N68" s="15"/>
      <c r="O68" s="15"/>
      <c r="P68" s="8" t="s">
        <v>2533</v>
      </c>
      <c r="Q68" s="8" t="s">
        <v>42</v>
      </c>
      <c r="R68" s="8">
        <v>6046.0</v>
      </c>
      <c r="S68" s="8">
        <v>6046.0</v>
      </c>
      <c r="T68" s="8">
        <v>0.0</v>
      </c>
      <c r="U68" s="8">
        <v>19.0</v>
      </c>
      <c r="V68" s="8" t="s">
        <v>938</v>
      </c>
      <c r="W68" s="8" t="s">
        <v>939</v>
      </c>
      <c r="X68" s="8" t="s">
        <v>58</v>
      </c>
      <c r="Y68" s="8" t="s">
        <v>59</v>
      </c>
      <c r="Z68" s="8" t="s">
        <v>132</v>
      </c>
      <c r="AA68" s="8" t="s">
        <v>133</v>
      </c>
      <c r="AB68" s="15"/>
      <c r="AC68" s="8">
        <v>5.0</v>
      </c>
      <c r="AD68" s="8">
        <v>6.0</v>
      </c>
      <c r="AE68" s="8">
        <v>2.0</v>
      </c>
      <c r="AF68" s="8">
        <v>2500.0</v>
      </c>
      <c r="AG68" s="32"/>
      <c r="AH68" s="15"/>
      <c r="AI68" s="15"/>
      <c r="AJ68" s="15"/>
      <c r="AK68" s="15"/>
      <c r="AL68" s="15"/>
      <c r="AM68" s="15"/>
    </row>
    <row r="69">
      <c r="A69" s="14">
        <v>44403.863613333335</v>
      </c>
      <c r="B69" s="8" t="s">
        <v>49</v>
      </c>
      <c r="C69" s="8">
        <v>24.0</v>
      </c>
      <c r="D69" s="8" t="s">
        <v>35</v>
      </c>
      <c r="E69" s="8" t="s">
        <v>36</v>
      </c>
      <c r="F69" s="8" t="s">
        <v>363</v>
      </c>
      <c r="G69" s="8" t="s">
        <v>2534</v>
      </c>
      <c r="H69" s="8" t="s">
        <v>38</v>
      </c>
      <c r="I69" s="8" t="s">
        <v>2535</v>
      </c>
      <c r="J69" s="8" t="s">
        <v>2536</v>
      </c>
      <c r="K69" s="8" t="s">
        <v>39</v>
      </c>
      <c r="L69" s="8" t="s">
        <v>40</v>
      </c>
      <c r="M69" s="8" t="s">
        <v>40</v>
      </c>
      <c r="N69" s="15"/>
      <c r="O69" s="15"/>
      <c r="P69" s="8" t="s">
        <v>152</v>
      </c>
      <c r="Q69" s="8" t="s">
        <v>42</v>
      </c>
      <c r="R69" s="8">
        <v>2500.0</v>
      </c>
      <c r="S69" s="8">
        <v>0.0</v>
      </c>
      <c r="T69" s="8">
        <v>0.0</v>
      </c>
      <c r="U69" s="8">
        <v>16.0</v>
      </c>
      <c r="V69" s="8" t="s">
        <v>908</v>
      </c>
      <c r="W69" s="8" t="s">
        <v>909</v>
      </c>
      <c r="X69" s="8" t="s">
        <v>363</v>
      </c>
      <c r="Y69" s="8" t="s">
        <v>80</v>
      </c>
      <c r="Z69" s="8" t="s">
        <v>60</v>
      </c>
      <c r="AA69" s="8" t="s">
        <v>61</v>
      </c>
      <c r="AB69" s="15"/>
      <c r="AC69" s="8">
        <v>7.0</v>
      </c>
      <c r="AD69" s="8">
        <v>1.0</v>
      </c>
      <c r="AE69" s="8">
        <v>0.0</v>
      </c>
      <c r="AF69" s="8">
        <v>2500.0</v>
      </c>
      <c r="AG69" s="32"/>
      <c r="AH69" s="15"/>
      <c r="AI69" s="15"/>
      <c r="AJ69" s="15"/>
      <c r="AK69" s="15"/>
      <c r="AL69" s="15"/>
      <c r="AM69" s="15"/>
    </row>
    <row r="70">
      <c r="A70" s="14">
        <v>44403.86380847222</v>
      </c>
      <c r="B70" s="8" t="s">
        <v>73</v>
      </c>
      <c r="C70" s="8">
        <v>25.0</v>
      </c>
      <c r="D70" s="8" t="s">
        <v>35</v>
      </c>
      <c r="E70" s="8" t="s">
        <v>36</v>
      </c>
      <c r="F70" s="8" t="s">
        <v>50</v>
      </c>
      <c r="G70" s="8" t="s">
        <v>493</v>
      </c>
      <c r="H70" s="8" t="s">
        <v>38</v>
      </c>
      <c r="I70" s="8" t="s">
        <v>2537</v>
      </c>
      <c r="J70" s="8" t="s">
        <v>2527</v>
      </c>
      <c r="K70" s="8" t="s">
        <v>39</v>
      </c>
      <c r="L70" s="8" t="s">
        <v>40</v>
      </c>
      <c r="M70" s="8" t="s">
        <v>40</v>
      </c>
      <c r="N70" s="15"/>
      <c r="O70" s="15"/>
      <c r="P70" s="8" t="s">
        <v>2538</v>
      </c>
      <c r="Q70" s="8" t="s">
        <v>42</v>
      </c>
      <c r="R70" s="8">
        <v>3000.0</v>
      </c>
      <c r="S70" s="8">
        <v>0.0</v>
      </c>
      <c r="T70" s="8">
        <v>0.0</v>
      </c>
      <c r="U70" s="8">
        <v>20.0</v>
      </c>
      <c r="V70" s="8" t="s">
        <v>1183</v>
      </c>
      <c r="W70" s="8" t="s">
        <v>1184</v>
      </c>
      <c r="X70" s="8" t="s">
        <v>58</v>
      </c>
      <c r="Y70" s="8" t="s">
        <v>70</v>
      </c>
      <c r="Z70" s="8" t="s">
        <v>60</v>
      </c>
      <c r="AA70" s="8" t="s">
        <v>91</v>
      </c>
      <c r="AB70" s="15"/>
      <c r="AC70" s="8">
        <v>4.0</v>
      </c>
      <c r="AD70" s="8">
        <v>2.0</v>
      </c>
      <c r="AE70" s="8">
        <v>0.0</v>
      </c>
      <c r="AF70" s="8">
        <v>2800.0</v>
      </c>
      <c r="AG70" s="32"/>
      <c r="AH70" s="15"/>
      <c r="AI70" s="15"/>
      <c r="AJ70" s="15"/>
      <c r="AK70" s="15"/>
      <c r="AL70" s="15"/>
      <c r="AM70" s="15"/>
    </row>
    <row r="71">
      <c r="A71" s="14">
        <v>44403.86390997685</v>
      </c>
      <c r="B71" s="8" t="s">
        <v>49</v>
      </c>
      <c r="C71" s="8">
        <v>30.0</v>
      </c>
      <c r="D71" s="8" t="s">
        <v>35</v>
      </c>
      <c r="E71" s="8" t="s">
        <v>36</v>
      </c>
      <c r="F71" s="8" t="s">
        <v>124</v>
      </c>
      <c r="G71" s="8" t="s">
        <v>124</v>
      </c>
      <c r="H71" s="8" t="s">
        <v>38</v>
      </c>
      <c r="I71" s="8" t="s">
        <v>2539</v>
      </c>
      <c r="J71" s="8" t="s">
        <v>1615</v>
      </c>
      <c r="K71" s="8" t="s">
        <v>40</v>
      </c>
      <c r="L71" s="8" t="s">
        <v>40</v>
      </c>
      <c r="M71" s="8" t="s">
        <v>39</v>
      </c>
      <c r="N71" s="15"/>
      <c r="O71" s="8" t="s">
        <v>1616</v>
      </c>
      <c r="P71" s="8" t="s">
        <v>652</v>
      </c>
      <c r="Q71" s="8" t="s">
        <v>42</v>
      </c>
      <c r="R71" s="8">
        <v>7750.0</v>
      </c>
      <c r="S71" s="8">
        <v>0.0</v>
      </c>
      <c r="T71" s="8">
        <v>0.0</v>
      </c>
      <c r="U71" s="8">
        <v>14.0</v>
      </c>
      <c r="V71" s="8" t="s">
        <v>1617</v>
      </c>
      <c r="W71" s="8" t="s">
        <v>2540</v>
      </c>
      <c r="X71" s="8" t="s">
        <v>124</v>
      </c>
      <c r="Y71" s="8" t="s">
        <v>350</v>
      </c>
      <c r="Z71" s="8" t="s">
        <v>71</v>
      </c>
      <c r="AA71" s="8" t="s">
        <v>91</v>
      </c>
      <c r="AB71" s="15"/>
      <c r="AC71" s="8">
        <v>7.0</v>
      </c>
      <c r="AD71" s="8">
        <v>4.0</v>
      </c>
      <c r="AE71" s="8">
        <v>3.0</v>
      </c>
      <c r="AF71" s="8">
        <v>3200.0</v>
      </c>
      <c r="AG71" s="32"/>
      <c r="AH71" s="15"/>
      <c r="AI71" s="15"/>
      <c r="AJ71" s="15"/>
      <c r="AK71" s="15"/>
      <c r="AL71" s="15"/>
      <c r="AM71" s="15"/>
    </row>
    <row r="72">
      <c r="A72" s="14">
        <v>44403.86392012732</v>
      </c>
      <c r="B72" s="8" t="s">
        <v>49</v>
      </c>
      <c r="C72" s="8">
        <v>26.0</v>
      </c>
      <c r="D72" s="8" t="s">
        <v>35</v>
      </c>
      <c r="E72" s="8" t="s">
        <v>36</v>
      </c>
      <c r="F72" s="8" t="s">
        <v>50</v>
      </c>
      <c r="G72" s="8" t="s">
        <v>1879</v>
      </c>
      <c r="H72" s="8" t="s">
        <v>38</v>
      </c>
      <c r="I72" s="8" t="s">
        <v>2541</v>
      </c>
      <c r="J72" s="8" t="s">
        <v>502</v>
      </c>
      <c r="K72" s="8" t="s">
        <v>39</v>
      </c>
      <c r="L72" s="8" t="s">
        <v>40</v>
      </c>
      <c r="M72" s="8" t="s">
        <v>39</v>
      </c>
      <c r="N72" s="15"/>
      <c r="O72" s="8" t="s">
        <v>1880</v>
      </c>
      <c r="P72" s="8" t="s">
        <v>128</v>
      </c>
      <c r="Q72" s="8" t="s">
        <v>42</v>
      </c>
      <c r="R72" s="8">
        <v>7200.0</v>
      </c>
      <c r="S72" s="8" t="s">
        <v>435</v>
      </c>
      <c r="T72" s="8">
        <v>0.0</v>
      </c>
      <c r="U72" s="8">
        <v>18.0</v>
      </c>
      <c r="V72" s="8" t="s">
        <v>1881</v>
      </c>
      <c r="W72" s="8" t="s">
        <v>1882</v>
      </c>
      <c r="X72" s="8" t="s">
        <v>290</v>
      </c>
      <c r="Y72" s="8" t="s">
        <v>155</v>
      </c>
      <c r="Z72" s="8" t="s">
        <v>71</v>
      </c>
      <c r="AA72" s="8" t="s">
        <v>61</v>
      </c>
      <c r="AB72" s="8" t="s">
        <v>1883</v>
      </c>
      <c r="AC72" s="8">
        <v>9.0</v>
      </c>
      <c r="AD72" s="8" t="s">
        <v>1884</v>
      </c>
      <c r="AE72" s="8">
        <v>3.0</v>
      </c>
      <c r="AF72" s="8">
        <v>3500.0</v>
      </c>
      <c r="AG72" s="32"/>
      <c r="AH72" s="15"/>
      <c r="AI72" s="15"/>
      <c r="AJ72" s="15"/>
      <c r="AK72" s="15"/>
      <c r="AL72" s="15"/>
      <c r="AM72" s="15"/>
    </row>
    <row r="73">
      <c r="A73" s="14">
        <v>44403.86409307871</v>
      </c>
      <c r="B73" s="8" t="s">
        <v>49</v>
      </c>
      <c r="C73" s="8">
        <v>25.0</v>
      </c>
      <c r="D73" s="8" t="s">
        <v>35</v>
      </c>
      <c r="E73" s="8" t="s">
        <v>36</v>
      </c>
      <c r="F73" s="15"/>
      <c r="G73" s="15"/>
      <c r="H73" s="8" t="s">
        <v>38</v>
      </c>
      <c r="I73" s="8" t="s">
        <v>2542</v>
      </c>
      <c r="J73" s="8" t="s">
        <v>2116</v>
      </c>
      <c r="K73" s="8" t="s">
        <v>39</v>
      </c>
      <c r="L73" s="8" t="s">
        <v>39</v>
      </c>
      <c r="M73" s="8" t="s">
        <v>40</v>
      </c>
      <c r="N73" s="8" t="s">
        <v>2117</v>
      </c>
      <c r="O73" s="15"/>
      <c r="P73" s="8" t="s">
        <v>2543</v>
      </c>
      <c r="Q73" s="8" t="s">
        <v>42</v>
      </c>
      <c r="R73" s="8">
        <v>4500.0</v>
      </c>
      <c r="S73" s="8">
        <v>0.0</v>
      </c>
      <c r="T73" s="8">
        <v>0.0</v>
      </c>
      <c r="U73" s="8">
        <v>14.0</v>
      </c>
      <c r="V73" s="8" t="s">
        <v>2118</v>
      </c>
      <c r="W73" s="8" t="s">
        <v>857</v>
      </c>
      <c r="X73" s="8" t="s">
        <v>58</v>
      </c>
      <c r="Y73" s="8" t="s">
        <v>2119</v>
      </c>
      <c r="Z73" s="8" t="s">
        <v>71</v>
      </c>
      <c r="AA73" s="8" t="s">
        <v>61</v>
      </c>
      <c r="AB73" s="15"/>
      <c r="AC73" s="8">
        <v>3.0</v>
      </c>
      <c r="AD73" s="8">
        <v>1.0</v>
      </c>
      <c r="AE73" s="8">
        <v>1.0</v>
      </c>
      <c r="AF73" s="8">
        <v>4500.0</v>
      </c>
      <c r="AG73" s="32"/>
      <c r="AH73" s="15"/>
      <c r="AI73" s="15"/>
      <c r="AJ73" s="15"/>
      <c r="AK73" s="15"/>
      <c r="AL73" s="15"/>
      <c r="AM73" s="15"/>
    </row>
    <row r="74">
      <c r="A74" s="14">
        <v>44403.864171863424</v>
      </c>
      <c r="B74" s="8" t="s">
        <v>49</v>
      </c>
      <c r="C74" s="8">
        <v>29.0</v>
      </c>
      <c r="D74" s="8" t="s">
        <v>35</v>
      </c>
      <c r="E74" s="8" t="s">
        <v>36</v>
      </c>
      <c r="F74" s="8" t="s">
        <v>50</v>
      </c>
      <c r="G74" s="8" t="s">
        <v>2544</v>
      </c>
      <c r="H74" s="8" t="s">
        <v>247</v>
      </c>
      <c r="I74" s="8" t="s">
        <v>2545</v>
      </c>
      <c r="J74" s="8" t="s">
        <v>2546</v>
      </c>
      <c r="K74" s="8" t="s">
        <v>40</v>
      </c>
      <c r="L74" s="8" t="s">
        <v>40</v>
      </c>
      <c r="M74" s="8" t="s">
        <v>40</v>
      </c>
      <c r="N74" s="15"/>
      <c r="O74" s="8" t="s">
        <v>1833</v>
      </c>
      <c r="P74" s="8" t="s">
        <v>2547</v>
      </c>
      <c r="Q74" s="8" t="s">
        <v>42</v>
      </c>
      <c r="R74" s="8">
        <v>5500.0</v>
      </c>
      <c r="S74" s="8">
        <v>0.0</v>
      </c>
      <c r="T74" s="8">
        <v>0.0</v>
      </c>
      <c r="U74" s="8">
        <v>10.0</v>
      </c>
      <c r="V74" s="8" t="s">
        <v>1834</v>
      </c>
      <c r="W74" s="8" t="s">
        <v>1835</v>
      </c>
      <c r="X74" s="8" t="s">
        <v>2548</v>
      </c>
      <c r="Y74" s="8" t="s">
        <v>2549</v>
      </c>
      <c r="Z74" s="8" t="s">
        <v>132</v>
      </c>
      <c r="AA74" s="8" t="s">
        <v>61</v>
      </c>
      <c r="AB74" s="24" t="s">
        <v>1836</v>
      </c>
      <c r="AC74" s="8">
        <v>3.0</v>
      </c>
      <c r="AD74" s="8">
        <v>5.0</v>
      </c>
      <c r="AE74" s="8">
        <v>1.0</v>
      </c>
      <c r="AF74" s="8">
        <v>3500.0</v>
      </c>
      <c r="AG74" s="32"/>
      <c r="AH74" s="15"/>
      <c r="AI74" s="15"/>
      <c r="AJ74" s="15"/>
      <c r="AK74" s="15"/>
      <c r="AL74" s="15"/>
      <c r="AM74" s="15"/>
    </row>
    <row r="75">
      <c r="A75" s="14">
        <v>44403.864314861115</v>
      </c>
      <c r="B75" s="8" t="s">
        <v>49</v>
      </c>
      <c r="C75" s="8">
        <v>31.0</v>
      </c>
      <c r="D75" s="8" t="s">
        <v>35</v>
      </c>
      <c r="E75" s="8" t="s">
        <v>36</v>
      </c>
      <c r="F75" s="8" t="s">
        <v>2550</v>
      </c>
      <c r="G75" s="8" t="s">
        <v>601</v>
      </c>
      <c r="H75" s="8" t="s">
        <v>38</v>
      </c>
      <c r="I75" s="8" t="s">
        <v>2368</v>
      </c>
      <c r="J75" s="8" t="s">
        <v>2551</v>
      </c>
      <c r="K75" s="8" t="s">
        <v>39</v>
      </c>
      <c r="L75" s="8" t="s">
        <v>40</v>
      </c>
      <c r="M75" s="8" t="s">
        <v>40</v>
      </c>
      <c r="N75" s="15"/>
      <c r="O75" s="15"/>
      <c r="P75" s="8" t="s">
        <v>2552</v>
      </c>
      <c r="Q75" s="8" t="s">
        <v>42</v>
      </c>
      <c r="R75" s="8">
        <v>12300.0</v>
      </c>
      <c r="S75" s="8">
        <v>0.0</v>
      </c>
      <c r="T75" s="8">
        <v>0.0</v>
      </c>
      <c r="U75" s="8">
        <v>22.0</v>
      </c>
      <c r="V75" s="8" t="s">
        <v>997</v>
      </c>
      <c r="W75" s="8" t="s">
        <v>998</v>
      </c>
      <c r="X75" s="8" t="s">
        <v>2548</v>
      </c>
      <c r="Y75" s="8" t="s">
        <v>297</v>
      </c>
      <c r="Z75" s="8" t="s">
        <v>81</v>
      </c>
      <c r="AA75" s="8" t="s">
        <v>91</v>
      </c>
      <c r="AB75" s="15"/>
      <c r="AC75" s="8">
        <v>8.0</v>
      </c>
      <c r="AD75" s="8">
        <v>7.0</v>
      </c>
      <c r="AE75" s="8">
        <v>4.0</v>
      </c>
      <c r="AF75" s="8">
        <v>2600.0</v>
      </c>
      <c r="AG75" s="32"/>
      <c r="AH75" s="15"/>
      <c r="AI75" s="15"/>
      <c r="AJ75" s="15"/>
      <c r="AK75" s="15"/>
      <c r="AL75" s="15"/>
      <c r="AM75" s="15"/>
    </row>
    <row r="76">
      <c r="A76" s="14">
        <v>44403.864554722226</v>
      </c>
      <c r="B76" s="8" t="s">
        <v>49</v>
      </c>
      <c r="C76" s="8">
        <v>23.0</v>
      </c>
      <c r="D76" s="8" t="s">
        <v>35</v>
      </c>
      <c r="E76" s="8" t="s">
        <v>36</v>
      </c>
      <c r="F76" s="8" t="s">
        <v>363</v>
      </c>
      <c r="G76" s="8" t="s">
        <v>482</v>
      </c>
      <c r="H76" s="8" t="s">
        <v>38</v>
      </c>
      <c r="I76" s="8" t="s">
        <v>2368</v>
      </c>
      <c r="J76" s="8" t="s">
        <v>161</v>
      </c>
      <c r="K76" s="8" t="s">
        <v>39</v>
      </c>
      <c r="L76" s="8" t="s">
        <v>39</v>
      </c>
      <c r="M76" s="8" t="s">
        <v>40</v>
      </c>
      <c r="N76" s="8" t="s">
        <v>2034</v>
      </c>
      <c r="O76" s="15"/>
      <c r="P76" s="8" t="s">
        <v>2553</v>
      </c>
      <c r="Q76" s="8" t="s">
        <v>42</v>
      </c>
      <c r="R76" s="8">
        <v>4000.0</v>
      </c>
      <c r="S76" s="8">
        <v>0.0</v>
      </c>
      <c r="T76" s="8">
        <v>0.0</v>
      </c>
      <c r="U76" s="8">
        <v>12.0</v>
      </c>
      <c r="V76" s="8" t="s">
        <v>2036</v>
      </c>
      <c r="W76" s="8" t="s">
        <v>2554</v>
      </c>
      <c r="X76" s="8" t="s">
        <v>2037</v>
      </c>
      <c r="Y76" s="8" t="s">
        <v>1013</v>
      </c>
      <c r="Z76" s="8" t="s">
        <v>132</v>
      </c>
      <c r="AA76" s="8" t="s">
        <v>61</v>
      </c>
      <c r="AB76" s="15"/>
      <c r="AC76" s="8">
        <v>8.0</v>
      </c>
      <c r="AD76" s="8">
        <v>0.7</v>
      </c>
      <c r="AE76" s="8">
        <v>0.0</v>
      </c>
      <c r="AF76" s="8">
        <v>4000.0</v>
      </c>
      <c r="AG76" s="32"/>
      <c r="AH76" s="15"/>
      <c r="AI76" s="15"/>
      <c r="AJ76" s="15"/>
      <c r="AK76" s="15"/>
      <c r="AL76" s="15"/>
      <c r="AM76" s="15"/>
    </row>
    <row r="77">
      <c r="A77" s="14">
        <v>44403.86590181713</v>
      </c>
      <c r="B77" s="8" t="s">
        <v>49</v>
      </c>
      <c r="C77" s="8">
        <v>25.0</v>
      </c>
      <c r="D77" s="8" t="s">
        <v>35</v>
      </c>
      <c r="E77" s="8" t="s">
        <v>36</v>
      </c>
      <c r="F77" s="15"/>
      <c r="G77" s="8" t="s">
        <v>2544</v>
      </c>
      <c r="H77" s="8" t="s">
        <v>38</v>
      </c>
      <c r="I77" s="8" t="s">
        <v>2555</v>
      </c>
      <c r="J77" s="15"/>
      <c r="K77" s="8" t="s">
        <v>39</v>
      </c>
      <c r="L77" s="8" t="s">
        <v>40</v>
      </c>
      <c r="M77" s="8" t="s">
        <v>40</v>
      </c>
      <c r="N77" s="15"/>
      <c r="O77" s="15"/>
      <c r="P77" s="8" t="s">
        <v>2556</v>
      </c>
      <c r="Q77" s="8" t="s">
        <v>42</v>
      </c>
      <c r="R77" s="8">
        <v>8000.0</v>
      </c>
      <c r="S77" s="15"/>
      <c r="T77" s="15"/>
      <c r="U77" s="8">
        <v>16.0</v>
      </c>
      <c r="V77" s="8" t="s">
        <v>2060</v>
      </c>
      <c r="W77" s="8" t="s">
        <v>2061</v>
      </c>
      <c r="X77" s="8" t="s">
        <v>2390</v>
      </c>
      <c r="Y77" s="8" t="s">
        <v>105</v>
      </c>
      <c r="Z77" s="8" t="s">
        <v>71</v>
      </c>
      <c r="AA77" s="8" t="s">
        <v>91</v>
      </c>
      <c r="AB77" s="15"/>
      <c r="AC77" s="8">
        <v>8.0</v>
      </c>
      <c r="AD77" s="8">
        <v>6.0</v>
      </c>
      <c r="AE77" s="8">
        <v>2.0</v>
      </c>
      <c r="AF77" s="8">
        <v>4000.0</v>
      </c>
      <c r="AG77" s="32"/>
      <c r="AH77" s="15"/>
      <c r="AI77" s="15"/>
      <c r="AJ77" s="15"/>
      <c r="AK77" s="15"/>
      <c r="AL77" s="15"/>
      <c r="AM77" s="15"/>
    </row>
    <row r="78">
      <c r="A78" s="14">
        <v>44403.86596564815</v>
      </c>
      <c r="B78" s="8" t="s">
        <v>49</v>
      </c>
      <c r="C78" s="8">
        <v>22.0</v>
      </c>
      <c r="D78" s="8" t="s">
        <v>35</v>
      </c>
      <c r="E78" s="8" t="s">
        <v>36</v>
      </c>
      <c r="F78" s="8" t="s">
        <v>124</v>
      </c>
      <c r="G78" s="8" t="s">
        <v>124</v>
      </c>
      <c r="H78" s="8" t="s">
        <v>38</v>
      </c>
      <c r="I78" s="8" t="s">
        <v>2557</v>
      </c>
      <c r="J78" s="8" t="s">
        <v>161</v>
      </c>
      <c r="K78" s="8" t="s">
        <v>39</v>
      </c>
      <c r="L78" s="8" t="s">
        <v>40</v>
      </c>
      <c r="M78" s="8" t="s">
        <v>40</v>
      </c>
      <c r="N78" s="15"/>
      <c r="O78" s="15"/>
      <c r="P78" s="8" t="s">
        <v>2558</v>
      </c>
      <c r="Q78" s="8" t="s">
        <v>42</v>
      </c>
      <c r="R78" s="8">
        <v>5400.0</v>
      </c>
      <c r="S78" s="8">
        <v>0.0</v>
      </c>
      <c r="T78" s="8">
        <v>0.0</v>
      </c>
      <c r="U78" s="8">
        <v>21.0</v>
      </c>
      <c r="V78" s="8" t="s">
        <v>1199</v>
      </c>
      <c r="W78" s="8" t="s">
        <v>1200</v>
      </c>
      <c r="X78" s="8" t="s">
        <v>122</v>
      </c>
      <c r="Y78" s="8" t="s">
        <v>59</v>
      </c>
      <c r="Z78" s="8" t="s">
        <v>81</v>
      </c>
      <c r="AA78" s="8" t="s">
        <v>61</v>
      </c>
      <c r="AB78" s="8" t="s">
        <v>1201</v>
      </c>
      <c r="AC78" s="8">
        <v>9.0</v>
      </c>
      <c r="AD78" s="8">
        <v>0.0</v>
      </c>
      <c r="AE78" s="8">
        <v>1.0</v>
      </c>
      <c r="AF78" s="8">
        <v>2800.0</v>
      </c>
      <c r="AG78" s="32"/>
      <c r="AH78" s="15"/>
      <c r="AI78" s="15"/>
      <c r="AJ78" s="15"/>
      <c r="AK78" s="15"/>
      <c r="AL78" s="15"/>
      <c r="AM78" s="15"/>
    </row>
    <row r="79">
      <c r="A79" s="14">
        <v>44403.86653616898</v>
      </c>
      <c r="B79" s="8" t="s">
        <v>73</v>
      </c>
      <c r="C79" s="8">
        <v>31.0</v>
      </c>
      <c r="D79" s="8" t="s">
        <v>35</v>
      </c>
      <c r="E79" s="8" t="s">
        <v>36</v>
      </c>
      <c r="F79" s="8" t="s">
        <v>2559</v>
      </c>
      <c r="G79" s="8" t="s">
        <v>601</v>
      </c>
      <c r="H79" s="8" t="s">
        <v>38</v>
      </c>
      <c r="I79" s="8" t="s">
        <v>2368</v>
      </c>
      <c r="J79" s="8" t="s">
        <v>2560</v>
      </c>
      <c r="K79" s="8" t="s">
        <v>39</v>
      </c>
      <c r="L79" s="8" t="s">
        <v>40</v>
      </c>
      <c r="M79" s="8" t="s">
        <v>40</v>
      </c>
      <c r="N79" s="15"/>
      <c r="O79" s="15"/>
      <c r="P79" s="8" t="s">
        <v>2552</v>
      </c>
      <c r="Q79" s="8" t="s">
        <v>42</v>
      </c>
      <c r="R79" s="8">
        <v>7500.0</v>
      </c>
      <c r="S79" s="8">
        <v>0.5</v>
      </c>
      <c r="T79" s="8">
        <v>0.0</v>
      </c>
      <c r="U79" s="8">
        <v>20.0</v>
      </c>
      <c r="V79" s="8" t="s">
        <v>1190</v>
      </c>
      <c r="W79" s="8" t="s">
        <v>1191</v>
      </c>
      <c r="X79" s="8" t="s">
        <v>2561</v>
      </c>
      <c r="Y79" s="8" t="s">
        <v>1193</v>
      </c>
      <c r="Z79" s="8" t="s">
        <v>81</v>
      </c>
      <c r="AA79" s="8" t="s">
        <v>91</v>
      </c>
      <c r="AB79" s="15"/>
      <c r="AC79" s="8">
        <v>6.0</v>
      </c>
      <c r="AD79" s="8">
        <v>8.0</v>
      </c>
      <c r="AE79" s="8">
        <v>0.0</v>
      </c>
      <c r="AF79" s="8">
        <v>2800.0</v>
      </c>
      <c r="AG79" s="32"/>
      <c r="AH79" s="15"/>
      <c r="AI79" s="15"/>
      <c r="AJ79" s="15"/>
      <c r="AK79" s="15"/>
      <c r="AL79" s="15"/>
      <c r="AM79" s="15"/>
    </row>
    <row r="80">
      <c r="A80" s="14">
        <v>44403.86662886574</v>
      </c>
      <c r="B80" s="8" t="s">
        <v>49</v>
      </c>
      <c r="C80" s="8">
        <v>24.0</v>
      </c>
      <c r="D80" s="8" t="s">
        <v>35</v>
      </c>
      <c r="E80" s="8" t="s">
        <v>36</v>
      </c>
      <c r="F80" s="8" t="s">
        <v>50</v>
      </c>
      <c r="G80" s="8" t="s">
        <v>812</v>
      </c>
      <c r="H80" s="8" t="s">
        <v>38</v>
      </c>
      <c r="I80" s="8" t="s">
        <v>2562</v>
      </c>
      <c r="J80" s="8" t="s">
        <v>2563</v>
      </c>
      <c r="K80" s="8" t="s">
        <v>39</v>
      </c>
      <c r="L80" s="8" t="s">
        <v>40</v>
      </c>
      <c r="M80" s="8" t="s">
        <v>39</v>
      </c>
      <c r="N80" s="15"/>
      <c r="O80" s="8" t="s">
        <v>398</v>
      </c>
      <c r="P80" s="8" t="s">
        <v>41</v>
      </c>
      <c r="Q80" s="8" t="s">
        <v>42</v>
      </c>
      <c r="R80" s="8">
        <v>3300.0</v>
      </c>
      <c r="S80" s="8">
        <v>0.0</v>
      </c>
      <c r="T80" s="8">
        <v>0.0</v>
      </c>
      <c r="U80" s="8">
        <v>14.0</v>
      </c>
      <c r="V80" s="8" t="s">
        <v>1717</v>
      </c>
      <c r="W80" s="8" t="s">
        <v>1718</v>
      </c>
      <c r="X80" s="8" t="s">
        <v>812</v>
      </c>
      <c r="Y80" s="8" t="s">
        <v>70</v>
      </c>
      <c r="Z80" s="8" t="s">
        <v>71</v>
      </c>
      <c r="AA80" s="8" t="s">
        <v>61</v>
      </c>
      <c r="AB80" s="15"/>
      <c r="AC80" s="8">
        <v>7.0</v>
      </c>
      <c r="AD80" s="8">
        <v>1.0</v>
      </c>
      <c r="AE80" s="8">
        <v>3.0</v>
      </c>
      <c r="AF80" s="8">
        <v>3300.0</v>
      </c>
      <c r="AG80" s="32"/>
      <c r="AH80" s="15"/>
      <c r="AI80" s="15"/>
      <c r="AJ80" s="15"/>
      <c r="AK80" s="15"/>
      <c r="AL80" s="15"/>
      <c r="AM80" s="15"/>
    </row>
    <row r="81">
      <c r="A81" s="14">
        <v>44403.866865613425</v>
      </c>
      <c r="B81" s="8" t="s">
        <v>49</v>
      </c>
      <c r="C81" s="8">
        <v>29.0</v>
      </c>
      <c r="D81" s="8" t="s">
        <v>35</v>
      </c>
      <c r="E81" s="8" t="s">
        <v>36</v>
      </c>
      <c r="F81" s="8" t="s">
        <v>50</v>
      </c>
      <c r="G81" s="8" t="s">
        <v>493</v>
      </c>
      <c r="H81" s="8" t="s">
        <v>38</v>
      </c>
      <c r="I81" s="8" t="s">
        <v>2368</v>
      </c>
      <c r="J81" s="8" t="s">
        <v>2564</v>
      </c>
      <c r="K81" s="8" t="s">
        <v>39</v>
      </c>
      <c r="L81" s="8" t="s">
        <v>40</v>
      </c>
      <c r="M81" s="8" t="s">
        <v>40</v>
      </c>
      <c r="N81" s="15"/>
      <c r="O81" s="15"/>
      <c r="P81" s="8" t="s">
        <v>2377</v>
      </c>
      <c r="Q81" s="8" t="s">
        <v>42</v>
      </c>
      <c r="R81" s="8">
        <v>7200.0</v>
      </c>
      <c r="S81" s="15"/>
      <c r="T81" s="15"/>
      <c r="U81" s="8">
        <v>21.0</v>
      </c>
      <c r="V81" s="8" t="s">
        <v>1528</v>
      </c>
      <c r="W81" s="8" t="s">
        <v>1529</v>
      </c>
      <c r="X81" s="8" t="s">
        <v>58</v>
      </c>
      <c r="Y81" s="8" t="s">
        <v>59</v>
      </c>
      <c r="Z81" s="8" t="s">
        <v>132</v>
      </c>
      <c r="AA81" s="8" t="s">
        <v>91</v>
      </c>
      <c r="AB81" s="15"/>
      <c r="AC81" s="8">
        <v>7.0</v>
      </c>
      <c r="AD81" s="8">
        <v>5.0</v>
      </c>
      <c r="AE81" s="8">
        <v>1.0</v>
      </c>
      <c r="AF81" s="8">
        <v>3000.0</v>
      </c>
      <c r="AG81" s="32"/>
      <c r="AH81" s="15"/>
      <c r="AI81" s="15"/>
      <c r="AJ81" s="15"/>
      <c r="AK81" s="15"/>
      <c r="AL81" s="15"/>
      <c r="AM81" s="15"/>
    </row>
    <row r="82">
      <c r="A82" s="14">
        <v>44403.867045844905</v>
      </c>
      <c r="B82" s="8" t="s">
        <v>49</v>
      </c>
      <c r="C82" s="8">
        <v>26.0</v>
      </c>
      <c r="D82" s="8" t="s">
        <v>35</v>
      </c>
      <c r="E82" s="8" t="s">
        <v>36</v>
      </c>
      <c r="F82" s="8" t="s">
        <v>50</v>
      </c>
      <c r="G82" s="8" t="s">
        <v>570</v>
      </c>
      <c r="H82" s="8" t="s">
        <v>38</v>
      </c>
      <c r="I82" s="8" t="s">
        <v>2565</v>
      </c>
      <c r="J82" s="8" t="s">
        <v>2566</v>
      </c>
      <c r="K82" s="8" t="s">
        <v>39</v>
      </c>
      <c r="L82" s="8" t="s">
        <v>40</v>
      </c>
      <c r="M82" s="8" t="s">
        <v>40</v>
      </c>
      <c r="N82" s="15"/>
      <c r="O82" s="15"/>
      <c r="P82" s="8" t="s">
        <v>746</v>
      </c>
      <c r="Q82" s="8" t="s">
        <v>42</v>
      </c>
      <c r="R82" s="8">
        <v>9000.0</v>
      </c>
      <c r="S82" s="8">
        <v>0.0</v>
      </c>
      <c r="T82" s="8">
        <v>0.0</v>
      </c>
      <c r="U82" s="8">
        <v>20.0</v>
      </c>
      <c r="V82" s="8" t="s">
        <v>1497</v>
      </c>
      <c r="W82" s="8" t="s">
        <v>1233</v>
      </c>
      <c r="X82" s="8" t="s">
        <v>122</v>
      </c>
      <c r="Y82" s="8" t="s">
        <v>59</v>
      </c>
      <c r="Z82" s="8" t="s">
        <v>60</v>
      </c>
      <c r="AA82" s="8" t="s">
        <v>133</v>
      </c>
      <c r="AB82" s="8" t="s">
        <v>2567</v>
      </c>
      <c r="AC82" s="8">
        <v>8.0</v>
      </c>
      <c r="AD82" s="8">
        <v>3.0</v>
      </c>
      <c r="AE82" s="8">
        <v>3.0</v>
      </c>
      <c r="AF82" s="8">
        <v>3000.0</v>
      </c>
      <c r="AG82" s="32"/>
      <c r="AH82" s="15"/>
      <c r="AI82" s="15"/>
      <c r="AJ82" s="15"/>
      <c r="AK82" s="15"/>
      <c r="AL82" s="15"/>
      <c r="AM82" s="15"/>
    </row>
    <row r="83">
      <c r="A83" s="14">
        <v>44403.86754872685</v>
      </c>
      <c r="B83" s="8" t="s">
        <v>73</v>
      </c>
      <c r="C83" s="8">
        <v>25.0</v>
      </c>
      <c r="D83" s="8" t="s">
        <v>35</v>
      </c>
      <c r="E83" s="8" t="s">
        <v>36</v>
      </c>
      <c r="F83" s="8" t="s">
        <v>124</v>
      </c>
      <c r="G83" s="8" t="s">
        <v>124</v>
      </c>
      <c r="H83" s="8" t="s">
        <v>38</v>
      </c>
      <c r="I83" s="8" t="s">
        <v>2568</v>
      </c>
      <c r="J83" s="8" t="s">
        <v>2569</v>
      </c>
      <c r="K83" s="8" t="s">
        <v>40</v>
      </c>
      <c r="L83" s="8" t="s">
        <v>39</v>
      </c>
      <c r="M83" s="8" t="s">
        <v>40</v>
      </c>
      <c r="N83" s="8" t="s">
        <v>1642</v>
      </c>
      <c r="O83" s="15"/>
      <c r="P83" s="8" t="s">
        <v>54</v>
      </c>
      <c r="Q83" s="8" t="s">
        <v>42</v>
      </c>
      <c r="R83" s="8">
        <v>3200.0</v>
      </c>
      <c r="S83" s="8">
        <v>0.0</v>
      </c>
      <c r="T83" s="8" t="s">
        <v>1643</v>
      </c>
      <c r="U83" s="8">
        <v>20.0</v>
      </c>
      <c r="V83" s="8" t="s">
        <v>884</v>
      </c>
      <c r="W83" s="8" t="s">
        <v>658</v>
      </c>
      <c r="X83" s="8" t="s">
        <v>131</v>
      </c>
      <c r="Y83" s="8" t="s">
        <v>59</v>
      </c>
      <c r="Z83" s="8" t="s">
        <v>47</v>
      </c>
      <c r="AA83" s="8" t="s">
        <v>61</v>
      </c>
      <c r="AB83" s="15"/>
      <c r="AC83" s="8">
        <v>8.0</v>
      </c>
      <c r="AD83" s="8">
        <v>0.0</v>
      </c>
      <c r="AE83" s="8">
        <v>0.0</v>
      </c>
      <c r="AF83" s="8">
        <v>3200.0</v>
      </c>
      <c r="AG83" s="32"/>
      <c r="AH83" s="15"/>
      <c r="AI83" s="15"/>
      <c r="AJ83" s="15"/>
      <c r="AK83" s="15"/>
      <c r="AL83" s="15"/>
      <c r="AM83" s="15"/>
    </row>
    <row r="84">
      <c r="A84" s="14">
        <v>44403.86755769676</v>
      </c>
      <c r="B84" s="8" t="s">
        <v>49</v>
      </c>
      <c r="C84" s="8">
        <v>24.0</v>
      </c>
      <c r="D84" s="8" t="s">
        <v>35</v>
      </c>
      <c r="E84" s="8" t="s">
        <v>36</v>
      </c>
      <c r="F84" s="8" t="s">
        <v>124</v>
      </c>
      <c r="G84" s="8" t="s">
        <v>296</v>
      </c>
      <c r="H84" s="8" t="s">
        <v>38</v>
      </c>
      <c r="I84" s="8" t="s">
        <v>2368</v>
      </c>
      <c r="J84" s="8" t="s">
        <v>2570</v>
      </c>
      <c r="K84" s="8" t="s">
        <v>39</v>
      </c>
      <c r="L84" s="8" t="s">
        <v>40</v>
      </c>
      <c r="M84" s="8" t="s">
        <v>40</v>
      </c>
      <c r="N84" s="15"/>
      <c r="O84" s="15"/>
      <c r="P84" s="8" t="s">
        <v>2571</v>
      </c>
      <c r="Q84" s="8" t="s">
        <v>42</v>
      </c>
      <c r="R84" s="8">
        <v>3700.0</v>
      </c>
      <c r="S84" s="8">
        <v>0.0</v>
      </c>
      <c r="T84" s="8">
        <v>0.0</v>
      </c>
      <c r="U84" s="8">
        <v>12.0</v>
      </c>
      <c r="V84" s="8" t="s">
        <v>1410</v>
      </c>
      <c r="W84" s="8" t="s">
        <v>1411</v>
      </c>
      <c r="X84" s="8" t="s">
        <v>122</v>
      </c>
      <c r="Y84" s="8" t="s">
        <v>350</v>
      </c>
      <c r="Z84" s="8" t="s">
        <v>47</v>
      </c>
      <c r="AA84" s="8" t="s">
        <v>61</v>
      </c>
      <c r="AB84" s="15"/>
      <c r="AC84" s="8">
        <v>7.0</v>
      </c>
      <c r="AD84" s="8">
        <v>1.0</v>
      </c>
      <c r="AE84" s="8">
        <v>0.0</v>
      </c>
      <c r="AF84" s="8">
        <v>3000.0</v>
      </c>
      <c r="AG84" s="32"/>
      <c r="AH84" s="15"/>
      <c r="AI84" s="15"/>
      <c r="AJ84" s="15"/>
      <c r="AK84" s="15"/>
      <c r="AL84" s="15"/>
      <c r="AM84" s="15"/>
    </row>
    <row r="85">
      <c r="A85" s="14">
        <v>44403.86767016204</v>
      </c>
      <c r="B85" s="8" t="s">
        <v>49</v>
      </c>
      <c r="C85" s="8">
        <v>25.0</v>
      </c>
      <c r="D85" s="8" t="s">
        <v>35</v>
      </c>
      <c r="E85" s="8" t="s">
        <v>36</v>
      </c>
      <c r="F85" s="8" t="s">
        <v>50</v>
      </c>
      <c r="G85" s="15"/>
      <c r="H85" s="8" t="s">
        <v>38</v>
      </c>
      <c r="I85" s="8" t="s">
        <v>2572</v>
      </c>
      <c r="J85" s="8" t="s">
        <v>2573</v>
      </c>
      <c r="K85" s="8" t="s">
        <v>39</v>
      </c>
      <c r="L85" s="8" t="s">
        <v>40</v>
      </c>
      <c r="M85" s="8" t="s">
        <v>40</v>
      </c>
      <c r="N85" s="15"/>
      <c r="O85" s="15"/>
      <c r="P85" s="8" t="s">
        <v>2574</v>
      </c>
      <c r="Q85" s="8" t="s">
        <v>42</v>
      </c>
      <c r="R85" s="8">
        <v>4800.0</v>
      </c>
      <c r="S85" s="8">
        <v>1000.0</v>
      </c>
      <c r="T85" s="8">
        <v>0.0</v>
      </c>
      <c r="U85" s="8">
        <v>16.0</v>
      </c>
      <c r="V85" s="8" t="s">
        <v>2053</v>
      </c>
      <c r="W85" s="8" t="s">
        <v>2054</v>
      </c>
      <c r="X85" s="8" t="s">
        <v>122</v>
      </c>
      <c r="Y85" s="8" t="s">
        <v>155</v>
      </c>
      <c r="Z85" s="8" t="s">
        <v>90</v>
      </c>
      <c r="AA85" s="8" t="s">
        <v>61</v>
      </c>
      <c r="AB85" s="8" t="s">
        <v>2055</v>
      </c>
      <c r="AC85" s="8">
        <v>9.0</v>
      </c>
      <c r="AD85" s="8">
        <v>1.0</v>
      </c>
      <c r="AE85" s="8">
        <v>0.0</v>
      </c>
      <c r="AF85" s="8">
        <v>4000.0</v>
      </c>
      <c r="AG85" s="32"/>
      <c r="AH85" s="15"/>
      <c r="AI85" s="15"/>
      <c r="AJ85" s="15"/>
      <c r="AK85" s="15"/>
      <c r="AL85" s="15"/>
      <c r="AM85" s="15"/>
    </row>
    <row r="86">
      <c r="A86" s="14">
        <v>44403.867844340275</v>
      </c>
      <c r="B86" s="8" t="s">
        <v>49</v>
      </c>
      <c r="C86" s="8">
        <v>30.0</v>
      </c>
      <c r="D86" s="8" t="s">
        <v>35</v>
      </c>
      <c r="E86" s="8" t="s">
        <v>36</v>
      </c>
      <c r="F86" s="8" t="s">
        <v>50</v>
      </c>
      <c r="G86" s="8" t="s">
        <v>50</v>
      </c>
      <c r="H86" s="8" t="s">
        <v>38</v>
      </c>
      <c r="I86" s="8" t="s">
        <v>2413</v>
      </c>
      <c r="J86" s="15"/>
      <c r="K86" s="8" t="s">
        <v>39</v>
      </c>
      <c r="L86" s="8" t="s">
        <v>40</v>
      </c>
      <c r="M86" s="8" t="s">
        <v>40</v>
      </c>
      <c r="N86" s="15"/>
      <c r="O86" s="15"/>
      <c r="P86" s="8" t="s">
        <v>2575</v>
      </c>
      <c r="Q86" s="8" t="s">
        <v>42</v>
      </c>
      <c r="R86" s="8">
        <v>16000.0</v>
      </c>
      <c r="S86" s="8">
        <v>28800.0</v>
      </c>
      <c r="T86" s="15"/>
      <c r="U86" s="8">
        <v>16.0</v>
      </c>
      <c r="V86" s="8" t="s">
        <v>1165</v>
      </c>
      <c r="W86" s="8" t="s">
        <v>2576</v>
      </c>
      <c r="X86" s="8" t="s">
        <v>122</v>
      </c>
      <c r="Y86" s="8" t="s">
        <v>185</v>
      </c>
      <c r="Z86" s="8" t="s">
        <v>60</v>
      </c>
      <c r="AA86" s="8" t="s">
        <v>91</v>
      </c>
      <c r="AB86" s="15"/>
      <c r="AC86" s="8">
        <v>8.0</v>
      </c>
      <c r="AD86" s="8">
        <v>7.0</v>
      </c>
      <c r="AE86" s="8">
        <v>5.0</v>
      </c>
      <c r="AF86" s="8">
        <v>2800.0</v>
      </c>
      <c r="AG86" s="32"/>
      <c r="AH86" s="15"/>
      <c r="AI86" s="15"/>
      <c r="AJ86" s="15"/>
      <c r="AK86" s="15"/>
      <c r="AL86" s="15"/>
      <c r="AM86" s="15"/>
    </row>
    <row r="87">
      <c r="A87" s="14">
        <v>44403.867952754634</v>
      </c>
      <c r="B87" s="8" t="s">
        <v>49</v>
      </c>
      <c r="C87" s="8">
        <v>24.0</v>
      </c>
      <c r="D87" s="8" t="s">
        <v>35</v>
      </c>
      <c r="E87" s="8" t="s">
        <v>36</v>
      </c>
      <c r="F87" s="8" t="s">
        <v>50</v>
      </c>
      <c r="G87" s="8" t="s">
        <v>1522</v>
      </c>
      <c r="H87" s="8" t="s">
        <v>38</v>
      </c>
      <c r="I87" s="8" t="s">
        <v>2368</v>
      </c>
      <c r="J87" s="8" t="s">
        <v>944</v>
      </c>
      <c r="K87" s="8" t="s">
        <v>39</v>
      </c>
      <c r="L87" s="8" t="s">
        <v>40</v>
      </c>
      <c r="M87" s="8" t="s">
        <v>40</v>
      </c>
      <c r="N87" s="15"/>
      <c r="O87" s="15"/>
      <c r="P87" s="8" t="s">
        <v>2577</v>
      </c>
      <c r="Q87" s="8" t="s">
        <v>42</v>
      </c>
      <c r="R87" s="8">
        <v>5150.0</v>
      </c>
      <c r="S87" s="8">
        <v>0.0</v>
      </c>
      <c r="T87" s="8">
        <v>0.0</v>
      </c>
      <c r="U87" s="8">
        <v>14.0</v>
      </c>
      <c r="V87" s="8" t="s">
        <v>2120</v>
      </c>
      <c r="W87" s="8" t="s">
        <v>2121</v>
      </c>
      <c r="X87" s="8" t="s">
        <v>122</v>
      </c>
      <c r="Y87" s="8" t="s">
        <v>155</v>
      </c>
      <c r="Z87" s="8" t="s">
        <v>81</v>
      </c>
      <c r="AA87" s="8" t="s">
        <v>61</v>
      </c>
      <c r="AB87" s="15"/>
      <c r="AC87" s="8">
        <v>6.0</v>
      </c>
      <c r="AD87" s="8">
        <v>2.5</v>
      </c>
      <c r="AE87" s="8">
        <v>1.0</v>
      </c>
      <c r="AF87" s="8">
        <v>4500.0</v>
      </c>
      <c r="AG87" s="32"/>
      <c r="AH87" s="15"/>
      <c r="AI87" s="15"/>
      <c r="AJ87" s="15"/>
      <c r="AK87" s="15"/>
      <c r="AL87" s="15"/>
      <c r="AM87" s="15"/>
    </row>
    <row r="88">
      <c r="A88" s="14">
        <v>44403.868198020835</v>
      </c>
      <c r="B88" s="8" t="s">
        <v>73</v>
      </c>
      <c r="C88" s="8">
        <v>36.0</v>
      </c>
      <c r="D88" s="8" t="s">
        <v>142</v>
      </c>
      <c r="E88" s="8" t="s">
        <v>36</v>
      </c>
      <c r="F88" s="8" t="s">
        <v>2430</v>
      </c>
      <c r="G88" s="15"/>
      <c r="H88" s="8" t="s">
        <v>38</v>
      </c>
      <c r="I88" s="8" t="s">
        <v>2578</v>
      </c>
      <c r="J88" s="8" t="s">
        <v>2579</v>
      </c>
      <c r="K88" s="8" t="s">
        <v>890</v>
      </c>
      <c r="L88" s="8" t="s">
        <v>40</v>
      </c>
      <c r="M88" s="8" t="s">
        <v>39</v>
      </c>
      <c r="N88" s="15"/>
      <c r="O88" s="8" t="s">
        <v>145</v>
      </c>
      <c r="P88" s="8" t="s">
        <v>2438</v>
      </c>
      <c r="Q88" s="8" t="s">
        <v>112</v>
      </c>
      <c r="R88" s="8">
        <v>1348.0</v>
      </c>
      <c r="S88" s="8" t="s">
        <v>2580</v>
      </c>
      <c r="T88" s="15"/>
      <c r="U88" s="8">
        <v>15.0</v>
      </c>
      <c r="V88" s="8" t="s">
        <v>147</v>
      </c>
      <c r="W88" s="8" t="s">
        <v>148</v>
      </c>
      <c r="X88" s="8" t="s">
        <v>149</v>
      </c>
      <c r="Y88" s="8" t="s">
        <v>2581</v>
      </c>
      <c r="Z88" s="8" t="s">
        <v>71</v>
      </c>
      <c r="AA88" s="8" t="s">
        <v>61</v>
      </c>
      <c r="AB88" s="15"/>
      <c r="AC88" s="8">
        <v>8.0</v>
      </c>
      <c r="AD88" s="8">
        <v>10.0</v>
      </c>
      <c r="AE88" s="8">
        <v>5.0</v>
      </c>
      <c r="AF88" s="8">
        <v>620.0</v>
      </c>
      <c r="AG88" s="32"/>
      <c r="AH88" s="15"/>
      <c r="AI88" s="15"/>
      <c r="AJ88" s="15"/>
      <c r="AK88" s="15"/>
      <c r="AL88" s="15"/>
      <c r="AM88" s="15"/>
    </row>
    <row r="89">
      <c r="A89" s="14">
        <v>44403.868295555556</v>
      </c>
      <c r="B89" s="8" t="s">
        <v>49</v>
      </c>
      <c r="C89" s="8">
        <v>23.0</v>
      </c>
      <c r="D89" s="8" t="s">
        <v>35</v>
      </c>
      <c r="E89" s="8" t="s">
        <v>36</v>
      </c>
      <c r="F89" s="8" t="s">
        <v>50</v>
      </c>
      <c r="G89" s="8" t="s">
        <v>106</v>
      </c>
      <c r="H89" s="8" t="s">
        <v>38</v>
      </c>
      <c r="I89" s="8" t="s">
        <v>2582</v>
      </c>
      <c r="J89" s="8" t="s">
        <v>2583</v>
      </c>
      <c r="K89" s="8" t="s">
        <v>39</v>
      </c>
      <c r="L89" s="8" t="s">
        <v>40</v>
      </c>
      <c r="M89" s="8" t="s">
        <v>40</v>
      </c>
      <c r="N89" s="15"/>
      <c r="O89" s="15"/>
      <c r="P89" s="8" t="s">
        <v>2584</v>
      </c>
      <c r="Q89" s="8" t="s">
        <v>42</v>
      </c>
      <c r="R89" s="8">
        <v>3600.0</v>
      </c>
      <c r="S89" s="8">
        <v>0.0</v>
      </c>
      <c r="T89" s="8">
        <v>0.0</v>
      </c>
      <c r="U89" s="8">
        <v>12.0</v>
      </c>
      <c r="V89" s="8" t="s">
        <v>1407</v>
      </c>
      <c r="W89" s="8" t="s">
        <v>1408</v>
      </c>
      <c r="X89" s="8" t="s">
        <v>58</v>
      </c>
      <c r="Y89" s="8" t="s">
        <v>185</v>
      </c>
      <c r="Z89" s="8" t="s">
        <v>71</v>
      </c>
      <c r="AA89" s="8" t="s">
        <v>61</v>
      </c>
      <c r="AB89" s="15"/>
      <c r="AC89" s="8">
        <v>8.0</v>
      </c>
      <c r="AD89" s="8" t="s">
        <v>1409</v>
      </c>
      <c r="AE89" s="8">
        <v>0.0</v>
      </c>
      <c r="AF89" s="8">
        <v>3000.0</v>
      </c>
      <c r="AG89" s="32"/>
      <c r="AH89" s="15"/>
      <c r="AI89" s="15"/>
      <c r="AJ89" s="15"/>
      <c r="AK89" s="15"/>
      <c r="AL89" s="15"/>
      <c r="AM89" s="15"/>
    </row>
    <row r="90">
      <c r="A90" s="14">
        <v>44403.86879903935</v>
      </c>
      <c r="B90" s="8" t="s">
        <v>73</v>
      </c>
      <c r="C90" s="8">
        <v>24.0</v>
      </c>
      <c r="D90" s="8" t="s">
        <v>35</v>
      </c>
      <c r="E90" s="8" t="s">
        <v>36</v>
      </c>
      <c r="F90" s="8" t="s">
        <v>50</v>
      </c>
      <c r="G90" s="8" t="s">
        <v>99</v>
      </c>
      <c r="H90" s="8" t="s">
        <v>38</v>
      </c>
      <c r="I90" s="8" t="s">
        <v>2585</v>
      </c>
      <c r="J90" s="8" t="s">
        <v>2444</v>
      </c>
      <c r="K90" s="8" t="s">
        <v>39</v>
      </c>
      <c r="L90" s="8" t="s">
        <v>40</v>
      </c>
      <c r="M90" s="8" t="s">
        <v>40</v>
      </c>
      <c r="N90" s="15"/>
      <c r="O90" s="15"/>
      <c r="P90" s="8" t="s">
        <v>2586</v>
      </c>
      <c r="Q90" s="8" t="s">
        <v>42</v>
      </c>
      <c r="R90" s="8">
        <v>3640.0</v>
      </c>
      <c r="S90" s="8">
        <v>0.0</v>
      </c>
      <c r="T90" s="8">
        <v>2000.0</v>
      </c>
      <c r="U90" s="8">
        <v>14.0</v>
      </c>
      <c r="V90" s="8" t="s">
        <v>1764</v>
      </c>
      <c r="W90" s="8" t="s">
        <v>1765</v>
      </c>
      <c r="X90" s="8" t="s">
        <v>58</v>
      </c>
      <c r="Y90" s="8" t="s">
        <v>80</v>
      </c>
      <c r="Z90" s="8" t="s">
        <v>90</v>
      </c>
      <c r="AA90" s="8" t="s">
        <v>91</v>
      </c>
      <c r="AB90" s="15"/>
      <c r="AC90" s="8">
        <v>2.0</v>
      </c>
      <c r="AD90" s="8">
        <v>1.0</v>
      </c>
      <c r="AE90" s="8">
        <v>1.0</v>
      </c>
      <c r="AF90" s="8">
        <v>3400.0</v>
      </c>
      <c r="AG90" s="32"/>
      <c r="AH90" s="15"/>
      <c r="AI90" s="15"/>
      <c r="AJ90" s="15"/>
      <c r="AK90" s="15"/>
      <c r="AL90" s="15"/>
      <c r="AM90" s="15"/>
    </row>
    <row r="91">
      <c r="A91" s="14">
        <v>44403.87061484954</v>
      </c>
      <c r="B91" s="8" t="s">
        <v>49</v>
      </c>
      <c r="C91" s="8">
        <v>38.0</v>
      </c>
      <c r="D91" s="8" t="s">
        <v>35</v>
      </c>
      <c r="E91" s="8" t="s">
        <v>36</v>
      </c>
      <c r="F91" s="8" t="s">
        <v>50</v>
      </c>
      <c r="G91" s="8" t="s">
        <v>206</v>
      </c>
      <c r="H91" s="8" t="s">
        <v>38</v>
      </c>
      <c r="I91" s="8" t="s">
        <v>342</v>
      </c>
      <c r="J91" s="8" t="s">
        <v>2587</v>
      </c>
      <c r="K91" s="8" t="s">
        <v>40</v>
      </c>
      <c r="L91" s="8" t="s">
        <v>40</v>
      </c>
      <c r="M91" s="8" t="s">
        <v>40</v>
      </c>
      <c r="N91" s="15"/>
      <c r="O91" s="15"/>
      <c r="P91" s="8" t="s">
        <v>2588</v>
      </c>
      <c r="Q91" s="8" t="s">
        <v>42</v>
      </c>
      <c r="R91" s="8">
        <v>10000.0</v>
      </c>
      <c r="S91" s="8">
        <v>10000.0</v>
      </c>
      <c r="T91" s="8">
        <v>0.0</v>
      </c>
      <c r="U91" s="8">
        <v>14.0</v>
      </c>
      <c r="V91" s="8" t="s">
        <v>67</v>
      </c>
      <c r="W91" s="8" t="s">
        <v>888</v>
      </c>
      <c r="X91" s="8" t="s">
        <v>50</v>
      </c>
      <c r="Y91" s="8" t="s">
        <v>89</v>
      </c>
      <c r="Z91" s="8" t="s">
        <v>47</v>
      </c>
      <c r="AA91" s="8" t="s">
        <v>61</v>
      </c>
      <c r="AB91" s="15"/>
      <c r="AC91" s="8">
        <v>8.0</v>
      </c>
      <c r="AD91" s="8">
        <v>15.0</v>
      </c>
      <c r="AE91" s="8">
        <v>3.0</v>
      </c>
      <c r="AF91" s="8">
        <v>2500.0</v>
      </c>
      <c r="AG91" s="32"/>
      <c r="AH91" s="15"/>
      <c r="AI91" s="15"/>
      <c r="AJ91" s="15"/>
      <c r="AK91" s="15"/>
      <c r="AL91" s="15"/>
      <c r="AM91" s="15"/>
    </row>
    <row r="92">
      <c r="A92" s="14">
        <v>44403.87064422454</v>
      </c>
      <c r="B92" s="8" t="s">
        <v>49</v>
      </c>
      <c r="C92" s="8">
        <v>23.0</v>
      </c>
      <c r="D92" s="8" t="s">
        <v>35</v>
      </c>
      <c r="E92" s="8" t="s">
        <v>425</v>
      </c>
      <c r="F92" s="8" t="s">
        <v>426</v>
      </c>
      <c r="G92" s="8" t="s">
        <v>2302</v>
      </c>
      <c r="H92" s="8" t="s">
        <v>38</v>
      </c>
      <c r="I92" s="8" t="s">
        <v>2589</v>
      </c>
      <c r="J92" s="8" t="s">
        <v>2590</v>
      </c>
      <c r="K92" s="8" t="s">
        <v>39</v>
      </c>
      <c r="L92" s="8" t="s">
        <v>40</v>
      </c>
      <c r="M92" s="8" t="s">
        <v>40</v>
      </c>
      <c r="N92" s="15"/>
      <c r="O92" s="15"/>
      <c r="P92" s="8" t="s">
        <v>128</v>
      </c>
      <c r="Q92" s="8" t="s">
        <v>112</v>
      </c>
      <c r="R92" s="8">
        <v>10500.0</v>
      </c>
      <c r="S92" s="8">
        <v>30000.0</v>
      </c>
      <c r="T92" s="8">
        <v>40000.0</v>
      </c>
      <c r="U92" s="8">
        <v>15.0</v>
      </c>
      <c r="V92" s="8" t="s">
        <v>2330</v>
      </c>
      <c r="W92" s="8" t="s">
        <v>1388</v>
      </c>
      <c r="X92" s="8" t="s">
        <v>2331</v>
      </c>
      <c r="Y92" s="8" t="s">
        <v>185</v>
      </c>
      <c r="Z92" s="8" t="s">
        <v>90</v>
      </c>
      <c r="AA92" s="8" t="s">
        <v>61</v>
      </c>
      <c r="AB92" s="15"/>
      <c r="AC92" s="8">
        <v>8.0</v>
      </c>
      <c r="AD92" s="8">
        <v>1.0</v>
      </c>
      <c r="AE92" s="8">
        <v>0.0</v>
      </c>
      <c r="AF92" s="8">
        <v>15000.0</v>
      </c>
      <c r="AG92" s="32"/>
      <c r="AH92" s="15"/>
      <c r="AI92" s="15"/>
      <c r="AJ92" s="15"/>
      <c r="AK92" s="15"/>
      <c r="AL92" s="15"/>
      <c r="AM92" s="15"/>
    </row>
    <row r="93">
      <c r="A93" s="14">
        <v>44403.87610173611</v>
      </c>
      <c r="B93" s="8" t="s">
        <v>49</v>
      </c>
      <c r="C93" s="8">
        <v>31.0</v>
      </c>
      <c r="D93" s="8" t="s">
        <v>35</v>
      </c>
      <c r="E93" s="8" t="s">
        <v>36</v>
      </c>
      <c r="F93" s="8" t="s">
        <v>2544</v>
      </c>
      <c r="G93" s="8" t="s">
        <v>2544</v>
      </c>
      <c r="H93" s="8" t="s">
        <v>247</v>
      </c>
      <c r="I93" s="8" t="s">
        <v>2591</v>
      </c>
      <c r="J93" s="8" t="s">
        <v>981</v>
      </c>
      <c r="K93" s="8" t="s">
        <v>39</v>
      </c>
      <c r="L93" s="8" t="s">
        <v>40</v>
      </c>
      <c r="M93" s="8" t="s">
        <v>40</v>
      </c>
      <c r="N93" s="15"/>
      <c r="O93" s="8" t="s">
        <v>1160</v>
      </c>
      <c r="P93" s="8" t="s">
        <v>119</v>
      </c>
      <c r="Q93" s="8" t="s">
        <v>42</v>
      </c>
      <c r="R93" s="8">
        <v>7051.0</v>
      </c>
      <c r="S93" s="8">
        <v>14102.0</v>
      </c>
      <c r="T93" s="8">
        <v>0.0</v>
      </c>
      <c r="U93" s="8">
        <v>15.0</v>
      </c>
      <c r="V93" s="8" t="s">
        <v>1161</v>
      </c>
      <c r="W93" s="8" t="s">
        <v>1162</v>
      </c>
      <c r="X93" s="8" t="s">
        <v>58</v>
      </c>
      <c r="Y93" s="8" t="s">
        <v>80</v>
      </c>
      <c r="Z93" s="8" t="s">
        <v>132</v>
      </c>
      <c r="AA93" s="8" t="s">
        <v>133</v>
      </c>
      <c r="AB93" s="15"/>
      <c r="AC93" s="8">
        <v>6.0</v>
      </c>
      <c r="AD93" s="8">
        <v>6.5</v>
      </c>
      <c r="AE93" s="8">
        <v>3.0</v>
      </c>
      <c r="AF93" s="8">
        <v>2800.0</v>
      </c>
      <c r="AG93" s="32"/>
      <c r="AH93" s="15"/>
      <c r="AI93" s="15"/>
      <c r="AJ93" s="15"/>
      <c r="AK93" s="15"/>
      <c r="AL93" s="15"/>
      <c r="AM93" s="15"/>
    </row>
    <row r="94">
      <c r="A94" s="14">
        <v>44403.87644195602</v>
      </c>
      <c r="B94" s="8" t="s">
        <v>49</v>
      </c>
      <c r="C94" s="8">
        <v>24.0</v>
      </c>
      <c r="D94" s="8" t="s">
        <v>35</v>
      </c>
      <c r="E94" s="8" t="s">
        <v>36</v>
      </c>
      <c r="F94" s="8" t="s">
        <v>50</v>
      </c>
      <c r="G94" s="8" t="s">
        <v>331</v>
      </c>
      <c r="H94" s="8" t="s">
        <v>38</v>
      </c>
      <c r="I94" s="8" t="s">
        <v>2592</v>
      </c>
      <c r="J94" s="8" t="s">
        <v>2563</v>
      </c>
      <c r="K94" s="8" t="s">
        <v>39</v>
      </c>
      <c r="L94" s="8" t="s">
        <v>40</v>
      </c>
      <c r="M94" s="8" t="s">
        <v>40</v>
      </c>
      <c r="N94" s="15"/>
      <c r="O94" s="15"/>
      <c r="P94" s="8" t="s">
        <v>328</v>
      </c>
      <c r="Q94" s="8" t="s">
        <v>42</v>
      </c>
      <c r="R94" s="8">
        <v>3800.0</v>
      </c>
      <c r="S94" s="8">
        <v>0.0</v>
      </c>
      <c r="T94" s="8">
        <v>0.0</v>
      </c>
      <c r="U94" s="8">
        <v>8.0</v>
      </c>
      <c r="V94" s="8" t="s">
        <v>329</v>
      </c>
      <c r="W94" s="8" t="s">
        <v>2593</v>
      </c>
      <c r="X94" s="8" t="s">
        <v>331</v>
      </c>
      <c r="Y94" s="8" t="s">
        <v>80</v>
      </c>
      <c r="Z94" s="8" t="s">
        <v>71</v>
      </c>
      <c r="AA94" s="8" t="s">
        <v>61</v>
      </c>
      <c r="AB94" s="15"/>
      <c r="AC94" s="8">
        <v>5.0</v>
      </c>
      <c r="AD94" s="8">
        <v>1.0</v>
      </c>
      <c r="AE94" s="8">
        <v>2.0</v>
      </c>
      <c r="AF94" s="8">
        <v>1300.0</v>
      </c>
      <c r="AG94" s="32"/>
      <c r="AH94" s="15"/>
      <c r="AI94" s="15"/>
      <c r="AJ94" s="15"/>
      <c r="AK94" s="15"/>
      <c r="AL94" s="15"/>
      <c r="AM94" s="15"/>
    </row>
    <row r="95">
      <c r="A95" s="14">
        <v>44403.87644930556</v>
      </c>
      <c r="B95" s="8" t="s">
        <v>49</v>
      </c>
      <c r="C95" s="8">
        <v>25.0</v>
      </c>
      <c r="D95" s="8" t="s">
        <v>35</v>
      </c>
      <c r="E95" s="8" t="s">
        <v>36</v>
      </c>
      <c r="F95" s="8" t="s">
        <v>412</v>
      </c>
      <c r="G95" s="8" t="s">
        <v>625</v>
      </c>
      <c r="H95" s="8" t="s">
        <v>38</v>
      </c>
      <c r="I95" s="8" t="s">
        <v>2594</v>
      </c>
      <c r="J95" s="8" t="s">
        <v>2595</v>
      </c>
      <c r="K95" s="8" t="s">
        <v>39</v>
      </c>
      <c r="L95" s="8" t="s">
        <v>40</v>
      </c>
      <c r="M95" s="8" t="s">
        <v>40</v>
      </c>
      <c r="N95" s="15"/>
      <c r="O95" s="15"/>
      <c r="P95" s="8" t="s">
        <v>627</v>
      </c>
      <c r="Q95" s="8" t="s">
        <v>42</v>
      </c>
      <c r="R95" s="8">
        <v>2000.0</v>
      </c>
      <c r="S95" s="8">
        <v>0.0</v>
      </c>
      <c r="T95" s="8">
        <v>0.0</v>
      </c>
      <c r="U95" s="8">
        <v>14.0</v>
      </c>
      <c r="V95" s="8" t="s">
        <v>628</v>
      </c>
      <c r="W95" s="8" t="s">
        <v>629</v>
      </c>
      <c r="X95" s="8" t="s">
        <v>630</v>
      </c>
      <c r="Y95" s="8" t="s">
        <v>481</v>
      </c>
      <c r="Z95" s="8" t="s">
        <v>71</v>
      </c>
      <c r="AA95" s="8" t="s">
        <v>61</v>
      </c>
      <c r="AB95" s="8" t="s">
        <v>631</v>
      </c>
      <c r="AC95" s="8">
        <v>3.0</v>
      </c>
      <c r="AD95" s="8" t="s">
        <v>632</v>
      </c>
      <c r="AE95" s="8">
        <v>32.0</v>
      </c>
      <c r="AF95" s="8">
        <v>2000.0</v>
      </c>
      <c r="AG95" s="32"/>
      <c r="AH95" s="15"/>
      <c r="AI95" s="15"/>
      <c r="AJ95" s="15"/>
      <c r="AK95" s="15"/>
      <c r="AL95" s="15"/>
      <c r="AM95" s="15"/>
    </row>
    <row r="96">
      <c r="A96" s="14">
        <v>44403.876970694444</v>
      </c>
      <c r="B96" s="8" t="s">
        <v>49</v>
      </c>
      <c r="C96" s="8">
        <v>34.0</v>
      </c>
      <c r="D96" s="8" t="s">
        <v>35</v>
      </c>
      <c r="E96" s="8" t="s">
        <v>36</v>
      </c>
      <c r="F96" s="8" t="s">
        <v>124</v>
      </c>
      <c r="G96" s="8" t="s">
        <v>124</v>
      </c>
      <c r="H96" s="8" t="s">
        <v>38</v>
      </c>
      <c r="I96" s="8" t="s">
        <v>2596</v>
      </c>
      <c r="J96" s="8" t="s">
        <v>2385</v>
      </c>
      <c r="K96" s="8" t="s">
        <v>39</v>
      </c>
      <c r="L96" s="8" t="s">
        <v>40</v>
      </c>
      <c r="M96" s="8" t="s">
        <v>40</v>
      </c>
      <c r="N96" s="15"/>
      <c r="O96" s="15"/>
      <c r="P96" s="8" t="s">
        <v>119</v>
      </c>
      <c r="Q96" s="8" t="s">
        <v>42</v>
      </c>
      <c r="R96" s="8">
        <v>7200.0</v>
      </c>
      <c r="S96" s="8">
        <v>0.0</v>
      </c>
      <c r="T96" s="8" t="s">
        <v>890</v>
      </c>
      <c r="U96" s="8">
        <v>14.0</v>
      </c>
      <c r="V96" s="8" t="s">
        <v>891</v>
      </c>
      <c r="W96" s="8" t="s">
        <v>892</v>
      </c>
      <c r="X96" s="8" t="s">
        <v>122</v>
      </c>
      <c r="Y96" s="8" t="s">
        <v>116</v>
      </c>
      <c r="Z96" s="8" t="s">
        <v>90</v>
      </c>
      <c r="AA96" s="8" t="s">
        <v>91</v>
      </c>
      <c r="AB96" s="15"/>
      <c r="AC96" s="8">
        <v>3.0</v>
      </c>
      <c r="AD96" s="8">
        <v>9.0</v>
      </c>
      <c r="AE96" s="8">
        <v>3.0</v>
      </c>
      <c r="AF96" s="8">
        <v>2500.0</v>
      </c>
      <c r="AG96" s="32"/>
      <c r="AH96" s="15"/>
      <c r="AI96" s="15"/>
      <c r="AJ96" s="15"/>
      <c r="AK96" s="15"/>
      <c r="AL96" s="15"/>
      <c r="AM96" s="15"/>
    </row>
    <row r="97">
      <c r="A97" s="14">
        <v>44403.87701273148</v>
      </c>
      <c r="B97" s="8" t="s">
        <v>49</v>
      </c>
      <c r="C97" s="8">
        <v>25.0</v>
      </c>
      <c r="D97" s="8" t="s">
        <v>35</v>
      </c>
      <c r="E97" s="8" t="s">
        <v>36</v>
      </c>
      <c r="F97" s="8" t="s">
        <v>349</v>
      </c>
      <c r="G97" s="8" t="s">
        <v>349</v>
      </c>
      <c r="H97" s="8" t="s">
        <v>38</v>
      </c>
      <c r="I97" s="8" t="s">
        <v>2413</v>
      </c>
      <c r="J97" s="8" t="s">
        <v>161</v>
      </c>
      <c r="K97" s="8" t="s">
        <v>39</v>
      </c>
      <c r="L97" s="8" t="s">
        <v>40</v>
      </c>
      <c r="M97" s="8" t="s">
        <v>40</v>
      </c>
      <c r="N97" s="15"/>
      <c r="O97" s="15"/>
      <c r="P97" s="8" t="s">
        <v>2597</v>
      </c>
      <c r="Q97" s="8" t="s">
        <v>42</v>
      </c>
      <c r="R97" s="8">
        <v>8800.0</v>
      </c>
      <c r="S97" s="8">
        <v>0.0</v>
      </c>
      <c r="T97" s="8">
        <v>0.0</v>
      </c>
      <c r="U97" s="8">
        <v>20.0</v>
      </c>
      <c r="V97" s="8" t="s">
        <v>1637</v>
      </c>
      <c r="W97" s="8" t="s">
        <v>1638</v>
      </c>
      <c r="X97" s="8" t="s">
        <v>58</v>
      </c>
      <c r="Y97" s="8" t="s">
        <v>59</v>
      </c>
      <c r="Z97" s="8" t="s">
        <v>60</v>
      </c>
      <c r="AA97" s="8" t="s">
        <v>133</v>
      </c>
      <c r="AB97" s="15"/>
      <c r="AC97" s="8">
        <v>8.0</v>
      </c>
      <c r="AD97" s="8">
        <v>3.0</v>
      </c>
      <c r="AE97" s="8">
        <v>3.0</v>
      </c>
      <c r="AF97" s="8">
        <v>3200.0</v>
      </c>
      <c r="AG97" s="32"/>
      <c r="AH97" s="15"/>
      <c r="AI97" s="15"/>
      <c r="AJ97" s="15"/>
      <c r="AK97" s="15"/>
      <c r="AL97" s="15"/>
      <c r="AM97" s="15"/>
    </row>
    <row r="98">
      <c r="A98" s="14">
        <v>44403.877066875</v>
      </c>
      <c r="B98" s="8" t="s">
        <v>73</v>
      </c>
      <c r="C98" s="8">
        <v>25.0</v>
      </c>
      <c r="D98" s="8" t="s">
        <v>35</v>
      </c>
      <c r="E98" s="8" t="s">
        <v>36</v>
      </c>
      <c r="F98" s="8" t="s">
        <v>50</v>
      </c>
      <c r="G98" s="8" t="s">
        <v>206</v>
      </c>
      <c r="H98" s="8" t="s">
        <v>38</v>
      </c>
      <c r="I98" s="8" t="s">
        <v>2413</v>
      </c>
      <c r="J98" s="8" t="s">
        <v>2598</v>
      </c>
      <c r="K98" s="8" t="s">
        <v>39</v>
      </c>
      <c r="L98" s="8" t="s">
        <v>40</v>
      </c>
      <c r="M98" s="8" t="s">
        <v>40</v>
      </c>
      <c r="N98" s="15"/>
      <c r="O98" s="15"/>
      <c r="P98" s="8" t="s">
        <v>2486</v>
      </c>
      <c r="Q98" s="8" t="s">
        <v>42</v>
      </c>
      <c r="R98" s="8">
        <v>4437.0</v>
      </c>
      <c r="S98" s="8">
        <v>6000.0</v>
      </c>
      <c r="T98" s="15"/>
      <c r="U98" s="8">
        <v>14.0</v>
      </c>
      <c r="V98" s="8" t="s">
        <v>1652</v>
      </c>
      <c r="W98" s="8" t="s">
        <v>2599</v>
      </c>
      <c r="X98" s="8" t="s">
        <v>124</v>
      </c>
      <c r="Y98" s="8" t="s">
        <v>297</v>
      </c>
      <c r="Z98" s="8" t="s">
        <v>60</v>
      </c>
      <c r="AA98" s="8" t="s">
        <v>91</v>
      </c>
      <c r="AB98" s="15"/>
      <c r="AC98" s="8">
        <v>7.0</v>
      </c>
      <c r="AD98" s="8">
        <v>2.0</v>
      </c>
      <c r="AE98" s="8">
        <v>1.0</v>
      </c>
      <c r="AF98" s="8">
        <v>3600.0</v>
      </c>
      <c r="AG98" s="32"/>
      <c r="AH98" s="15"/>
      <c r="AI98" s="15"/>
      <c r="AJ98" s="15"/>
      <c r="AK98" s="15"/>
      <c r="AL98" s="15"/>
      <c r="AM98" s="15"/>
    </row>
    <row r="99">
      <c r="A99" s="14">
        <v>44403.8777525926</v>
      </c>
      <c r="B99" s="8" t="s">
        <v>34</v>
      </c>
      <c r="C99" s="8">
        <v>21.0</v>
      </c>
      <c r="D99" s="8" t="s">
        <v>35</v>
      </c>
      <c r="E99" s="8" t="s">
        <v>36</v>
      </c>
      <c r="F99" s="15"/>
      <c r="G99" s="15"/>
      <c r="H99" s="8" t="s">
        <v>38</v>
      </c>
      <c r="I99" s="8" t="s">
        <v>2600</v>
      </c>
      <c r="J99" s="15"/>
      <c r="K99" s="8" t="s">
        <v>39</v>
      </c>
      <c r="L99" s="8" t="s">
        <v>40</v>
      </c>
      <c r="M99" s="8" t="s">
        <v>40</v>
      </c>
      <c r="N99" s="15"/>
      <c r="O99" s="15"/>
      <c r="P99" s="8" t="s">
        <v>2601</v>
      </c>
      <c r="Q99" s="8" t="s">
        <v>42</v>
      </c>
      <c r="R99" s="8">
        <v>27000.0</v>
      </c>
      <c r="S99" s="8">
        <v>0.0</v>
      </c>
      <c r="T99" s="8">
        <v>0.0</v>
      </c>
      <c r="U99" s="8">
        <v>0.0</v>
      </c>
      <c r="V99" s="8" t="s">
        <v>890</v>
      </c>
      <c r="W99" s="8" t="s">
        <v>712</v>
      </c>
      <c r="X99" s="8" t="s">
        <v>2137</v>
      </c>
      <c r="Y99" s="8" t="s">
        <v>70</v>
      </c>
      <c r="Z99" s="8" t="s">
        <v>71</v>
      </c>
      <c r="AA99" s="8" t="s">
        <v>91</v>
      </c>
      <c r="AB99" s="15"/>
      <c r="AC99" s="8">
        <v>8.0</v>
      </c>
      <c r="AD99" s="8">
        <v>1.0</v>
      </c>
      <c r="AE99" s="8">
        <v>2.0</v>
      </c>
      <c r="AF99" s="8">
        <v>5500.0</v>
      </c>
      <c r="AG99" s="32"/>
      <c r="AH99" s="15"/>
      <c r="AI99" s="15"/>
      <c r="AJ99" s="15"/>
      <c r="AK99" s="15"/>
      <c r="AL99" s="15"/>
      <c r="AM99" s="15"/>
    </row>
    <row r="100">
      <c r="A100" s="14">
        <v>44403.87808490741</v>
      </c>
      <c r="B100" s="8" t="s">
        <v>49</v>
      </c>
      <c r="C100" s="8">
        <v>24.0</v>
      </c>
      <c r="D100" s="8" t="s">
        <v>35</v>
      </c>
      <c r="E100" s="8" t="s">
        <v>36</v>
      </c>
      <c r="F100" s="8" t="s">
        <v>50</v>
      </c>
      <c r="G100" s="8" t="s">
        <v>106</v>
      </c>
      <c r="H100" s="8" t="s">
        <v>38</v>
      </c>
      <c r="I100" s="8" t="s">
        <v>2368</v>
      </c>
      <c r="J100" s="8" t="s">
        <v>944</v>
      </c>
      <c r="K100" s="8" t="s">
        <v>39</v>
      </c>
      <c r="L100" s="8" t="s">
        <v>40</v>
      </c>
      <c r="M100" s="8" t="s">
        <v>40</v>
      </c>
      <c r="N100" s="15"/>
      <c r="O100" s="15"/>
      <c r="P100" s="8" t="s">
        <v>146</v>
      </c>
      <c r="Q100" s="8" t="s">
        <v>42</v>
      </c>
      <c r="R100" s="8">
        <v>6000.0</v>
      </c>
      <c r="S100" s="8">
        <v>0.0</v>
      </c>
      <c r="T100" s="8">
        <v>0.0</v>
      </c>
      <c r="U100" s="8">
        <v>10.0</v>
      </c>
      <c r="V100" s="8" t="s">
        <v>999</v>
      </c>
      <c r="W100" s="8" t="s">
        <v>2180</v>
      </c>
      <c r="X100" s="8" t="s">
        <v>124</v>
      </c>
      <c r="Y100" s="8" t="s">
        <v>2181</v>
      </c>
      <c r="Z100" s="8" t="s">
        <v>132</v>
      </c>
      <c r="AA100" s="8" t="s">
        <v>91</v>
      </c>
      <c r="AB100" s="15"/>
      <c r="AC100" s="8">
        <v>7.0</v>
      </c>
      <c r="AD100" s="8">
        <v>2.0</v>
      </c>
      <c r="AE100" s="8">
        <v>2.0</v>
      </c>
      <c r="AF100" s="8">
        <v>5000.0</v>
      </c>
      <c r="AG100" s="32"/>
      <c r="AH100" s="15"/>
      <c r="AI100" s="15"/>
      <c r="AJ100" s="15"/>
      <c r="AK100" s="15"/>
      <c r="AL100" s="15"/>
      <c r="AM100" s="15"/>
    </row>
    <row r="101">
      <c r="A101" s="14">
        <v>44403.878106006945</v>
      </c>
      <c r="B101" s="8" t="s">
        <v>49</v>
      </c>
      <c r="C101" s="8">
        <v>28.0</v>
      </c>
      <c r="D101" s="8" t="s">
        <v>35</v>
      </c>
      <c r="E101" s="8" t="s">
        <v>246</v>
      </c>
      <c r="F101" s="15"/>
      <c r="G101" s="8" t="s">
        <v>246</v>
      </c>
      <c r="H101" s="8" t="s">
        <v>38</v>
      </c>
      <c r="I101" s="8" t="s">
        <v>2368</v>
      </c>
      <c r="J101" s="8" t="s">
        <v>2602</v>
      </c>
      <c r="K101" s="8" t="s">
        <v>39</v>
      </c>
      <c r="L101" s="8" t="s">
        <v>40</v>
      </c>
      <c r="M101" s="8" t="s">
        <v>40</v>
      </c>
      <c r="N101" s="15"/>
      <c r="O101" s="15"/>
      <c r="P101" s="8" t="s">
        <v>2603</v>
      </c>
      <c r="Q101" s="8" t="s">
        <v>250</v>
      </c>
      <c r="R101" s="8">
        <v>6100.0</v>
      </c>
      <c r="S101" s="8">
        <v>15000.0</v>
      </c>
      <c r="T101" s="8">
        <v>0.0</v>
      </c>
      <c r="U101" s="8">
        <v>18.0</v>
      </c>
      <c r="V101" s="8" t="s">
        <v>2100</v>
      </c>
      <c r="W101" s="8" t="s">
        <v>1790</v>
      </c>
      <c r="X101" s="8" t="s">
        <v>246</v>
      </c>
      <c r="Y101" s="8" t="s">
        <v>481</v>
      </c>
      <c r="Z101" s="8" t="s">
        <v>81</v>
      </c>
      <c r="AA101" s="8" t="s">
        <v>91</v>
      </c>
      <c r="AB101" s="15"/>
      <c r="AC101" s="8">
        <v>8.0</v>
      </c>
      <c r="AD101" s="8">
        <v>5.0</v>
      </c>
      <c r="AE101" s="8">
        <v>0.0</v>
      </c>
      <c r="AF101" s="8">
        <v>4400.0</v>
      </c>
      <c r="AG101" s="32"/>
      <c r="AH101" s="15"/>
      <c r="AI101" s="15"/>
      <c r="AJ101" s="15"/>
      <c r="AK101" s="15"/>
      <c r="AL101" s="15"/>
      <c r="AM101" s="15"/>
    </row>
    <row r="102">
      <c r="A102" s="14">
        <v>44403.87910337963</v>
      </c>
      <c r="B102" s="8" t="s">
        <v>49</v>
      </c>
      <c r="C102" s="8">
        <v>24.0</v>
      </c>
      <c r="D102" s="8" t="s">
        <v>35</v>
      </c>
      <c r="E102" s="8" t="s">
        <v>36</v>
      </c>
      <c r="F102" s="8" t="s">
        <v>363</v>
      </c>
      <c r="G102" s="8" t="s">
        <v>527</v>
      </c>
      <c r="H102" s="8" t="s">
        <v>38</v>
      </c>
      <c r="I102" s="8" t="s">
        <v>2604</v>
      </c>
      <c r="J102" s="8" t="s">
        <v>944</v>
      </c>
      <c r="K102" s="8" t="s">
        <v>39</v>
      </c>
      <c r="L102" s="8" t="s">
        <v>40</v>
      </c>
      <c r="M102" s="8" t="s">
        <v>40</v>
      </c>
      <c r="N102" s="15"/>
      <c r="O102" s="15"/>
      <c r="P102" s="8" t="s">
        <v>746</v>
      </c>
      <c r="Q102" s="8" t="s">
        <v>42</v>
      </c>
      <c r="R102" s="8">
        <v>4750.0</v>
      </c>
      <c r="S102" s="8">
        <v>7125.0</v>
      </c>
      <c r="T102" s="8">
        <v>0.0</v>
      </c>
      <c r="U102" s="8">
        <v>12.0</v>
      </c>
      <c r="V102" s="8" t="s">
        <v>1844</v>
      </c>
      <c r="W102" s="8" t="s">
        <v>1845</v>
      </c>
      <c r="X102" s="8" t="s">
        <v>79</v>
      </c>
      <c r="Y102" s="8" t="s">
        <v>155</v>
      </c>
      <c r="Z102" s="8" t="s">
        <v>132</v>
      </c>
      <c r="AA102" s="8" t="s">
        <v>61</v>
      </c>
      <c r="AB102" s="15"/>
      <c r="AC102" s="8">
        <v>7.0</v>
      </c>
      <c r="AD102" s="8">
        <v>2.0</v>
      </c>
      <c r="AE102" s="8">
        <v>1.0</v>
      </c>
      <c r="AF102" s="8">
        <v>3500.0</v>
      </c>
      <c r="AG102" s="32"/>
      <c r="AH102" s="15"/>
      <c r="AI102" s="15"/>
      <c r="AJ102" s="15"/>
      <c r="AK102" s="15"/>
      <c r="AL102" s="15"/>
      <c r="AM102" s="15"/>
    </row>
    <row r="103">
      <c r="A103" s="14">
        <v>44403.87982177083</v>
      </c>
      <c r="B103" s="8" t="s">
        <v>49</v>
      </c>
      <c r="C103" s="8">
        <v>25.0</v>
      </c>
      <c r="D103" s="8" t="s">
        <v>35</v>
      </c>
      <c r="E103" s="8" t="s">
        <v>36</v>
      </c>
      <c r="F103" s="8" t="s">
        <v>172</v>
      </c>
      <c r="G103" s="8" t="s">
        <v>173</v>
      </c>
      <c r="H103" s="8" t="s">
        <v>38</v>
      </c>
      <c r="I103" s="8" t="s">
        <v>2413</v>
      </c>
      <c r="J103" s="8" t="s">
        <v>229</v>
      </c>
      <c r="K103" s="8" t="s">
        <v>39</v>
      </c>
      <c r="L103" s="8" t="s">
        <v>40</v>
      </c>
      <c r="M103" s="8" t="s">
        <v>40</v>
      </c>
      <c r="N103" s="15"/>
      <c r="O103" s="15"/>
      <c r="P103" s="8" t="s">
        <v>152</v>
      </c>
      <c r="Q103" s="8" t="s">
        <v>42</v>
      </c>
      <c r="R103" s="8">
        <v>4100.0</v>
      </c>
      <c r="S103" s="8">
        <v>0.0</v>
      </c>
      <c r="T103" s="8">
        <v>0.0</v>
      </c>
      <c r="U103" s="8">
        <v>14.0</v>
      </c>
      <c r="V103" s="8" t="s">
        <v>989</v>
      </c>
      <c r="W103" s="8" t="s">
        <v>1859</v>
      </c>
      <c r="X103" s="8" t="s">
        <v>124</v>
      </c>
      <c r="Y103" s="8" t="s">
        <v>159</v>
      </c>
      <c r="Z103" s="8" t="s">
        <v>60</v>
      </c>
      <c r="AA103" s="8" t="s">
        <v>91</v>
      </c>
      <c r="AB103" s="15"/>
      <c r="AC103" s="8">
        <v>8.0</v>
      </c>
      <c r="AD103" s="8">
        <v>1.25</v>
      </c>
      <c r="AE103" s="8">
        <v>0.0</v>
      </c>
      <c r="AF103" s="8">
        <v>3500.0</v>
      </c>
      <c r="AG103" s="32"/>
      <c r="AH103" s="15"/>
      <c r="AI103" s="15"/>
      <c r="AJ103" s="15"/>
      <c r="AK103" s="15"/>
      <c r="AL103" s="15"/>
      <c r="AM103" s="15"/>
    </row>
    <row r="104">
      <c r="A104" s="14">
        <v>44403.880777384256</v>
      </c>
      <c r="B104" s="8" t="s">
        <v>49</v>
      </c>
      <c r="C104" s="8">
        <v>23.0</v>
      </c>
      <c r="D104" s="8" t="s">
        <v>35</v>
      </c>
      <c r="E104" s="8" t="s">
        <v>36</v>
      </c>
      <c r="F104" s="8" t="s">
        <v>164</v>
      </c>
      <c r="G104" s="8" t="s">
        <v>165</v>
      </c>
      <c r="H104" s="8" t="s">
        <v>38</v>
      </c>
      <c r="I104" s="8" t="s">
        <v>2605</v>
      </c>
      <c r="J104" s="8" t="s">
        <v>100</v>
      </c>
      <c r="K104" s="8" t="s">
        <v>39</v>
      </c>
      <c r="L104" s="8" t="s">
        <v>39</v>
      </c>
      <c r="M104" s="8" t="s">
        <v>40</v>
      </c>
      <c r="N104" s="8" t="s">
        <v>240</v>
      </c>
      <c r="O104" s="15"/>
      <c r="P104" s="8" t="s">
        <v>241</v>
      </c>
      <c r="Q104" s="8" t="s">
        <v>42</v>
      </c>
      <c r="R104" s="8">
        <v>5100.0</v>
      </c>
      <c r="S104" s="8">
        <v>0.0</v>
      </c>
      <c r="T104" s="8">
        <v>0.0</v>
      </c>
      <c r="U104" s="8">
        <v>15.0</v>
      </c>
      <c r="V104" s="8" t="s">
        <v>242</v>
      </c>
      <c r="W104" s="8" t="s">
        <v>243</v>
      </c>
      <c r="X104" s="8" t="s">
        <v>122</v>
      </c>
      <c r="Y104" s="8" t="s">
        <v>70</v>
      </c>
      <c r="Z104" s="8" t="s">
        <v>90</v>
      </c>
      <c r="AA104" s="8" t="s">
        <v>133</v>
      </c>
      <c r="AB104" s="8" t="s">
        <v>244</v>
      </c>
      <c r="AC104" s="8">
        <v>8.0</v>
      </c>
      <c r="AD104" s="8" t="s">
        <v>245</v>
      </c>
      <c r="AE104" s="8">
        <v>1.0</v>
      </c>
      <c r="AF104" s="8">
        <v>1000.0</v>
      </c>
      <c r="AG104" s="32"/>
      <c r="AH104" s="15"/>
      <c r="AI104" s="15"/>
      <c r="AJ104" s="15"/>
      <c r="AK104" s="15"/>
      <c r="AL104" s="15"/>
      <c r="AM104" s="15"/>
    </row>
    <row r="105">
      <c r="A105" s="14">
        <v>44403.881180729164</v>
      </c>
      <c r="B105" s="8" t="s">
        <v>49</v>
      </c>
      <c r="C105" s="8">
        <v>37.0</v>
      </c>
      <c r="D105" s="8" t="s">
        <v>35</v>
      </c>
      <c r="E105" s="8" t="s">
        <v>36</v>
      </c>
      <c r="F105" s="8" t="s">
        <v>50</v>
      </c>
      <c r="G105" s="8" t="s">
        <v>2606</v>
      </c>
      <c r="H105" s="8" t="s">
        <v>38</v>
      </c>
      <c r="I105" s="8" t="s">
        <v>2607</v>
      </c>
      <c r="J105" s="8" t="s">
        <v>2608</v>
      </c>
      <c r="K105" s="8" t="s">
        <v>40</v>
      </c>
      <c r="L105" s="8" t="s">
        <v>40</v>
      </c>
      <c r="M105" s="8" t="s">
        <v>40</v>
      </c>
      <c r="N105" s="15"/>
      <c r="O105" s="15"/>
      <c r="P105" s="8" t="s">
        <v>2609</v>
      </c>
      <c r="Q105" s="8" t="s">
        <v>42</v>
      </c>
      <c r="R105" s="8">
        <v>8190.0</v>
      </c>
      <c r="S105" s="8">
        <v>0.0</v>
      </c>
      <c r="T105" s="8">
        <v>0.0</v>
      </c>
      <c r="U105" s="8">
        <v>18.0</v>
      </c>
      <c r="V105" s="8" t="s">
        <v>657</v>
      </c>
      <c r="W105" s="8" t="s">
        <v>658</v>
      </c>
      <c r="X105" s="8" t="s">
        <v>2466</v>
      </c>
      <c r="Y105" s="8" t="s">
        <v>2610</v>
      </c>
      <c r="Z105" s="8" t="s">
        <v>132</v>
      </c>
      <c r="AA105" s="8" t="s">
        <v>61</v>
      </c>
      <c r="AB105" s="15"/>
      <c r="AC105" s="8">
        <v>7.0</v>
      </c>
      <c r="AD105" s="8">
        <v>14.0</v>
      </c>
      <c r="AE105" s="8">
        <v>7.0</v>
      </c>
      <c r="AF105" s="8">
        <v>2100.0</v>
      </c>
      <c r="AG105" s="32"/>
      <c r="AH105" s="15"/>
      <c r="AI105" s="15"/>
      <c r="AJ105" s="15"/>
      <c r="AK105" s="15"/>
      <c r="AL105" s="15"/>
      <c r="AM105" s="15"/>
    </row>
    <row r="106">
      <c r="A106" s="14">
        <v>44403.88131241898</v>
      </c>
      <c r="B106" s="8" t="s">
        <v>49</v>
      </c>
      <c r="C106" s="8">
        <v>26.0</v>
      </c>
      <c r="D106" s="8" t="s">
        <v>35</v>
      </c>
      <c r="E106" s="8" t="s">
        <v>36</v>
      </c>
      <c r="F106" s="8" t="s">
        <v>50</v>
      </c>
      <c r="G106" s="8" t="s">
        <v>499</v>
      </c>
      <c r="H106" s="8" t="s">
        <v>38</v>
      </c>
      <c r="I106" s="8" t="s">
        <v>2368</v>
      </c>
      <c r="J106" s="8" t="s">
        <v>944</v>
      </c>
      <c r="K106" s="8" t="s">
        <v>39</v>
      </c>
      <c r="L106" s="8" t="s">
        <v>40</v>
      </c>
      <c r="M106" s="8" t="s">
        <v>40</v>
      </c>
      <c r="N106" s="15"/>
      <c r="O106" s="15"/>
      <c r="P106" s="8" t="s">
        <v>746</v>
      </c>
      <c r="Q106" s="8" t="s">
        <v>42</v>
      </c>
      <c r="R106" s="8">
        <v>5016.0</v>
      </c>
      <c r="S106" s="8">
        <v>5016.0</v>
      </c>
      <c r="T106" s="8">
        <v>0.0</v>
      </c>
      <c r="U106" s="8">
        <v>21.0</v>
      </c>
      <c r="V106" s="8" t="s">
        <v>1645</v>
      </c>
      <c r="W106" s="8" t="s">
        <v>1646</v>
      </c>
      <c r="X106" s="8" t="s">
        <v>124</v>
      </c>
      <c r="Y106" s="8" t="s">
        <v>159</v>
      </c>
      <c r="Z106" s="8" t="s">
        <v>60</v>
      </c>
      <c r="AA106" s="8" t="s">
        <v>91</v>
      </c>
      <c r="AB106" s="15"/>
      <c r="AC106" s="8">
        <v>7.0</v>
      </c>
      <c r="AD106" s="8">
        <v>4.0</v>
      </c>
      <c r="AE106" s="8">
        <v>1.0</v>
      </c>
      <c r="AF106" s="8">
        <v>3200.0</v>
      </c>
      <c r="AG106" s="32"/>
      <c r="AH106" s="15"/>
      <c r="AI106" s="15"/>
      <c r="AJ106" s="15"/>
      <c r="AK106" s="15"/>
      <c r="AL106" s="15"/>
      <c r="AM106" s="15"/>
    </row>
    <row r="107">
      <c r="A107" s="14">
        <v>44403.88163267361</v>
      </c>
      <c r="B107" s="8" t="s">
        <v>49</v>
      </c>
      <c r="C107" s="8">
        <v>25.0</v>
      </c>
      <c r="D107" s="8" t="s">
        <v>35</v>
      </c>
      <c r="E107" s="8" t="s">
        <v>36</v>
      </c>
      <c r="F107" s="8" t="s">
        <v>50</v>
      </c>
      <c r="G107" s="8" t="s">
        <v>1476</v>
      </c>
      <c r="H107" s="8" t="s">
        <v>38</v>
      </c>
      <c r="I107" s="8" t="s">
        <v>2611</v>
      </c>
      <c r="J107" s="8" t="s">
        <v>2379</v>
      </c>
      <c r="K107" s="8" t="s">
        <v>39</v>
      </c>
      <c r="L107" s="8" t="s">
        <v>40</v>
      </c>
      <c r="M107" s="8" t="s">
        <v>40</v>
      </c>
      <c r="N107" s="15"/>
      <c r="O107" s="15"/>
      <c r="P107" s="8" t="s">
        <v>584</v>
      </c>
      <c r="Q107" s="8" t="s">
        <v>42</v>
      </c>
      <c r="R107" s="8">
        <v>3300.0</v>
      </c>
      <c r="S107" s="8">
        <v>3750.0</v>
      </c>
      <c r="T107" s="8">
        <v>0.0</v>
      </c>
      <c r="U107" s="8">
        <v>17.0</v>
      </c>
      <c r="V107" s="8" t="s">
        <v>1477</v>
      </c>
      <c r="W107" s="8" t="s">
        <v>1478</v>
      </c>
      <c r="X107" s="8" t="s">
        <v>131</v>
      </c>
      <c r="Y107" s="8" t="s">
        <v>89</v>
      </c>
      <c r="Z107" s="8" t="s">
        <v>71</v>
      </c>
      <c r="AA107" s="8" t="s">
        <v>61</v>
      </c>
      <c r="AB107" s="15"/>
      <c r="AC107" s="8">
        <v>5.0</v>
      </c>
      <c r="AD107" s="8">
        <v>1.0</v>
      </c>
      <c r="AE107" s="8">
        <v>0.0</v>
      </c>
      <c r="AF107" s="8">
        <v>3000.0</v>
      </c>
      <c r="AG107" s="32"/>
      <c r="AH107" s="15"/>
      <c r="AI107" s="15"/>
      <c r="AJ107" s="15"/>
      <c r="AK107" s="15"/>
      <c r="AL107" s="15"/>
      <c r="AM107" s="15"/>
    </row>
    <row r="108">
      <c r="A108" s="14">
        <v>44403.8833641088</v>
      </c>
      <c r="B108" s="8" t="s">
        <v>49</v>
      </c>
      <c r="C108" s="8">
        <v>22.0</v>
      </c>
      <c r="D108" s="8" t="s">
        <v>35</v>
      </c>
      <c r="E108" s="8" t="s">
        <v>36</v>
      </c>
      <c r="F108" s="8" t="s">
        <v>2612</v>
      </c>
      <c r="G108" s="8" t="s">
        <v>2613</v>
      </c>
      <c r="H108" s="8" t="s">
        <v>2614</v>
      </c>
      <c r="I108" s="8" t="s">
        <v>160</v>
      </c>
      <c r="J108" s="8" t="s">
        <v>2421</v>
      </c>
      <c r="K108" s="8" t="s">
        <v>39</v>
      </c>
      <c r="L108" s="8" t="s">
        <v>40</v>
      </c>
      <c r="M108" s="8" t="s">
        <v>40</v>
      </c>
      <c r="N108" s="15"/>
      <c r="O108" s="15"/>
      <c r="P108" s="8" t="s">
        <v>2615</v>
      </c>
      <c r="Q108" s="8" t="s">
        <v>42</v>
      </c>
      <c r="R108" s="8">
        <v>5500.0</v>
      </c>
      <c r="S108" s="8">
        <v>1700.0</v>
      </c>
      <c r="T108" s="8">
        <v>66000.0</v>
      </c>
      <c r="U108" s="8">
        <v>14.0</v>
      </c>
      <c r="V108" s="8" t="s">
        <v>1958</v>
      </c>
      <c r="W108" s="8" t="s">
        <v>1959</v>
      </c>
      <c r="X108" s="8" t="s">
        <v>58</v>
      </c>
      <c r="Y108" s="8" t="s">
        <v>59</v>
      </c>
      <c r="Z108" s="8" t="s">
        <v>71</v>
      </c>
      <c r="AA108" s="8" t="s">
        <v>91</v>
      </c>
      <c r="AB108" s="8" t="s">
        <v>1960</v>
      </c>
      <c r="AC108" s="8">
        <v>7.0</v>
      </c>
      <c r="AD108" s="8">
        <v>2.0</v>
      </c>
      <c r="AE108" s="8">
        <v>0.0</v>
      </c>
      <c r="AF108" s="8">
        <v>3800.0</v>
      </c>
      <c r="AG108" s="32"/>
      <c r="AH108" s="15"/>
      <c r="AI108" s="15"/>
      <c r="AJ108" s="15"/>
      <c r="AK108" s="15"/>
      <c r="AL108" s="15"/>
      <c r="AM108" s="15"/>
    </row>
    <row r="109">
      <c r="A109" s="14">
        <v>44403.883684201384</v>
      </c>
      <c r="B109" s="8" t="s">
        <v>73</v>
      </c>
      <c r="C109" s="8">
        <v>29.0</v>
      </c>
      <c r="D109" s="8" t="s">
        <v>35</v>
      </c>
      <c r="E109" s="8" t="s">
        <v>36</v>
      </c>
      <c r="F109" s="8" t="s">
        <v>50</v>
      </c>
      <c r="G109" s="8" t="s">
        <v>341</v>
      </c>
      <c r="H109" s="8" t="s">
        <v>247</v>
      </c>
      <c r="I109" s="8" t="s">
        <v>2616</v>
      </c>
      <c r="J109" s="8" t="s">
        <v>2617</v>
      </c>
      <c r="K109" s="8" t="s">
        <v>39</v>
      </c>
      <c r="L109" s="8" t="s">
        <v>40</v>
      </c>
      <c r="M109" s="8" t="s">
        <v>40</v>
      </c>
      <c r="N109" s="15"/>
      <c r="O109" s="15"/>
      <c r="P109" s="8" t="s">
        <v>2618</v>
      </c>
      <c r="Q109" s="8" t="s">
        <v>42</v>
      </c>
      <c r="R109" s="8">
        <v>7200.0</v>
      </c>
      <c r="S109" s="8">
        <v>0.0</v>
      </c>
      <c r="T109" s="15"/>
      <c r="U109" s="8">
        <v>14.0</v>
      </c>
      <c r="V109" s="8" t="s">
        <v>894</v>
      </c>
      <c r="W109" s="8" t="s">
        <v>895</v>
      </c>
      <c r="X109" s="8" t="s">
        <v>58</v>
      </c>
      <c r="Y109" s="8" t="s">
        <v>2619</v>
      </c>
      <c r="Z109" s="8" t="s">
        <v>71</v>
      </c>
      <c r="AA109" s="8" t="s">
        <v>61</v>
      </c>
      <c r="AB109" s="15"/>
      <c r="AC109" s="8">
        <v>5.0</v>
      </c>
      <c r="AD109" s="8">
        <v>4.0</v>
      </c>
      <c r="AE109" s="8">
        <v>2.0</v>
      </c>
      <c r="AF109" s="8">
        <v>2500.0</v>
      </c>
      <c r="AG109" s="32"/>
      <c r="AH109" s="15"/>
      <c r="AI109" s="15"/>
      <c r="AJ109" s="15"/>
      <c r="AK109" s="15"/>
      <c r="AL109" s="15"/>
      <c r="AM109" s="15"/>
    </row>
    <row r="110">
      <c r="A110" s="14">
        <v>44403.8844202662</v>
      </c>
      <c r="B110" s="8" t="s">
        <v>49</v>
      </c>
      <c r="C110" s="8">
        <v>37.0</v>
      </c>
      <c r="D110" s="8" t="s">
        <v>35</v>
      </c>
      <c r="E110" s="8" t="s">
        <v>36</v>
      </c>
      <c r="F110" s="8" t="s">
        <v>2430</v>
      </c>
      <c r="G110" s="8" t="s">
        <v>2620</v>
      </c>
      <c r="H110" s="8" t="s">
        <v>38</v>
      </c>
      <c r="I110" s="8" t="s">
        <v>2621</v>
      </c>
      <c r="J110" s="8" t="s">
        <v>2622</v>
      </c>
      <c r="K110" s="8" t="s">
        <v>39</v>
      </c>
      <c r="L110" s="8" t="s">
        <v>40</v>
      </c>
      <c r="M110" s="8" t="s">
        <v>40</v>
      </c>
      <c r="N110" s="15"/>
      <c r="O110" s="15"/>
      <c r="P110" s="8" t="s">
        <v>2623</v>
      </c>
      <c r="Q110" s="8" t="s">
        <v>2521</v>
      </c>
      <c r="R110" s="8">
        <v>7000.0</v>
      </c>
      <c r="S110" s="8">
        <v>0.0</v>
      </c>
      <c r="T110" s="8">
        <v>0.0</v>
      </c>
      <c r="U110" s="8">
        <v>13.0</v>
      </c>
      <c r="V110" s="8" t="s">
        <v>1412</v>
      </c>
      <c r="W110" s="8" t="s">
        <v>1413</v>
      </c>
      <c r="X110" s="8" t="s">
        <v>2544</v>
      </c>
      <c r="Y110" s="8" t="s">
        <v>155</v>
      </c>
      <c r="Z110" s="8" t="s">
        <v>132</v>
      </c>
      <c r="AA110" s="8" t="s">
        <v>91</v>
      </c>
      <c r="AB110" s="15"/>
      <c r="AC110" s="8">
        <v>9.0</v>
      </c>
      <c r="AD110" s="8">
        <v>13.0</v>
      </c>
      <c r="AE110" s="8">
        <v>6.0</v>
      </c>
      <c r="AF110" s="8">
        <v>3000.0</v>
      </c>
      <c r="AG110" s="32"/>
      <c r="AH110" s="15"/>
      <c r="AI110" s="15"/>
      <c r="AJ110" s="15"/>
      <c r="AK110" s="15"/>
      <c r="AL110" s="15"/>
      <c r="AM110" s="15"/>
    </row>
    <row r="111">
      <c r="A111" s="14">
        <v>44403.88486556713</v>
      </c>
      <c r="B111" s="8" t="s">
        <v>49</v>
      </c>
      <c r="C111" s="8">
        <v>27.0</v>
      </c>
      <c r="D111" s="8" t="s">
        <v>35</v>
      </c>
      <c r="E111" s="8" t="s">
        <v>36</v>
      </c>
      <c r="F111" s="8" t="s">
        <v>50</v>
      </c>
      <c r="G111" s="8" t="s">
        <v>1887</v>
      </c>
      <c r="H111" s="8" t="s">
        <v>38</v>
      </c>
      <c r="I111" s="8" t="s">
        <v>2368</v>
      </c>
      <c r="J111" s="8" t="s">
        <v>2421</v>
      </c>
      <c r="K111" s="8" t="s">
        <v>39</v>
      </c>
      <c r="L111" s="8" t="s">
        <v>40</v>
      </c>
      <c r="M111" s="8" t="s">
        <v>40</v>
      </c>
      <c r="N111" s="15"/>
      <c r="O111" s="15"/>
      <c r="P111" s="8" t="s">
        <v>146</v>
      </c>
      <c r="Q111" s="8" t="s">
        <v>42</v>
      </c>
      <c r="R111" s="8">
        <v>7500.0</v>
      </c>
      <c r="S111" s="8">
        <v>7500.0</v>
      </c>
      <c r="T111" s="15"/>
      <c r="U111" s="8">
        <v>18.0</v>
      </c>
      <c r="V111" s="8" t="s">
        <v>1888</v>
      </c>
      <c r="W111" s="8" t="s">
        <v>1889</v>
      </c>
      <c r="X111" s="8" t="s">
        <v>122</v>
      </c>
      <c r="Y111" s="8" t="s">
        <v>1614</v>
      </c>
      <c r="Z111" s="8" t="s">
        <v>60</v>
      </c>
      <c r="AA111" s="8" t="s">
        <v>61</v>
      </c>
      <c r="AB111" s="15"/>
      <c r="AC111" s="8">
        <v>7.0</v>
      </c>
      <c r="AD111" s="8">
        <v>4.0</v>
      </c>
      <c r="AE111" s="8">
        <v>1.0</v>
      </c>
      <c r="AF111" s="8">
        <v>3500.0</v>
      </c>
      <c r="AG111" s="32"/>
      <c r="AH111" s="15"/>
      <c r="AI111" s="15"/>
      <c r="AJ111" s="15"/>
      <c r="AK111" s="15"/>
      <c r="AL111" s="15"/>
      <c r="AM111" s="15"/>
    </row>
    <row r="112">
      <c r="A112" s="14">
        <v>44403.8849108912</v>
      </c>
      <c r="B112" s="8" t="s">
        <v>49</v>
      </c>
      <c r="C112" s="8">
        <v>31.0</v>
      </c>
      <c r="D112" s="8" t="s">
        <v>35</v>
      </c>
      <c r="E112" s="8" t="s">
        <v>36</v>
      </c>
      <c r="F112" s="15"/>
      <c r="G112" s="15"/>
      <c r="H112" s="8" t="s">
        <v>38</v>
      </c>
      <c r="I112" s="8" t="s">
        <v>2368</v>
      </c>
      <c r="J112" s="8" t="s">
        <v>2389</v>
      </c>
      <c r="K112" s="8" t="s">
        <v>39</v>
      </c>
      <c r="L112" s="8" t="s">
        <v>40</v>
      </c>
      <c r="M112" s="8" t="s">
        <v>40</v>
      </c>
      <c r="N112" s="15"/>
      <c r="O112" s="15"/>
      <c r="P112" s="8" t="s">
        <v>2624</v>
      </c>
      <c r="Q112" s="8" t="s">
        <v>42</v>
      </c>
      <c r="R112" s="8">
        <v>10500.0</v>
      </c>
      <c r="S112" s="8">
        <v>0.0</v>
      </c>
      <c r="T112" s="8">
        <v>0.0</v>
      </c>
      <c r="U112" s="8">
        <v>21.0</v>
      </c>
      <c r="V112" s="8" t="s">
        <v>506</v>
      </c>
      <c r="W112" s="8" t="s">
        <v>507</v>
      </c>
      <c r="X112" s="8" t="s">
        <v>58</v>
      </c>
      <c r="Y112" s="8" t="s">
        <v>59</v>
      </c>
      <c r="Z112" s="8" t="s">
        <v>132</v>
      </c>
      <c r="AA112" s="8" t="s">
        <v>91</v>
      </c>
      <c r="AB112" s="15"/>
      <c r="AC112" s="8">
        <v>6.0</v>
      </c>
      <c r="AD112" s="8">
        <v>7.0</v>
      </c>
      <c r="AE112" s="8">
        <v>1.0</v>
      </c>
      <c r="AF112" s="8">
        <v>1800.0</v>
      </c>
      <c r="AG112" s="32"/>
      <c r="AH112" s="15"/>
      <c r="AI112" s="15"/>
      <c r="AJ112" s="15"/>
      <c r="AK112" s="15"/>
      <c r="AL112" s="15"/>
      <c r="AM112" s="15"/>
    </row>
    <row r="113">
      <c r="A113" s="14">
        <v>44403.88528099537</v>
      </c>
      <c r="B113" s="8" t="s">
        <v>49</v>
      </c>
      <c r="C113" s="8">
        <v>27.0</v>
      </c>
      <c r="D113" s="8" t="s">
        <v>35</v>
      </c>
      <c r="E113" s="8" t="s">
        <v>36</v>
      </c>
      <c r="F113" s="8" t="s">
        <v>363</v>
      </c>
      <c r="G113" s="8" t="s">
        <v>2625</v>
      </c>
      <c r="H113" s="8" t="s">
        <v>38</v>
      </c>
      <c r="I113" s="8" t="s">
        <v>2626</v>
      </c>
      <c r="J113" s="8" t="s">
        <v>2627</v>
      </c>
      <c r="K113" s="8" t="s">
        <v>39</v>
      </c>
      <c r="L113" s="8" t="s">
        <v>40</v>
      </c>
      <c r="M113" s="8" t="s">
        <v>40</v>
      </c>
      <c r="N113" s="15"/>
      <c r="O113" s="15"/>
      <c r="P113" s="8" t="s">
        <v>2628</v>
      </c>
      <c r="Q113" s="8" t="s">
        <v>42</v>
      </c>
      <c r="R113" s="8">
        <v>8000.0</v>
      </c>
      <c r="S113" s="8">
        <v>0.0</v>
      </c>
      <c r="T113" s="8">
        <v>0.0</v>
      </c>
      <c r="U113" s="8">
        <v>14.0</v>
      </c>
      <c r="V113" s="8" t="s">
        <v>884</v>
      </c>
      <c r="W113" s="8" t="s">
        <v>224</v>
      </c>
      <c r="X113" s="8" t="s">
        <v>122</v>
      </c>
      <c r="Y113" s="8" t="s">
        <v>89</v>
      </c>
      <c r="Z113" s="8" t="s">
        <v>90</v>
      </c>
      <c r="AA113" s="8" t="s">
        <v>61</v>
      </c>
      <c r="AB113" s="8" t="s">
        <v>2629</v>
      </c>
      <c r="AC113" s="8">
        <v>7.0</v>
      </c>
      <c r="AD113" s="8">
        <v>5.0</v>
      </c>
      <c r="AE113" s="8">
        <v>1.0</v>
      </c>
      <c r="AF113" s="8">
        <v>2500.0</v>
      </c>
      <c r="AG113" s="32"/>
      <c r="AH113" s="15"/>
      <c r="AI113" s="15"/>
      <c r="AJ113" s="15"/>
      <c r="AK113" s="15"/>
      <c r="AL113" s="15"/>
      <c r="AM113" s="15"/>
    </row>
    <row r="114">
      <c r="A114" s="14">
        <v>44403.88680515046</v>
      </c>
      <c r="B114" s="8" t="s">
        <v>49</v>
      </c>
      <c r="C114" s="8">
        <v>27.0</v>
      </c>
      <c r="D114" s="8" t="s">
        <v>35</v>
      </c>
      <c r="E114" s="8" t="s">
        <v>36</v>
      </c>
      <c r="F114" s="8" t="s">
        <v>124</v>
      </c>
      <c r="G114" s="8" t="s">
        <v>773</v>
      </c>
      <c r="H114" s="8" t="s">
        <v>247</v>
      </c>
      <c r="I114" s="8" t="s">
        <v>2630</v>
      </c>
      <c r="J114" s="8" t="s">
        <v>2631</v>
      </c>
      <c r="K114" s="8" t="s">
        <v>40</v>
      </c>
      <c r="L114" s="8" t="s">
        <v>40</v>
      </c>
      <c r="M114" s="8" t="s">
        <v>40</v>
      </c>
      <c r="N114" s="15"/>
      <c r="O114" s="15"/>
      <c r="P114" s="8" t="s">
        <v>2538</v>
      </c>
      <c r="Q114" s="8" t="s">
        <v>42</v>
      </c>
      <c r="R114" s="8">
        <v>5000.0</v>
      </c>
      <c r="S114" s="8">
        <v>0.0</v>
      </c>
      <c r="T114" s="8">
        <v>0.0</v>
      </c>
      <c r="U114" s="8">
        <v>22.0</v>
      </c>
      <c r="V114" s="8" t="s">
        <v>1647</v>
      </c>
      <c r="W114" s="8" t="s">
        <v>224</v>
      </c>
      <c r="X114" s="8" t="s">
        <v>122</v>
      </c>
      <c r="Y114" s="8" t="s">
        <v>89</v>
      </c>
      <c r="Z114" s="8" t="s">
        <v>60</v>
      </c>
      <c r="AA114" s="8" t="s">
        <v>91</v>
      </c>
      <c r="AB114" s="8" t="s">
        <v>1648</v>
      </c>
      <c r="AC114" s="8">
        <v>7.0</v>
      </c>
      <c r="AD114" s="8">
        <v>3.0</v>
      </c>
      <c r="AE114" s="8">
        <v>1.0</v>
      </c>
      <c r="AF114" s="8">
        <v>3200.0</v>
      </c>
      <c r="AG114" s="32"/>
      <c r="AH114" s="15"/>
      <c r="AI114" s="15"/>
      <c r="AJ114" s="15"/>
      <c r="AK114" s="15"/>
      <c r="AL114" s="15"/>
      <c r="AM114" s="15"/>
    </row>
    <row r="115">
      <c r="A115" s="14">
        <v>44403.88730135417</v>
      </c>
      <c r="B115" s="8" t="s">
        <v>73</v>
      </c>
      <c r="C115" s="8">
        <v>28.0</v>
      </c>
      <c r="D115" s="8" t="s">
        <v>35</v>
      </c>
      <c r="E115" s="8" t="s">
        <v>36</v>
      </c>
      <c r="F115" s="8" t="s">
        <v>124</v>
      </c>
      <c r="G115" s="8" t="s">
        <v>124</v>
      </c>
      <c r="H115" s="8" t="s">
        <v>247</v>
      </c>
      <c r="I115" s="15"/>
      <c r="J115" s="15"/>
      <c r="K115" s="8" t="s">
        <v>40</v>
      </c>
      <c r="L115" s="8" t="s">
        <v>40</v>
      </c>
      <c r="M115" s="8" t="s">
        <v>40</v>
      </c>
      <c r="N115" s="15"/>
      <c r="O115" s="15"/>
      <c r="P115" s="8" t="s">
        <v>977</v>
      </c>
      <c r="Q115" s="8" t="s">
        <v>42</v>
      </c>
      <c r="R115" s="8">
        <v>4750.0</v>
      </c>
      <c r="S115" s="8">
        <v>4750.0</v>
      </c>
      <c r="T115" s="8">
        <v>0.0</v>
      </c>
      <c r="U115" s="8">
        <v>14.0</v>
      </c>
      <c r="V115" s="8" t="s">
        <v>1860</v>
      </c>
      <c r="W115" s="8" t="s">
        <v>1641</v>
      </c>
      <c r="X115" s="8" t="s">
        <v>122</v>
      </c>
      <c r="Y115" s="8" t="s">
        <v>59</v>
      </c>
      <c r="Z115" s="8" t="s">
        <v>71</v>
      </c>
      <c r="AA115" s="8" t="s">
        <v>61</v>
      </c>
      <c r="AB115" s="15"/>
      <c r="AC115" s="8">
        <v>5.0</v>
      </c>
      <c r="AD115" s="8">
        <v>2.5</v>
      </c>
      <c r="AE115" s="8">
        <v>0.0</v>
      </c>
      <c r="AF115" s="8">
        <v>3500.0</v>
      </c>
      <c r="AG115" s="32"/>
      <c r="AH115" s="15"/>
      <c r="AI115" s="15"/>
      <c r="AJ115" s="15"/>
      <c r="AK115" s="15"/>
      <c r="AL115" s="15"/>
      <c r="AM115" s="15"/>
    </row>
    <row r="116">
      <c r="A116" s="14">
        <v>44403.88743358797</v>
      </c>
      <c r="B116" s="8" t="s">
        <v>49</v>
      </c>
      <c r="C116" s="8">
        <v>26.0</v>
      </c>
      <c r="D116" s="8" t="s">
        <v>2204</v>
      </c>
      <c r="E116" s="8" t="s">
        <v>36</v>
      </c>
      <c r="F116" s="8" t="s">
        <v>50</v>
      </c>
      <c r="G116" s="8" t="s">
        <v>1437</v>
      </c>
      <c r="H116" s="8" t="s">
        <v>38</v>
      </c>
      <c r="I116" s="8" t="s">
        <v>2368</v>
      </c>
      <c r="J116" s="8" t="s">
        <v>2204</v>
      </c>
      <c r="K116" s="8" t="s">
        <v>39</v>
      </c>
      <c r="L116" s="8" t="s">
        <v>40</v>
      </c>
      <c r="M116" s="8" t="s">
        <v>40</v>
      </c>
      <c r="N116" s="15"/>
      <c r="O116" s="15"/>
      <c r="P116" s="8" t="s">
        <v>2632</v>
      </c>
      <c r="Q116" s="8" t="s">
        <v>42</v>
      </c>
      <c r="R116" s="8">
        <v>8000.0</v>
      </c>
      <c r="S116" s="8">
        <v>0.0</v>
      </c>
      <c r="T116" s="8">
        <v>0.0</v>
      </c>
      <c r="U116" s="8">
        <v>18.0</v>
      </c>
      <c r="V116" s="8" t="s">
        <v>223</v>
      </c>
      <c r="W116" s="8" t="s">
        <v>2204</v>
      </c>
      <c r="X116" s="8" t="s">
        <v>58</v>
      </c>
      <c r="Y116" s="8" t="s">
        <v>59</v>
      </c>
      <c r="Z116" s="8" t="s">
        <v>132</v>
      </c>
      <c r="AA116" s="8" t="s">
        <v>61</v>
      </c>
      <c r="AB116" s="15"/>
      <c r="AC116" s="8">
        <v>7.0</v>
      </c>
      <c r="AD116" s="8">
        <v>5.0</v>
      </c>
      <c r="AE116" s="8">
        <v>3.0</v>
      </c>
      <c r="AF116" s="8">
        <v>5500.0</v>
      </c>
      <c r="AG116" s="32"/>
      <c r="AH116" s="15"/>
      <c r="AI116" s="15"/>
      <c r="AJ116" s="15"/>
      <c r="AK116" s="15"/>
      <c r="AL116" s="15"/>
      <c r="AM116" s="15"/>
    </row>
    <row r="117">
      <c r="A117" s="14">
        <v>44403.88831927083</v>
      </c>
      <c r="B117" s="8" t="s">
        <v>49</v>
      </c>
      <c r="C117" s="8">
        <v>26.0</v>
      </c>
      <c r="D117" s="8" t="s">
        <v>35</v>
      </c>
      <c r="E117" s="8" t="s">
        <v>36</v>
      </c>
      <c r="F117" s="8" t="s">
        <v>50</v>
      </c>
      <c r="G117" s="8" t="s">
        <v>331</v>
      </c>
      <c r="H117" s="8" t="s">
        <v>38</v>
      </c>
      <c r="I117" s="8" t="s">
        <v>2633</v>
      </c>
      <c r="J117" s="8" t="s">
        <v>2634</v>
      </c>
      <c r="K117" s="8" t="s">
        <v>39</v>
      </c>
      <c r="L117" s="8" t="s">
        <v>40</v>
      </c>
      <c r="M117" s="8" t="s">
        <v>40</v>
      </c>
      <c r="N117" s="15"/>
      <c r="O117" s="15"/>
      <c r="P117" s="8" t="s">
        <v>2486</v>
      </c>
      <c r="Q117" s="8" t="s">
        <v>42</v>
      </c>
      <c r="R117" s="8">
        <v>4500.0</v>
      </c>
      <c r="S117" s="8">
        <v>0.0</v>
      </c>
      <c r="T117" s="8">
        <v>0.0</v>
      </c>
      <c r="U117" s="8">
        <v>12.0</v>
      </c>
      <c r="V117" s="8" t="s">
        <v>157</v>
      </c>
      <c r="W117" s="8" t="s">
        <v>1139</v>
      </c>
      <c r="X117" s="8" t="s">
        <v>2635</v>
      </c>
      <c r="Y117" s="8" t="s">
        <v>80</v>
      </c>
      <c r="Z117" s="8" t="s">
        <v>47</v>
      </c>
      <c r="AA117" s="8" t="s">
        <v>61</v>
      </c>
      <c r="AB117" s="15"/>
      <c r="AC117" s="8">
        <v>6.0</v>
      </c>
      <c r="AD117" s="8">
        <v>2.0</v>
      </c>
      <c r="AE117" s="8">
        <v>0.0</v>
      </c>
      <c r="AF117" s="8">
        <v>2800.0</v>
      </c>
      <c r="AG117" s="32"/>
      <c r="AH117" s="15"/>
      <c r="AI117" s="15"/>
      <c r="AJ117" s="15"/>
      <c r="AK117" s="15"/>
      <c r="AL117" s="15"/>
      <c r="AM117" s="15"/>
    </row>
    <row r="118">
      <c r="A118" s="14">
        <v>44403.8889394213</v>
      </c>
      <c r="B118" s="8" t="s">
        <v>49</v>
      </c>
      <c r="C118" s="8">
        <v>27.0</v>
      </c>
      <c r="D118" s="8" t="s">
        <v>35</v>
      </c>
      <c r="E118" s="8" t="s">
        <v>36</v>
      </c>
      <c r="F118" s="8" t="s">
        <v>50</v>
      </c>
      <c r="G118" s="8" t="s">
        <v>493</v>
      </c>
      <c r="H118" s="8" t="s">
        <v>38</v>
      </c>
      <c r="I118" s="8" t="s">
        <v>2636</v>
      </c>
      <c r="J118" s="8" t="s">
        <v>2583</v>
      </c>
      <c r="K118" s="8" t="s">
        <v>39</v>
      </c>
      <c r="L118" s="8" t="s">
        <v>40</v>
      </c>
      <c r="M118" s="8" t="s">
        <v>40</v>
      </c>
      <c r="N118" s="15"/>
      <c r="O118" s="15"/>
      <c r="P118" s="8" t="s">
        <v>2637</v>
      </c>
      <c r="Q118" s="8" t="s">
        <v>42</v>
      </c>
      <c r="R118" s="8">
        <v>3500.0</v>
      </c>
      <c r="S118" s="8">
        <v>0.0</v>
      </c>
      <c r="T118" s="8">
        <v>0.0</v>
      </c>
      <c r="U118" s="8">
        <v>14.0</v>
      </c>
      <c r="V118" s="8" t="s">
        <v>494</v>
      </c>
      <c r="W118" s="8" t="s">
        <v>495</v>
      </c>
      <c r="X118" s="8" t="s">
        <v>58</v>
      </c>
      <c r="Y118" s="8" t="s">
        <v>155</v>
      </c>
      <c r="Z118" s="8" t="s">
        <v>132</v>
      </c>
      <c r="AA118" s="8" t="s">
        <v>61</v>
      </c>
      <c r="AB118" s="15"/>
      <c r="AC118" s="8">
        <v>6.0</v>
      </c>
      <c r="AD118" s="8">
        <v>1.0</v>
      </c>
      <c r="AE118" s="8">
        <v>0.0</v>
      </c>
      <c r="AF118" s="8">
        <v>1800.0</v>
      </c>
      <c r="AG118" s="32"/>
      <c r="AH118" s="15"/>
      <c r="AI118" s="15"/>
      <c r="AJ118" s="15"/>
      <c r="AK118" s="15"/>
      <c r="AL118" s="15"/>
      <c r="AM118" s="15"/>
    </row>
    <row r="119">
      <c r="A119" s="14">
        <v>44403.88920523148</v>
      </c>
      <c r="B119" s="8" t="s">
        <v>49</v>
      </c>
      <c r="C119" s="8">
        <v>26.0</v>
      </c>
      <c r="D119" s="8" t="s">
        <v>35</v>
      </c>
      <c r="E119" s="8" t="s">
        <v>36</v>
      </c>
      <c r="F119" s="8" t="s">
        <v>349</v>
      </c>
      <c r="G119" s="8" t="s">
        <v>349</v>
      </c>
      <c r="H119" s="8" t="s">
        <v>38</v>
      </c>
      <c r="I119" s="8" t="s">
        <v>2626</v>
      </c>
      <c r="J119" s="8" t="s">
        <v>2389</v>
      </c>
      <c r="K119" s="8" t="s">
        <v>39</v>
      </c>
      <c r="L119" s="8" t="s">
        <v>40</v>
      </c>
      <c r="M119" s="8" t="s">
        <v>40</v>
      </c>
      <c r="N119" s="15"/>
      <c r="O119" s="15"/>
      <c r="P119" s="8" t="s">
        <v>977</v>
      </c>
      <c r="Q119" s="8" t="s">
        <v>42</v>
      </c>
      <c r="R119" s="8">
        <v>3900.0</v>
      </c>
      <c r="S119" s="8">
        <v>4000.0</v>
      </c>
      <c r="T119" s="8">
        <v>0.0</v>
      </c>
      <c r="U119" s="8">
        <v>14.0</v>
      </c>
      <c r="V119" s="8" t="s">
        <v>1569</v>
      </c>
      <c r="W119" s="8" t="s">
        <v>224</v>
      </c>
      <c r="X119" s="8" t="s">
        <v>131</v>
      </c>
      <c r="Y119" s="8" t="s">
        <v>59</v>
      </c>
      <c r="Z119" s="8" t="s">
        <v>71</v>
      </c>
      <c r="AA119" s="8" t="s">
        <v>61</v>
      </c>
      <c r="AB119" s="15"/>
      <c r="AC119" s="8">
        <v>5.0</v>
      </c>
      <c r="AD119" s="8">
        <v>2.5</v>
      </c>
      <c r="AE119" s="8">
        <v>0.0</v>
      </c>
      <c r="AF119" s="8">
        <v>3100.0</v>
      </c>
      <c r="AG119" s="32"/>
      <c r="AH119" s="15"/>
      <c r="AI119" s="15"/>
      <c r="AJ119" s="15"/>
      <c r="AK119" s="15"/>
      <c r="AL119" s="15"/>
      <c r="AM119" s="15"/>
    </row>
    <row r="120">
      <c r="A120" s="14">
        <v>44403.88982347222</v>
      </c>
      <c r="B120" s="8" t="s">
        <v>49</v>
      </c>
      <c r="C120" s="8">
        <v>26.0</v>
      </c>
      <c r="D120" s="8" t="s">
        <v>35</v>
      </c>
      <c r="E120" s="8" t="s">
        <v>36</v>
      </c>
      <c r="F120" s="8" t="s">
        <v>50</v>
      </c>
      <c r="G120" s="8" t="s">
        <v>331</v>
      </c>
      <c r="H120" s="8" t="s">
        <v>38</v>
      </c>
      <c r="I120" s="8" t="s">
        <v>2638</v>
      </c>
      <c r="J120" s="8" t="s">
        <v>2389</v>
      </c>
      <c r="K120" s="8" t="s">
        <v>39</v>
      </c>
      <c r="L120" s="8" t="s">
        <v>40</v>
      </c>
      <c r="M120" s="8" t="s">
        <v>40</v>
      </c>
      <c r="N120" s="15"/>
      <c r="O120" s="15"/>
      <c r="P120" s="8" t="s">
        <v>2639</v>
      </c>
      <c r="Q120" s="8" t="s">
        <v>42</v>
      </c>
      <c r="R120" s="8">
        <v>3900.0</v>
      </c>
      <c r="S120" s="8" t="s">
        <v>435</v>
      </c>
      <c r="T120" s="8">
        <v>10000.0</v>
      </c>
      <c r="U120" s="8">
        <v>14.0</v>
      </c>
      <c r="V120" s="8" t="s">
        <v>1730</v>
      </c>
      <c r="W120" s="8" t="s">
        <v>1731</v>
      </c>
      <c r="X120" s="8" t="s">
        <v>58</v>
      </c>
      <c r="Y120" s="8" t="s">
        <v>70</v>
      </c>
      <c r="Z120" s="8" t="s">
        <v>132</v>
      </c>
      <c r="AA120" s="8" t="s">
        <v>91</v>
      </c>
      <c r="AB120" s="15"/>
      <c r="AC120" s="8">
        <v>3.0</v>
      </c>
      <c r="AD120" s="8">
        <v>2.5</v>
      </c>
      <c r="AE120" s="8">
        <v>1.0</v>
      </c>
      <c r="AF120" s="8">
        <v>3300.0</v>
      </c>
      <c r="AG120" s="32"/>
      <c r="AH120" s="15"/>
      <c r="AI120" s="15"/>
      <c r="AJ120" s="15"/>
      <c r="AK120" s="15"/>
      <c r="AL120" s="15"/>
      <c r="AM120" s="15"/>
    </row>
    <row r="121">
      <c r="A121" s="14">
        <v>44403.88983403935</v>
      </c>
      <c r="B121" s="8" t="s">
        <v>49</v>
      </c>
      <c r="C121" s="8">
        <v>26.0</v>
      </c>
      <c r="D121" s="8" t="s">
        <v>35</v>
      </c>
      <c r="E121" s="8" t="s">
        <v>36</v>
      </c>
      <c r="F121" s="8" t="s">
        <v>2430</v>
      </c>
      <c r="G121" s="8" t="s">
        <v>1953</v>
      </c>
      <c r="H121" s="8" t="s">
        <v>38</v>
      </c>
      <c r="I121" s="8" t="s">
        <v>2640</v>
      </c>
      <c r="J121" s="8" t="s">
        <v>534</v>
      </c>
      <c r="K121" s="8" t="s">
        <v>39</v>
      </c>
      <c r="L121" s="8" t="s">
        <v>40</v>
      </c>
      <c r="M121" s="8" t="s">
        <v>40</v>
      </c>
      <c r="N121" s="15"/>
      <c r="O121" s="15"/>
      <c r="P121" s="8" t="s">
        <v>2641</v>
      </c>
      <c r="Q121" s="8" t="s">
        <v>42</v>
      </c>
      <c r="R121" s="8">
        <v>6600.0</v>
      </c>
      <c r="S121" s="8">
        <v>0.0</v>
      </c>
      <c r="T121" s="8">
        <v>0.0</v>
      </c>
      <c r="U121" s="8">
        <v>12.0</v>
      </c>
      <c r="V121" s="8" t="s">
        <v>1954</v>
      </c>
      <c r="W121" s="8" t="s">
        <v>2642</v>
      </c>
      <c r="X121" s="8" t="s">
        <v>58</v>
      </c>
      <c r="Y121" s="8" t="s">
        <v>350</v>
      </c>
      <c r="Z121" s="8" t="s">
        <v>60</v>
      </c>
      <c r="AA121" s="8" t="s">
        <v>133</v>
      </c>
      <c r="AB121" s="15"/>
      <c r="AC121" s="8">
        <v>10.0</v>
      </c>
      <c r="AD121" s="8">
        <v>4.0</v>
      </c>
      <c r="AE121" s="8">
        <v>1.0</v>
      </c>
      <c r="AF121" s="8">
        <v>3800.0</v>
      </c>
      <c r="AG121" s="32"/>
      <c r="AH121" s="15"/>
      <c r="AI121" s="15"/>
      <c r="AJ121" s="15"/>
      <c r="AK121" s="15"/>
      <c r="AL121" s="15"/>
      <c r="AM121" s="15"/>
    </row>
    <row r="122">
      <c r="A122" s="14">
        <v>44403.8904225463</v>
      </c>
      <c r="B122" s="8" t="s">
        <v>49</v>
      </c>
      <c r="C122" s="8">
        <v>28.0</v>
      </c>
      <c r="D122" s="8" t="s">
        <v>35</v>
      </c>
      <c r="E122" s="8" t="s">
        <v>36</v>
      </c>
      <c r="F122" s="8" t="s">
        <v>363</v>
      </c>
      <c r="G122" s="8" t="s">
        <v>527</v>
      </c>
      <c r="H122" s="8" t="s">
        <v>38</v>
      </c>
      <c r="I122" s="8" t="s">
        <v>2388</v>
      </c>
      <c r="J122" s="8" t="s">
        <v>2643</v>
      </c>
      <c r="K122" s="8" t="s">
        <v>39</v>
      </c>
      <c r="L122" s="8" t="s">
        <v>40</v>
      </c>
      <c r="M122" s="8" t="s">
        <v>40</v>
      </c>
      <c r="N122" s="15"/>
      <c r="O122" s="15"/>
      <c r="P122" s="8" t="s">
        <v>2644</v>
      </c>
      <c r="Q122" s="8" t="s">
        <v>42</v>
      </c>
      <c r="R122" s="8">
        <v>4000.0</v>
      </c>
      <c r="S122" s="8">
        <v>4000.0</v>
      </c>
      <c r="T122" s="8">
        <v>3000.0</v>
      </c>
      <c r="U122" s="8">
        <v>15.0</v>
      </c>
      <c r="V122" s="8" t="s">
        <v>1629</v>
      </c>
      <c r="W122" s="8" t="s">
        <v>1630</v>
      </c>
      <c r="X122" s="8" t="s">
        <v>79</v>
      </c>
      <c r="Y122" s="8" t="s">
        <v>80</v>
      </c>
      <c r="Z122" s="8" t="s">
        <v>90</v>
      </c>
      <c r="AA122" s="8" t="s">
        <v>61</v>
      </c>
      <c r="AB122" s="15"/>
      <c r="AC122" s="8">
        <v>3.0</v>
      </c>
      <c r="AD122" s="8">
        <v>4.0</v>
      </c>
      <c r="AE122" s="8">
        <v>0.0</v>
      </c>
      <c r="AF122" s="8">
        <v>3200.0</v>
      </c>
      <c r="AG122" s="32"/>
      <c r="AH122" s="15"/>
      <c r="AI122" s="15"/>
      <c r="AJ122" s="15"/>
      <c r="AK122" s="15"/>
      <c r="AL122" s="15"/>
      <c r="AM122" s="15"/>
    </row>
    <row r="123">
      <c r="A123" s="14">
        <v>44403.891670833335</v>
      </c>
      <c r="B123" s="8" t="s">
        <v>49</v>
      </c>
      <c r="C123" s="8">
        <v>24.0</v>
      </c>
      <c r="D123" s="8" t="s">
        <v>35</v>
      </c>
      <c r="E123" s="8" t="s">
        <v>36</v>
      </c>
      <c r="F123" s="8" t="s">
        <v>124</v>
      </c>
      <c r="G123" s="8" t="s">
        <v>2645</v>
      </c>
      <c r="H123" s="8" t="s">
        <v>38</v>
      </c>
      <c r="I123" s="8" t="s">
        <v>2413</v>
      </c>
      <c r="J123" s="8" t="s">
        <v>2464</v>
      </c>
      <c r="K123" s="8" t="s">
        <v>39</v>
      </c>
      <c r="L123" s="8" t="s">
        <v>40</v>
      </c>
      <c r="M123" s="8" t="s">
        <v>40</v>
      </c>
      <c r="N123" s="15"/>
      <c r="O123" s="15"/>
      <c r="P123" s="8" t="s">
        <v>2586</v>
      </c>
      <c r="Q123" s="8" t="s">
        <v>42</v>
      </c>
      <c r="R123" s="8">
        <v>5000.0</v>
      </c>
      <c r="S123" s="8">
        <v>0.0</v>
      </c>
      <c r="T123" s="15"/>
      <c r="U123" s="8">
        <v>14.0</v>
      </c>
      <c r="V123" s="8" t="s">
        <v>1986</v>
      </c>
      <c r="W123" s="8" t="s">
        <v>1987</v>
      </c>
      <c r="X123" s="8" t="s">
        <v>124</v>
      </c>
      <c r="Y123" s="8" t="s">
        <v>59</v>
      </c>
      <c r="Z123" s="8" t="s">
        <v>132</v>
      </c>
      <c r="AA123" s="8" t="s">
        <v>133</v>
      </c>
      <c r="AB123" s="8" t="s">
        <v>1988</v>
      </c>
      <c r="AC123" s="8">
        <v>8.0</v>
      </c>
      <c r="AD123" s="8">
        <v>2.0</v>
      </c>
      <c r="AE123" s="8">
        <v>1.0</v>
      </c>
      <c r="AF123" s="8">
        <v>3950.0</v>
      </c>
      <c r="AG123" s="32"/>
      <c r="AH123" s="15"/>
      <c r="AI123" s="15"/>
      <c r="AJ123" s="15"/>
      <c r="AK123" s="15"/>
      <c r="AL123" s="15"/>
      <c r="AM123" s="15"/>
    </row>
    <row r="124">
      <c r="A124" s="14">
        <v>44403.89194646991</v>
      </c>
      <c r="B124" s="8" t="s">
        <v>49</v>
      </c>
      <c r="C124" s="8">
        <v>36.0</v>
      </c>
      <c r="D124" s="8" t="s">
        <v>35</v>
      </c>
      <c r="E124" s="8" t="s">
        <v>36</v>
      </c>
      <c r="F124" s="8" t="s">
        <v>50</v>
      </c>
      <c r="G124" s="8" t="s">
        <v>1188</v>
      </c>
      <c r="H124" s="8" t="s">
        <v>38</v>
      </c>
      <c r="I124" s="8" t="s">
        <v>2646</v>
      </c>
      <c r="J124" s="8" t="s">
        <v>2389</v>
      </c>
      <c r="K124" s="8" t="s">
        <v>39</v>
      </c>
      <c r="L124" s="8" t="s">
        <v>40</v>
      </c>
      <c r="M124" s="8" t="s">
        <v>40</v>
      </c>
      <c r="N124" s="15"/>
      <c r="O124" s="15"/>
      <c r="P124" s="8" t="s">
        <v>2647</v>
      </c>
      <c r="Q124" s="8" t="s">
        <v>42</v>
      </c>
      <c r="R124" s="8">
        <v>12000.0</v>
      </c>
      <c r="S124" s="8">
        <v>0.0</v>
      </c>
      <c r="T124" s="8">
        <v>0.0</v>
      </c>
      <c r="U124" s="8">
        <v>14.0</v>
      </c>
      <c r="V124" s="8" t="s">
        <v>252</v>
      </c>
      <c r="W124" s="8" t="s">
        <v>163</v>
      </c>
      <c r="X124" s="8" t="s">
        <v>58</v>
      </c>
      <c r="Y124" s="8" t="s">
        <v>2648</v>
      </c>
      <c r="Z124" s="8" t="s">
        <v>71</v>
      </c>
      <c r="AA124" s="8" t="s">
        <v>61</v>
      </c>
      <c r="AB124" s="15"/>
      <c r="AC124" s="8">
        <v>5.0</v>
      </c>
      <c r="AD124" s="8">
        <v>14.0</v>
      </c>
      <c r="AE124" s="8">
        <v>4.0</v>
      </c>
      <c r="AF124" s="8">
        <v>2400.0</v>
      </c>
      <c r="AG124" s="32"/>
      <c r="AH124" s="15"/>
      <c r="AI124" s="15"/>
      <c r="AJ124" s="15"/>
      <c r="AK124" s="15"/>
      <c r="AL124" s="15"/>
      <c r="AM124" s="15"/>
    </row>
    <row r="125">
      <c r="A125" s="14">
        <v>44403.891987986106</v>
      </c>
      <c r="B125" s="8" t="s">
        <v>49</v>
      </c>
      <c r="C125" s="8">
        <v>26.0</v>
      </c>
      <c r="D125" s="8" t="s">
        <v>35</v>
      </c>
      <c r="E125" s="8" t="s">
        <v>36</v>
      </c>
      <c r="F125" s="8" t="s">
        <v>2649</v>
      </c>
      <c r="G125" s="8" t="s">
        <v>124</v>
      </c>
      <c r="H125" s="8" t="s">
        <v>38</v>
      </c>
      <c r="I125" s="8" t="s">
        <v>2650</v>
      </c>
      <c r="J125" s="8" t="s">
        <v>1625</v>
      </c>
      <c r="K125" s="8" t="s">
        <v>39</v>
      </c>
      <c r="L125" s="8" t="s">
        <v>39</v>
      </c>
      <c r="M125" s="8" t="s">
        <v>40</v>
      </c>
      <c r="N125" s="8" t="s">
        <v>1626</v>
      </c>
      <c r="O125" s="15"/>
      <c r="P125" s="8" t="s">
        <v>128</v>
      </c>
      <c r="Q125" s="8" t="s">
        <v>42</v>
      </c>
      <c r="R125" s="8">
        <v>3200.0</v>
      </c>
      <c r="S125" s="8">
        <v>0.0</v>
      </c>
      <c r="T125" s="8">
        <v>0.0</v>
      </c>
      <c r="U125" s="8">
        <v>15.0</v>
      </c>
      <c r="V125" s="8" t="s">
        <v>1627</v>
      </c>
      <c r="W125" s="8" t="s">
        <v>1628</v>
      </c>
      <c r="X125" s="8" t="s">
        <v>340</v>
      </c>
      <c r="Y125" s="8" t="s">
        <v>70</v>
      </c>
      <c r="Z125" s="8" t="s">
        <v>132</v>
      </c>
      <c r="AA125" s="8" t="s">
        <v>61</v>
      </c>
      <c r="AB125" s="15"/>
      <c r="AC125" s="8">
        <v>8.0</v>
      </c>
      <c r="AD125" s="8">
        <v>1.0</v>
      </c>
      <c r="AE125" s="8">
        <v>0.0</v>
      </c>
      <c r="AF125" s="8">
        <v>3200.0</v>
      </c>
      <c r="AG125" s="32"/>
      <c r="AH125" s="15"/>
      <c r="AI125" s="15"/>
      <c r="AJ125" s="15"/>
      <c r="AK125" s="15"/>
      <c r="AL125" s="15"/>
      <c r="AM125" s="15"/>
    </row>
    <row r="126">
      <c r="A126" s="14">
        <v>44403.892201967596</v>
      </c>
      <c r="B126" s="8" t="s">
        <v>49</v>
      </c>
      <c r="C126" s="8">
        <v>24.0</v>
      </c>
      <c r="D126" s="8" t="s">
        <v>35</v>
      </c>
      <c r="E126" s="8" t="s">
        <v>36</v>
      </c>
      <c r="F126" s="8" t="s">
        <v>2651</v>
      </c>
      <c r="G126" s="8" t="s">
        <v>2430</v>
      </c>
      <c r="H126" s="8" t="s">
        <v>2614</v>
      </c>
      <c r="I126" s="8" t="s">
        <v>2652</v>
      </c>
      <c r="J126" s="8" t="s">
        <v>2653</v>
      </c>
      <c r="K126" s="8" t="s">
        <v>890</v>
      </c>
      <c r="L126" s="8" t="s">
        <v>39</v>
      </c>
      <c r="M126" s="8" t="s">
        <v>40</v>
      </c>
      <c r="N126" s="8" t="s">
        <v>376</v>
      </c>
      <c r="O126" s="15"/>
      <c r="P126" s="8" t="s">
        <v>2654</v>
      </c>
      <c r="Q126" s="8" t="s">
        <v>42</v>
      </c>
      <c r="R126" s="8">
        <v>3000.0</v>
      </c>
      <c r="S126" s="8">
        <v>0.0</v>
      </c>
      <c r="T126" s="8">
        <v>0.0</v>
      </c>
      <c r="U126" s="8">
        <v>14.0</v>
      </c>
      <c r="V126" s="8" t="s">
        <v>378</v>
      </c>
      <c r="W126" s="8" t="s">
        <v>87</v>
      </c>
      <c r="X126" s="8" t="s">
        <v>349</v>
      </c>
      <c r="Y126" s="8" t="s">
        <v>80</v>
      </c>
      <c r="Z126" s="8" t="s">
        <v>47</v>
      </c>
      <c r="AA126" s="8" t="s">
        <v>61</v>
      </c>
      <c r="AB126" s="15"/>
      <c r="AC126" s="8">
        <v>10.0</v>
      </c>
      <c r="AD126" s="8">
        <v>3.0</v>
      </c>
      <c r="AE126" s="8">
        <v>0.0</v>
      </c>
      <c r="AF126" s="8">
        <v>1500.0</v>
      </c>
      <c r="AG126" s="32"/>
      <c r="AH126" s="15"/>
      <c r="AI126" s="15"/>
      <c r="AJ126" s="15"/>
      <c r="AK126" s="15"/>
      <c r="AL126" s="15"/>
      <c r="AM126" s="15"/>
    </row>
    <row r="127">
      <c r="A127" s="14">
        <v>44403.89322295139</v>
      </c>
      <c r="B127" s="8" t="s">
        <v>49</v>
      </c>
      <c r="C127" s="8">
        <v>29.0</v>
      </c>
      <c r="D127" s="8" t="s">
        <v>35</v>
      </c>
      <c r="E127" s="8" t="s">
        <v>36</v>
      </c>
      <c r="F127" s="8" t="s">
        <v>50</v>
      </c>
      <c r="G127" s="8" t="s">
        <v>2417</v>
      </c>
      <c r="H127" s="8" t="s">
        <v>38</v>
      </c>
      <c r="I127" s="8" t="s">
        <v>2655</v>
      </c>
      <c r="J127" s="8" t="s">
        <v>2656</v>
      </c>
      <c r="K127" s="8" t="s">
        <v>39</v>
      </c>
      <c r="L127" s="8" t="s">
        <v>40</v>
      </c>
      <c r="M127" s="8" t="s">
        <v>40</v>
      </c>
      <c r="N127" s="15"/>
      <c r="O127" s="15"/>
      <c r="P127" s="8" t="s">
        <v>2657</v>
      </c>
      <c r="Q127" s="8" t="s">
        <v>42</v>
      </c>
      <c r="R127" s="8">
        <v>6500.0</v>
      </c>
      <c r="S127" s="8">
        <v>8900.0</v>
      </c>
      <c r="T127" s="15"/>
      <c r="U127" s="8">
        <v>24.0</v>
      </c>
      <c r="V127" s="8" t="s">
        <v>948</v>
      </c>
      <c r="W127" s="8" t="s">
        <v>949</v>
      </c>
      <c r="X127" s="8" t="s">
        <v>734</v>
      </c>
      <c r="Y127" s="8" t="s">
        <v>481</v>
      </c>
      <c r="Z127" s="8" t="s">
        <v>132</v>
      </c>
      <c r="AA127" s="8" t="s">
        <v>61</v>
      </c>
      <c r="AB127" s="15"/>
      <c r="AC127" s="8">
        <v>5.0</v>
      </c>
      <c r="AD127" s="8">
        <v>6.0</v>
      </c>
      <c r="AE127" s="8">
        <v>1.0</v>
      </c>
      <c r="AF127" s="8">
        <v>2500.0</v>
      </c>
      <c r="AG127" s="32"/>
      <c r="AH127" s="15"/>
      <c r="AI127" s="15"/>
      <c r="AJ127" s="15"/>
      <c r="AK127" s="15"/>
      <c r="AL127" s="15"/>
      <c r="AM127" s="15"/>
    </row>
    <row r="128">
      <c r="A128" s="14">
        <v>44403.89381393518</v>
      </c>
      <c r="B128" s="8" t="s">
        <v>49</v>
      </c>
      <c r="C128" s="8">
        <v>26.0</v>
      </c>
      <c r="D128" s="8" t="s">
        <v>35</v>
      </c>
      <c r="E128" s="8" t="s">
        <v>36</v>
      </c>
      <c r="F128" s="8" t="s">
        <v>50</v>
      </c>
      <c r="G128" s="8" t="s">
        <v>800</v>
      </c>
      <c r="H128" s="8" t="s">
        <v>38</v>
      </c>
      <c r="I128" s="8" t="s">
        <v>2368</v>
      </c>
      <c r="J128" s="8" t="s">
        <v>2406</v>
      </c>
      <c r="K128" s="8" t="s">
        <v>39</v>
      </c>
      <c r="L128" s="8" t="s">
        <v>40</v>
      </c>
      <c r="M128" s="8" t="s">
        <v>40</v>
      </c>
      <c r="N128" s="15"/>
      <c r="O128" s="15"/>
      <c r="P128" s="8" t="s">
        <v>1928</v>
      </c>
      <c r="Q128" s="8" t="s">
        <v>42</v>
      </c>
      <c r="R128" s="8">
        <v>4750.0</v>
      </c>
      <c r="S128" s="8">
        <v>2900.0</v>
      </c>
      <c r="T128" s="15"/>
      <c r="U128" s="8">
        <v>16.0</v>
      </c>
      <c r="V128" s="8" t="s">
        <v>1929</v>
      </c>
      <c r="W128" s="8" t="s">
        <v>1930</v>
      </c>
      <c r="X128" s="8" t="s">
        <v>58</v>
      </c>
      <c r="Y128" s="8" t="s">
        <v>1013</v>
      </c>
      <c r="Z128" s="8" t="s">
        <v>90</v>
      </c>
      <c r="AA128" s="8" t="s">
        <v>61</v>
      </c>
      <c r="AB128" s="15"/>
      <c r="AC128" s="8">
        <v>6.0</v>
      </c>
      <c r="AD128" s="8">
        <v>0.5</v>
      </c>
      <c r="AE128" s="8">
        <v>2.0</v>
      </c>
      <c r="AF128" s="8">
        <v>3600.0</v>
      </c>
      <c r="AG128" s="32"/>
      <c r="AH128" s="15"/>
      <c r="AI128" s="15"/>
      <c r="AJ128" s="15"/>
      <c r="AK128" s="15"/>
      <c r="AL128" s="15"/>
      <c r="AM128" s="15"/>
    </row>
    <row r="129">
      <c r="A129" s="7">
        <v>44403.89524133102</v>
      </c>
      <c r="B129" s="9" t="s">
        <v>49</v>
      </c>
      <c r="C129" s="9">
        <v>21.0</v>
      </c>
      <c r="D129" s="9" t="s">
        <v>35</v>
      </c>
      <c r="E129" s="9" t="s">
        <v>36</v>
      </c>
      <c r="F129" s="9" t="s">
        <v>50</v>
      </c>
      <c r="G129" s="9" t="s">
        <v>180</v>
      </c>
      <c r="H129" s="9" t="s">
        <v>38</v>
      </c>
      <c r="I129" s="9" t="s">
        <v>2658</v>
      </c>
      <c r="J129" s="9" t="s">
        <v>2659</v>
      </c>
      <c r="K129" s="9" t="s">
        <v>39</v>
      </c>
      <c r="L129" s="9" t="s">
        <v>39</v>
      </c>
      <c r="M129" s="9" t="s">
        <v>40</v>
      </c>
      <c r="N129" s="9" t="s">
        <v>693</v>
      </c>
      <c r="P129" s="9" t="s">
        <v>694</v>
      </c>
      <c r="Q129" s="9" t="s">
        <v>42</v>
      </c>
      <c r="R129" s="9">
        <v>4700.0</v>
      </c>
      <c r="S129" s="9">
        <v>0.0</v>
      </c>
      <c r="T129" s="9">
        <v>0.0</v>
      </c>
      <c r="U129" s="9">
        <v>20.0</v>
      </c>
      <c r="V129" s="9" t="s">
        <v>695</v>
      </c>
      <c r="W129" s="9" t="s">
        <v>87</v>
      </c>
      <c r="X129" s="9" t="s">
        <v>296</v>
      </c>
      <c r="Y129" s="9" t="s">
        <v>297</v>
      </c>
      <c r="Z129" s="9" t="s">
        <v>81</v>
      </c>
      <c r="AA129" s="9" t="s">
        <v>61</v>
      </c>
      <c r="AB129" s="9" t="s">
        <v>696</v>
      </c>
      <c r="AC129" s="9">
        <v>9.0</v>
      </c>
      <c r="AD129" s="9">
        <v>1.0</v>
      </c>
      <c r="AE129" s="9">
        <v>2.0</v>
      </c>
      <c r="AF129" s="9">
        <v>2200.0</v>
      </c>
      <c r="AG129" s="33"/>
    </row>
    <row r="130">
      <c r="A130" s="7">
        <v>44403.895933391206</v>
      </c>
      <c r="B130" s="9" t="s">
        <v>49</v>
      </c>
      <c r="C130" s="9">
        <v>31.0</v>
      </c>
      <c r="D130" s="9" t="s">
        <v>35</v>
      </c>
      <c r="E130" s="9" t="s">
        <v>36</v>
      </c>
      <c r="F130" s="9" t="s">
        <v>617</v>
      </c>
      <c r="G130" s="9" t="s">
        <v>621</v>
      </c>
      <c r="H130" s="9" t="s">
        <v>38</v>
      </c>
      <c r="I130" s="9" t="s">
        <v>2368</v>
      </c>
      <c r="J130" s="9" t="s">
        <v>2389</v>
      </c>
      <c r="K130" s="9" t="s">
        <v>39</v>
      </c>
      <c r="L130" s="9" t="s">
        <v>40</v>
      </c>
      <c r="M130" s="9" t="s">
        <v>40</v>
      </c>
      <c r="P130" s="9" t="s">
        <v>548</v>
      </c>
      <c r="Q130" s="9" t="s">
        <v>42</v>
      </c>
      <c r="R130" s="9">
        <v>4800.0</v>
      </c>
      <c r="S130" s="9">
        <v>1.0</v>
      </c>
      <c r="T130" s="9">
        <v>0.0</v>
      </c>
      <c r="U130" s="9">
        <v>12.0</v>
      </c>
      <c r="V130" s="9" t="s">
        <v>622</v>
      </c>
      <c r="W130" s="9" t="s">
        <v>2660</v>
      </c>
      <c r="X130" s="9" t="s">
        <v>79</v>
      </c>
      <c r="Y130" s="9" t="s">
        <v>159</v>
      </c>
      <c r="Z130" s="9" t="s">
        <v>47</v>
      </c>
      <c r="AA130" s="9" t="s">
        <v>61</v>
      </c>
      <c r="AB130" s="9" t="s">
        <v>624</v>
      </c>
      <c r="AC130" s="9">
        <v>5.0</v>
      </c>
      <c r="AD130" s="9">
        <v>6.0</v>
      </c>
      <c r="AE130" s="9">
        <v>3.0</v>
      </c>
      <c r="AF130" s="9">
        <v>2000.0</v>
      </c>
      <c r="AG130" s="33"/>
    </row>
    <row r="131">
      <c r="A131" s="7">
        <v>44403.89625877315</v>
      </c>
      <c r="B131" s="9" t="s">
        <v>49</v>
      </c>
      <c r="C131" s="9">
        <v>29.0</v>
      </c>
      <c r="D131" s="9" t="s">
        <v>35</v>
      </c>
      <c r="E131" s="9" t="s">
        <v>246</v>
      </c>
      <c r="F131" s="9" t="s">
        <v>246</v>
      </c>
      <c r="G131" s="9" t="s">
        <v>246</v>
      </c>
      <c r="H131" s="9" t="s">
        <v>38</v>
      </c>
      <c r="I131" s="9" t="s">
        <v>2368</v>
      </c>
      <c r="J131" s="9" t="s">
        <v>337</v>
      </c>
      <c r="K131" s="9" t="s">
        <v>39</v>
      </c>
      <c r="L131" s="9" t="s">
        <v>39</v>
      </c>
      <c r="M131" s="9" t="s">
        <v>39</v>
      </c>
      <c r="N131" s="9" t="s">
        <v>1872</v>
      </c>
      <c r="O131" s="9" t="s">
        <v>1873</v>
      </c>
      <c r="P131" s="9" t="s">
        <v>2661</v>
      </c>
      <c r="Q131" s="9" t="s">
        <v>250</v>
      </c>
      <c r="R131" s="9">
        <v>5000.0</v>
      </c>
      <c r="S131" s="9">
        <v>0.0</v>
      </c>
      <c r="T131" s="9">
        <v>0.0</v>
      </c>
      <c r="U131" s="9">
        <v>17.0</v>
      </c>
      <c r="V131" s="9" t="s">
        <v>1249</v>
      </c>
      <c r="W131" s="9" t="s">
        <v>1875</v>
      </c>
      <c r="X131" s="9" t="s">
        <v>246</v>
      </c>
      <c r="Y131" s="9" t="s">
        <v>1876</v>
      </c>
      <c r="Z131" s="9" t="s">
        <v>132</v>
      </c>
      <c r="AA131" s="9" t="s">
        <v>91</v>
      </c>
      <c r="AC131" s="9">
        <v>6.0</v>
      </c>
      <c r="AD131" s="9">
        <v>5.0</v>
      </c>
      <c r="AE131" s="9">
        <v>2.0</v>
      </c>
      <c r="AF131" s="9">
        <v>3500.0</v>
      </c>
      <c r="AG131" s="33"/>
    </row>
    <row r="132">
      <c r="A132" s="7">
        <v>44403.8967240162</v>
      </c>
      <c r="B132" s="9" t="s">
        <v>49</v>
      </c>
      <c r="C132" s="9">
        <v>37.0</v>
      </c>
      <c r="D132" s="9" t="s">
        <v>35</v>
      </c>
      <c r="E132" s="9" t="s">
        <v>36</v>
      </c>
      <c r="F132" s="9" t="s">
        <v>50</v>
      </c>
      <c r="G132" s="9" t="s">
        <v>2662</v>
      </c>
      <c r="H132" s="9" t="s">
        <v>38</v>
      </c>
      <c r="I132" s="9" t="s">
        <v>2663</v>
      </c>
      <c r="J132" s="9" t="s">
        <v>2664</v>
      </c>
      <c r="K132" s="9" t="s">
        <v>39</v>
      </c>
      <c r="L132" s="9" t="s">
        <v>40</v>
      </c>
      <c r="M132" s="9" t="s">
        <v>40</v>
      </c>
      <c r="P132" s="9" t="s">
        <v>837</v>
      </c>
      <c r="Q132" s="9" t="s">
        <v>42</v>
      </c>
      <c r="R132" s="9">
        <v>12190.0</v>
      </c>
      <c r="S132" s="9">
        <v>12000.0</v>
      </c>
      <c r="T132" s="9">
        <v>0.0</v>
      </c>
      <c r="U132" s="9">
        <v>14.0</v>
      </c>
      <c r="V132" s="9" t="s">
        <v>638</v>
      </c>
      <c r="W132" s="9" t="s">
        <v>639</v>
      </c>
      <c r="X132" s="9" t="s">
        <v>50</v>
      </c>
      <c r="Y132" s="9" t="s">
        <v>640</v>
      </c>
      <c r="Z132" s="9" t="s">
        <v>71</v>
      </c>
      <c r="AA132" s="9" t="s">
        <v>61</v>
      </c>
      <c r="AC132" s="9">
        <v>8.0</v>
      </c>
      <c r="AD132" s="9">
        <v>12.0</v>
      </c>
      <c r="AE132" s="9">
        <v>3.0</v>
      </c>
      <c r="AF132" s="9">
        <v>2000.0</v>
      </c>
      <c r="AG132" s="33"/>
    </row>
    <row r="133">
      <c r="A133" s="7">
        <v>44403.8969760301</v>
      </c>
      <c r="B133" s="9" t="s">
        <v>49</v>
      </c>
      <c r="C133" s="9">
        <v>26.0</v>
      </c>
      <c r="D133" s="9" t="s">
        <v>35</v>
      </c>
      <c r="E133" s="9" t="s">
        <v>36</v>
      </c>
      <c r="F133" s="9" t="s">
        <v>363</v>
      </c>
      <c r="G133" s="9" t="s">
        <v>2048</v>
      </c>
      <c r="H133" s="9" t="s">
        <v>247</v>
      </c>
      <c r="I133" s="9" t="s">
        <v>2665</v>
      </c>
      <c r="J133" s="9" t="s">
        <v>2666</v>
      </c>
      <c r="K133" s="9" t="s">
        <v>39</v>
      </c>
      <c r="L133" s="9" t="s">
        <v>40</v>
      </c>
      <c r="M133" s="9" t="s">
        <v>40</v>
      </c>
      <c r="P133" s="9" t="s">
        <v>736</v>
      </c>
      <c r="Q133" s="9" t="s">
        <v>42</v>
      </c>
      <c r="R133" s="9">
        <v>5200.0</v>
      </c>
      <c r="S133" s="9">
        <v>5200.0</v>
      </c>
      <c r="T133" s="9">
        <v>0.0</v>
      </c>
      <c r="U133" s="9">
        <v>15.0</v>
      </c>
      <c r="V133" s="9" t="s">
        <v>2049</v>
      </c>
      <c r="W133" s="9" t="s">
        <v>2667</v>
      </c>
      <c r="X133" s="9" t="s">
        <v>79</v>
      </c>
      <c r="Y133" s="9" t="s">
        <v>2051</v>
      </c>
      <c r="Z133" s="9" t="s">
        <v>60</v>
      </c>
      <c r="AA133" s="9" t="s">
        <v>61</v>
      </c>
      <c r="AC133" s="9">
        <v>7.0</v>
      </c>
      <c r="AD133" s="9">
        <v>3.0</v>
      </c>
      <c r="AE133" s="9">
        <v>0.0</v>
      </c>
      <c r="AF133" s="9">
        <v>4000.0</v>
      </c>
      <c r="AG133" s="33"/>
    </row>
    <row r="134">
      <c r="A134" s="7">
        <v>44403.89825288195</v>
      </c>
      <c r="B134" s="9" t="s">
        <v>49</v>
      </c>
      <c r="C134" s="9">
        <v>26.0</v>
      </c>
      <c r="D134" s="9" t="s">
        <v>35</v>
      </c>
      <c r="E134" s="9" t="s">
        <v>36</v>
      </c>
      <c r="F134" s="9" t="s">
        <v>63</v>
      </c>
      <c r="G134" s="9" t="s">
        <v>301</v>
      </c>
      <c r="H134" s="9" t="s">
        <v>38</v>
      </c>
      <c r="K134" s="9" t="s">
        <v>40</v>
      </c>
      <c r="L134" s="9" t="s">
        <v>40</v>
      </c>
      <c r="M134" s="9" t="s">
        <v>40</v>
      </c>
      <c r="P134" s="9" t="s">
        <v>2668</v>
      </c>
      <c r="Q134" s="9" t="s">
        <v>42</v>
      </c>
      <c r="R134" s="9">
        <v>6000.0</v>
      </c>
      <c r="T134" s="9">
        <v>0.0</v>
      </c>
      <c r="U134" s="9">
        <v>14.0</v>
      </c>
      <c r="V134" s="9" t="s">
        <v>1861</v>
      </c>
      <c r="W134" s="9" t="s">
        <v>2669</v>
      </c>
      <c r="X134" s="9" t="s">
        <v>36</v>
      </c>
      <c r="Y134" s="9" t="s">
        <v>159</v>
      </c>
      <c r="Z134" s="9" t="s">
        <v>71</v>
      </c>
      <c r="AA134" s="9" t="s">
        <v>61</v>
      </c>
      <c r="AC134" s="9">
        <v>6.0</v>
      </c>
      <c r="AD134" s="9">
        <v>2.0</v>
      </c>
      <c r="AE134" s="9">
        <v>0.0</v>
      </c>
      <c r="AF134" s="9">
        <v>3500.0</v>
      </c>
      <c r="AG134" s="33"/>
    </row>
    <row r="135">
      <c r="A135" s="7">
        <v>44403.89841091435</v>
      </c>
      <c r="B135" s="9" t="s">
        <v>49</v>
      </c>
      <c r="C135" s="9">
        <v>38.0</v>
      </c>
      <c r="D135" s="9" t="s">
        <v>35</v>
      </c>
      <c r="E135" s="9" t="s">
        <v>36</v>
      </c>
      <c r="F135" s="9" t="s">
        <v>50</v>
      </c>
      <c r="G135" s="9" t="s">
        <v>874</v>
      </c>
      <c r="H135" s="9" t="s">
        <v>38</v>
      </c>
      <c r="I135" s="9" t="s">
        <v>2670</v>
      </c>
      <c r="J135" s="9" t="s">
        <v>2671</v>
      </c>
      <c r="K135" s="9" t="s">
        <v>39</v>
      </c>
      <c r="L135" s="9" t="s">
        <v>40</v>
      </c>
      <c r="M135" s="9" t="s">
        <v>40</v>
      </c>
      <c r="P135" s="9" t="s">
        <v>2588</v>
      </c>
      <c r="Q135" s="9" t="s">
        <v>42</v>
      </c>
      <c r="R135" s="9">
        <v>12000.0</v>
      </c>
      <c r="S135" s="9">
        <v>0.0</v>
      </c>
      <c r="T135" s="9">
        <v>0.0</v>
      </c>
      <c r="U135" s="9">
        <v>28.0</v>
      </c>
      <c r="V135" s="9" t="s">
        <v>334</v>
      </c>
      <c r="W135" s="9" t="s">
        <v>335</v>
      </c>
      <c r="X135" s="9" t="s">
        <v>336</v>
      </c>
      <c r="Y135" s="9" t="s">
        <v>159</v>
      </c>
      <c r="Z135" s="9" t="s">
        <v>47</v>
      </c>
      <c r="AA135" s="9" t="s">
        <v>61</v>
      </c>
      <c r="AC135" s="9">
        <v>10.0</v>
      </c>
      <c r="AD135" s="9">
        <v>10.0</v>
      </c>
      <c r="AE135" s="9">
        <v>2.0</v>
      </c>
      <c r="AF135" s="9">
        <v>1400.0</v>
      </c>
      <c r="AG135" s="33"/>
    </row>
    <row r="136">
      <c r="A136" s="7">
        <v>44403.8984139699</v>
      </c>
      <c r="B136" s="9" t="s">
        <v>49</v>
      </c>
      <c r="C136" s="9">
        <v>30.0</v>
      </c>
      <c r="D136" s="9" t="s">
        <v>35</v>
      </c>
      <c r="E136" s="9" t="s">
        <v>36</v>
      </c>
      <c r="F136" s="9" t="s">
        <v>363</v>
      </c>
      <c r="G136" s="9" t="s">
        <v>212</v>
      </c>
      <c r="H136" s="9" t="s">
        <v>38</v>
      </c>
      <c r="I136" s="9" t="s">
        <v>2368</v>
      </c>
      <c r="J136" s="9" t="s">
        <v>2672</v>
      </c>
      <c r="K136" s="9" t="s">
        <v>39</v>
      </c>
      <c r="L136" s="9" t="s">
        <v>40</v>
      </c>
      <c r="M136" s="9" t="s">
        <v>39</v>
      </c>
      <c r="O136" s="9" t="s">
        <v>992</v>
      </c>
      <c r="P136" s="9" t="s">
        <v>2673</v>
      </c>
      <c r="Q136" s="9" t="s">
        <v>42</v>
      </c>
      <c r="R136" s="9">
        <v>4500.0</v>
      </c>
      <c r="S136" s="9">
        <v>18000.0</v>
      </c>
      <c r="U136" s="9">
        <v>18.0</v>
      </c>
      <c r="V136" s="9" t="s">
        <v>994</v>
      </c>
      <c r="W136" s="9" t="s">
        <v>995</v>
      </c>
      <c r="X136" s="9" t="s">
        <v>79</v>
      </c>
      <c r="Y136" s="9" t="s">
        <v>80</v>
      </c>
      <c r="Z136" s="9" t="s">
        <v>81</v>
      </c>
      <c r="AA136" s="9" t="s">
        <v>91</v>
      </c>
      <c r="AB136" s="9" t="s">
        <v>996</v>
      </c>
      <c r="AC136" s="9">
        <v>8.0</v>
      </c>
      <c r="AD136" s="9">
        <v>5.0</v>
      </c>
      <c r="AE136" s="9">
        <v>1.0</v>
      </c>
      <c r="AF136" s="9">
        <v>2600.0</v>
      </c>
      <c r="AG136" s="33"/>
    </row>
    <row r="137">
      <c r="A137" s="7">
        <v>44403.89922755787</v>
      </c>
      <c r="B137" s="9" t="s">
        <v>49</v>
      </c>
      <c r="C137" s="9">
        <v>30.0</v>
      </c>
      <c r="D137" s="9" t="s">
        <v>35</v>
      </c>
      <c r="E137" s="9" t="s">
        <v>36</v>
      </c>
      <c r="F137" s="9" t="s">
        <v>63</v>
      </c>
      <c r="G137" s="9" t="s">
        <v>63</v>
      </c>
      <c r="H137" s="9" t="s">
        <v>38</v>
      </c>
      <c r="I137" s="9" t="s">
        <v>2674</v>
      </c>
      <c r="J137" s="9" t="s">
        <v>2675</v>
      </c>
      <c r="K137" s="9" t="s">
        <v>39</v>
      </c>
      <c r="L137" s="9" t="s">
        <v>40</v>
      </c>
      <c r="M137" s="9" t="s">
        <v>40</v>
      </c>
      <c r="P137" s="9" t="s">
        <v>2676</v>
      </c>
      <c r="Q137" s="9" t="s">
        <v>42</v>
      </c>
      <c r="R137" s="9">
        <v>5000.0</v>
      </c>
      <c r="S137" s="9">
        <v>5000.0</v>
      </c>
      <c r="T137" s="9">
        <v>0.0</v>
      </c>
      <c r="U137" s="9">
        <v>22.0</v>
      </c>
      <c r="V137" s="9" t="s">
        <v>1218</v>
      </c>
      <c r="W137" s="9" t="s">
        <v>2069</v>
      </c>
      <c r="X137" s="9" t="s">
        <v>2070</v>
      </c>
      <c r="Y137" s="9" t="s">
        <v>80</v>
      </c>
      <c r="Z137" s="9" t="s">
        <v>81</v>
      </c>
      <c r="AA137" s="9" t="s">
        <v>61</v>
      </c>
      <c r="AC137" s="9">
        <v>7.0</v>
      </c>
      <c r="AD137" s="9">
        <v>3.0</v>
      </c>
      <c r="AE137" s="9">
        <v>2.0</v>
      </c>
      <c r="AF137" s="9">
        <v>4000.0</v>
      </c>
      <c r="AG137" s="33"/>
    </row>
    <row r="138">
      <c r="A138" s="7">
        <v>44403.900155069445</v>
      </c>
      <c r="B138" s="9" t="s">
        <v>49</v>
      </c>
      <c r="C138" s="9">
        <v>32.0</v>
      </c>
      <c r="D138" s="9" t="s">
        <v>35</v>
      </c>
      <c r="E138" s="9" t="s">
        <v>36</v>
      </c>
      <c r="F138" s="9" t="s">
        <v>124</v>
      </c>
      <c r="G138" s="9" t="s">
        <v>124</v>
      </c>
      <c r="H138" s="9" t="s">
        <v>38</v>
      </c>
      <c r="I138" s="9" t="s">
        <v>2677</v>
      </c>
      <c r="K138" s="9" t="s">
        <v>39</v>
      </c>
      <c r="L138" s="9" t="s">
        <v>40</v>
      </c>
      <c r="M138" s="9" t="s">
        <v>40</v>
      </c>
      <c r="P138" s="9" t="s">
        <v>746</v>
      </c>
      <c r="Q138" s="9" t="s">
        <v>42</v>
      </c>
      <c r="R138" s="9">
        <v>12500.0</v>
      </c>
      <c r="S138" s="9">
        <v>0.0</v>
      </c>
      <c r="T138" s="9">
        <v>0.0</v>
      </c>
      <c r="U138" s="9">
        <v>10.0</v>
      </c>
      <c r="V138" s="9" t="s">
        <v>841</v>
      </c>
      <c r="W138" s="9" t="s">
        <v>842</v>
      </c>
      <c r="X138" s="9" t="s">
        <v>843</v>
      </c>
      <c r="Y138" s="9" t="s">
        <v>116</v>
      </c>
      <c r="Z138" s="9" t="s">
        <v>132</v>
      </c>
      <c r="AA138" s="9" t="s">
        <v>61</v>
      </c>
      <c r="AC138" s="9">
        <v>10.0</v>
      </c>
      <c r="AD138" s="9">
        <v>8.0</v>
      </c>
      <c r="AE138" s="9">
        <v>5.0</v>
      </c>
      <c r="AF138" s="9">
        <v>2500.0</v>
      </c>
      <c r="AG138" s="33"/>
    </row>
    <row r="139">
      <c r="A139" s="7">
        <v>44403.90057084491</v>
      </c>
      <c r="B139" s="9" t="s">
        <v>49</v>
      </c>
      <c r="C139" s="9">
        <v>29.0</v>
      </c>
      <c r="D139" s="9" t="s">
        <v>35</v>
      </c>
      <c r="E139" s="9" t="s">
        <v>36</v>
      </c>
      <c r="F139" s="9" t="s">
        <v>50</v>
      </c>
      <c r="G139" s="9" t="s">
        <v>106</v>
      </c>
      <c r="H139" s="9" t="s">
        <v>38</v>
      </c>
      <c r="I139" s="9" t="s">
        <v>2678</v>
      </c>
      <c r="K139" s="9" t="s">
        <v>39</v>
      </c>
      <c r="L139" s="9" t="s">
        <v>40</v>
      </c>
      <c r="M139" s="9" t="s">
        <v>40</v>
      </c>
      <c r="P139" s="9" t="s">
        <v>119</v>
      </c>
      <c r="Q139" s="9" t="s">
        <v>42</v>
      </c>
      <c r="R139" s="9">
        <v>15000.0</v>
      </c>
      <c r="S139" s="9">
        <v>0.0</v>
      </c>
      <c r="T139" s="9">
        <v>0.0</v>
      </c>
      <c r="U139" s="9">
        <v>20.0</v>
      </c>
      <c r="V139" s="9" t="s">
        <v>2284</v>
      </c>
      <c r="W139" s="9" t="s">
        <v>2285</v>
      </c>
      <c r="X139" s="9" t="s">
        <v>122</v>
      </c>
      <c r="Y139" s="9" t="s">
        <v>59</v>
      </c>
      <c r="Z139" s="9" t="s">
        <v>60</v>
      </c>
      <c r="AA139" s="9" t="s">
        <v>133</v>
      </c>
      <c r="AC139" s="9">
        <v>6.0</v>
      </c>
      <c r="AD139" s="9">
        <v>6.0</v>
      </c>
      <c r="AE139" s="9">
        <v>4.0</v>
      </c>
      <c r="AF139" s="9">
        <v>9000.0</v>
      </c>
      <c r="AG139" s="33"/>
    </row>
    <row r="140">
      <c r="A140" s="7">
        <v>44403.90063483796</v>
      </c>
      <c r="B140" s="9" t="s">
        <v>49</v>
      </c>
      <c r="C140" s="9">
        <v>26.0</v>
      </c>
      <c r="D140" s="9" t="s">
        <v>35</v>
      </c>
      <c r="E140" s="9" t="s">
        <v>36</v>
      </c>
      <c r="F140" s="9" t="s">
        <v>50</v>
      </c>
      <c r="G140" s="9" t="s">
        <v>2679</v>
      </c>
      <c r="H140" s="9" t="s">
        <v>38</v>
      </c>
      <c r="I140" s="9" t="s">
        <v>2413</v>
      </c>
      <c r="J140" s="9" t="s">
        <v>1523</v>
      </c>
      <c r="K140" s="9" t="s">
        <v>39</v>
      </c>
      <c r="L140" s="9" t="s">
        <v>40</v>
      </c>
      <c r="M140" s="9" t="s">
        <v>39</v>
      </c>
      <c r="O140" s="9" t="s">
        <v>1524</v>
      </c>
      <c r="P140" s="9" t="s">
        <v>128</v>
      </c>
      <c r="Q140" s="9" t="s">
        <v>42</v>
      </c>
      <c r="R140" s="9">
        <v>6500.0</v>
      </c>
      <c r="S140" s="9">
        <v>13000.0</v>
      </c>
      <c r="U140" s="9">
        <v>21.0</v>
      </c>
      <c r="V140" s="9" t="s">
        <v>1525</v>
      </c>
      <c r="W140" s="9" t="s">
        <v>358</v>
      </c>
      <c r="X140" s="9" t="s">
        <v>36</v>
      </c>
      <c r="Y140" s="9" t="s">
        <v>59</v>
      </c>
      <c r="Z140" s="9" t="s">
        <v>71</v>
      </c>
      <c r="AA140" s="9" t="s">
        <v>61</v>
      </c>
      <c r="AB140" s="9" t="s">
        <v>1526</v>
      </c>
      <c r="AC140" s="9">
        <v>10.0</v>
      </c>
      <c r="AD140" s="9">
        <v>3.0</v>
      </c>
      <c r="AE140" s="9">
        <v>1.0</v>
      </c>
      <c r="AF140" s="9">
        <v>3000.0</v>
      </c>
      <c r="AG140" s="33"/>
    </row>
    <row r="141">
      <c r="A141" s="7">
        <v>44403.903105289355</v>
      </c>
      <c r="B141" s="9" t="s">
        <v>73</v>
      </c>
      <c r="C141" s="9">
        <v>33.0</v>
      </c>
      <c r="D141" s="9" t="s">
        <v>35</v>
      </c>
      <c r="E141" s="9" t="s">
        <v>36</v>
      </c>
      <c r="F141" s="9" t="s">
        <v>50</v>
      </c>
      <c r="G141" s="9" t="s">
        <v>300</v>
      </c>
      <c r="H141" s="9" t="s">
        <v>38</v>
      </c>
      <c r="I141" s="9" t="s">
        <v>239</v>
      </c>
      <c r="J141" s="9" t="s">
        <v>2680</v>
      </c>
      <c r="K141" s="9" t="s">
        <v>39</v>
      </c>
      <c r="L141" s="9" t="s">
        <v>40</v>
      </c>
      <c r="M141" s="9" t="s">
        <v>40</v>
      </c>
      <c r="P141" s="9" t="s">
        <v>2681</v>
      </c>
      <c r="Q141" s="9" t="s">
        <v>42</v>
      </c>
      <c r="R141" s="9">
        <v>8500.0</v>
      </c>
      <c r="S141" s="9">
        <v>0.0</v>
      </c>
      <c r="T141" s="9">
        <v>0.0</v>
      </c>
      <c r="U141" s="9">
        <v>20.0</v>
      </c>
      <c r="V141" s="9" t="s">
        <v>1054</v>
      </c>
      <c r="W141" s="9" t="s">
        <v>72</v>
      </c>
      <c r="X141" s="9" t="s">
        <v>139</v>
      </c>
      <c r="Y141" s="9" t="s">
        <v>116</v>
      </c>
      <c r="Z141" s="9" t="s">
        <v>71</v>
      </c>
      <c r="AA141" s="9" t="s">
        <v>61</v>
      </c>
      <c r="AC141" s="9">
        <v>8.0</v>
      </c>
      <c r="AD141" s="9">
        <v>8.0</v>
      </c>
      <c r="AE141" s="9">
        <v>5.0</v>
      </c>
      <c r="AF141" s="9">
        <v>2700.0</v>
      </c>
      <c r="AG141" s="33"/>
    </row>
    <row r="142">
      <c r="A142" s="7">
        <v>44403.903225243055</v>
      </c>
      <c r="B142" s="9" t="s">
        <v>49</v>
      </c>
      <c r="C142" s="9">
        <v>29.0</v>
      </c>
      <c r="D142" s="9" t="s">
        <v>35</v>
      </c>
      <c r="E142" s="9" t="s">
        <v>36</v>
      </c>
      <c r="F142" s="9" t="s">
        <v>36</v>
      </c>
      <c r="G142" s="9" t="s">
        <v>171</v>
      </c>
      <c r="H142" s="9" t="s">
        <v>38</v>
      </c>
      <c r="I142" s="9" t="s">
        <v>342</v>
      </c>
      <c r="J142" s="9" t="s">
        <v>2546</v>
      </c>
      <c r="K142" s="9" t="s">
        <v>39</v>
      </c>
      <c r="L142" s="9" t="s">
        <v>40</v>
      </c>
      <c r="M142" s="9" t="s">
        <v>40</v>
      </c>
      <c r="P142" s="9" t="s">
        <v>2682</v>
      </c>
      <c r="Q142" s="9" t="s">
        <v>2521</v>
      </c>
      <c r="R142" s="9">
        <v>18000.0</v>
      </c>
      <c r="S142" s="9">
        <v>90000.0</v>
      </c>
      <c r="T142" s="9">
        <v>0.0</v>
      </c>
      <c r="U142" s="9">
        <v>30.0</v>
      </c>
      <c r="V142" s="9" t="s">
        <v>2278</v>
      </c>
      <c r="W142" s="9" t="s">
        <v>2279</v>
      </c>
      <c r="X142" s="9" t="s">
        <v>2280</v>
      </c>
      <c r="Y142" s="9" t="s">
        <v>59</v>
      </c>
      <c r="Z142" s="9" t="s">
        <v>90</v>
      </c>
      <c r="AA142" s="9" t="s">
        <v>611</v>
      </c>
      <c r="AC142" s="9">
        <v>8.0</v>
      </c>
      <c r="AD142" s="9">
        <v>5.0</v>
      </c>
      <c r="AE142" s="9">
        <v>1.0</v>
      </c>
      <c r="AF142" s="9">
        <v>8000.0</v>
      </c>
      <c r="AG142" s="33"/>
    </row>
    <row r="143">
      <c r="A143" s="7">
        <v>44403.903818969906</v>
      </c>
      <c r="B143" s="9" t="s">
        <v>49</v>
      </c>
      <c r="C143" s="9">
        <v>30.0</v>
      </c>
      <c r="D143" s="9" t="s">
        <v>35</v>
      </c>
      <c r="E143" s="9" t="s">
        <v>36</v>
      </c>
      <c r="F143" s="9" t="s">
        <v>50</v>
      </c>
      <c r="G143" s="9" t="s">
        <v>82</v>
      </c>
      <c r="H143" s="9" t="s">
        <v>38</v>
      </c>
      <c r="I143" s="9" t="s">
        <v>2368</v>
      </c>
      <c r="J143" s="9" t="s">
        <v>2683</v>
      </c>
      <c r="K143" s="9" t="s">
        <v>39</v>
      </c>
      <c r="L143" s="9" t="s">
        <v>40</v>
      </c>
      <c r="M143" s="9" t="s">
        <v>40</v>
      </c>
      <c r="P143" s="9" t="s">
        <v>128</v>
      </c>
      <c r="Q143" s="9" t="s">
        <v>42</v>
      </c>
      <c r="R143" s="9">
        <v>7000.0</v>
      </c>
      <c r="S143" s="9">
        <v>9000.0</v>
      </c>
      <c r="U143" s="9">
        <v>15.0</v>
      </c>
      <c r="V143" s="9" t="s">
        <v>1631</v>
      </c>
      <c r="W143" s="9" t="s">
        <v>1632</v>
      </c>
      <c r="X143" s="9" t="s">
        <v>124</v>
      </c>
      <c r="Y143" s="9" t="s">
        <v>1633</v>
      </c>
      <c r="Z143" s="9" t="s">
        <v>81</v>
      </c>
      <c r="AA143" s="9" t="s">
        <v>611</v>
      </c>
      <c r="AB143" s="9" t="s">
        <v>1634</v>
      </c>
      <c r="AC143" s="9">
        <v>10.0</v>
      </c>
      <c r="AD143" s="9">
        <v>6.0</v>
      </c>
      <c r="AE143" s="9">
        <v>1.0</v>
      </c>
      <c r="AF143" s="9">
        <v>3200.0</v>
      </c>
      <c r="AG143" s="33"/>
    </row>
    <row r="144">
      <c r="A144" s="7">
        <v>44403.90420101852</v>
      </c>
      <c r="B144" s="9" t="s">
        <v>49</v>
      </c>
      <c r="C144" s="9">
        <v>24.0</v>
      </c>
      <c r="D144" s="9" t="s">
        <v>35</v>
      </c>
      <c r="E144" s="9" t="s">
        <v>36</v>
      </c>
      <c r="F144" s="9" t="s">
        <v>172</v>
      </c>
      <c r="G144" s="9" t="s">
        <v>173</v>
      </c>
      <c r="H144" s="9" t="s">
        <v>38</v>
      </c>
      <c r="I144" s="9" t="s">
        <v>2684</v>
      </c>
      <c r="J144" s="9" t="s">
        <v>2685</v>
      </c>
      <c r="K144" s="9" t="s">
        <v>39</v>
      </c>
      <c r="L144" s="9" t="s">
        <v>40</v>
      </c>
      <c r="M144" s="9" t="s">
        <v>40</v>
      </c>
      <c r="P144" s="9" t="s">
        <v>235</v>
      </c>
      <c r="Q144" s="9" t="s">
        <v>42</v>
      </c>
      <c r="R144" s="9">
        <v>3300.0</v>
      </c>
      <c r="S144" s="9">
        <v>0.0</v>
      </c>
      <c r="T144" s="9">
        <v>0.0</v>
      </c>
      <c r="U144" s="9">
        <v>14.0</v>
      </c>
      <c r="V144" s="9" t="s">
        <v>236</v>
      </c>
      <c r="W144" s="9" t="s">
        <v>237</v>
      </c>
      <c r="X144" s="9" t="s">
        <v>238</v>
      </c>
      <c r="Y144" s="9" t="s">
        <v>80</v>
      </c>
      <c r="Z144" s="9" t="s">
        <v>71</v>
      </c>
      <c r="AA144" s="9" t="s">
        <v>61</v>
      </c>
      <c r="AC144" s="9">
        <v>7.0</v>
      </c>
      <c r="AD144" s="9">
        <v>3.0</v>
      </c>
      <c r="AE144" s="9">
        <v>2.0</v>
      </c>
      <c r="AF144" s="9">
        <v>1000.0</v>
      </c>
      <c r="AG144" s="33"/>
    </row>
    <row r="145">
      <c r="A145" s="7">
        <v>44403.906153275464</v>
      </c>
      <c r="B145" s="9" t="s">
        <v>49</v>
      </c>
      <c r="C145" s="9">
        <v>22.0</v>
      </c>
      <c r="D145" s="9" t="s">
        <v>35</v>
      </c>
      <c r="E145" s="9" t="s">
        <v>36</v>
      </c>
      <c r="F145" s="9" t="s">
        <v>50</v>
      </c>
      <c r="G145" s="9" t="s">
        <v>2457</v>
      </c>
      <c r="H145" s="9" t="s">
        <v>38</v>
      </c>
      <c r="I145" s="9" t="s">
        <v>2388</v>
      </c>
      <c r="J145" s="9" t="s">
        <v>2686</v>
      </c>
      <c r="K145" s="9" t="s">
        <v>39</v>
      </c>
      <c r="L145" s="9" t="s">
        <v>40</v>
      </c>
      <c r="M145" s="9" t="s">
        <v>40</v>
      </c>
      <c r="P145" s="9" t="s">
        <v>128</v>
      </c>
      <c r="Q145" s="9" t="s">
        <v>42</v>
      </c>
      <c r="R145" s="9">
        <v>4400.0</v>
      </c>
      <c r="S145" s="9">
        <v>0.0</v>
      </c>
      <c r="T145" s="9">
        <v>0.0</v>
      </c>
      <c r="U145" s="9">
        <v>18.0</v>
      </c>
      <c r="V145" s="9" t="s">
        <v>2099</v>
      </c>
      <c r="W145" s="9" t="s">
        <v>224</v>
      </c>
      <c r="X145" s="9" t="s">
        <v>58</v>
      </c>
      <c r="Y145" s="9" t="s">
        <v>80</v>
      </c>
      <c r="Z145" s="9" t="s">
        <v>90</v>
      </c>
      <c r="AA145" s="9" t="s">
        <v>91</v>
      </c>
      <c r="AC145" s="9">
        <v>8.0</v>
      </c>
      <c r="AD145" s="9">
        <v>0.0</v>
      </c>
      <c r="AE145" s="9">
        <v>0.0</v>
      </c>
      <c r="AF145" s="9">
        <v>4400.0</v>
      </c>
      <c r="AG145" s="33"/>
    </row>
    <row r="146">
      <c r="A146" s="7">
        <v>44403.90713740741</v>
      </c>
      <c r="B146" s="9" t="s">
        <v>49</v>
      </c>
      <c r="C146" s="9">
        <v>28.0</v>
      </c>
      <c r="D146" s="9" t="s">
        <v>35</v>
      </c>
      <c r="E146" s="9" t="s">
        <v>36</v>
      </c>
      <c r="F146" s="9" t="s">
        <v>2687</v>
      </c>
      <c r="G146" s="9" t="s">
        <v>2688</v>
      </c>
      <c r="H146" s="9" t="s">
        <v>38</v>
      </c>
      <c r="I146" s="9" t="s">
        <v>2689</v>
      </c>
      <c r="J146" s="9" t="s">
        <v>2690</v>
      </c>
      <c r="K146" s="9" t="s">
        <v>39</v>
      </c>
      <c r="L146" s="9" t="s">
        <v>40</v>
      </c>
      <c r="M146" s="9" t="s">
        <v>40</v>
      </c>
      <c r="P146" s="9" t="s">
        <v>2691</v>
      </c>
      <c r="Q146" s="9" t="s">
        <v>42</v>
      </c>
      <c r="R146" s="9">
        <v>3300.0</v>
      </c>
      <c r="S146" s="9">
        <v>0.0</v>
      </c>
      <c r="T146" s="9">
        <v>0.0</v>
      </c>
      <c r="U146" s="9">
        <v>14.0</v>
      </c>
      <c r="V146" s="9" t="s">
        <v>635</v>
      </c>
      <c r="W146" s="9" t="s">
        <v>636</v>
      </c>
      <c r="X146" s="9" t="s">
        <v>637</v>
      </c>
      <c r="Y146" s="9" t="s">
        <v>70</v>
      </c>
      <c r="Z146" s="9" t="s">
        <v>60</v>
      </c>
      <c r="AA146" s="9" t="s">
        <v>91</v>
      </c>
      <c r="AC146" s="9">
        <v>8.0</v>
      </c>
      <c r="AD146" s="9">
        <v>4.0</v>
      </c>
      <c r="AE146" s="9">
        <v>0.0</v>
      </c>
      <c r="AF146" s="9">
        <v>2000.0</v>
      </c>
      <c r="AG146" s="33"/>
    </row>
    <row r="147">
      <c r="A147" s="7">
        <v>44403.90751130787</v>
      </c>
      <c r="B147" s="9" t="s">
        <v>49</v>
      </c>
      <c r="C147" s="9">
        <v>25.0</v>
      </c>
      <c r="D147" s="9" t="s">
        <v>35</v>
      </c>
      <c r="E147" s="9" t="s">
        <v>36</v>
      </c>
      <c r="F147" s="9" t="s">
        <v>50</v>
      </c>
      <c r="G147" s="9" t="s">
        <v>300</v>
      </c>
      <c r="H147" s="9" t="s">
        <v>93</v>
      </c>
      <c r="J147" s="9" t="s">
        <v>2692</v>
      </c>
      <c r="K147" s="9" t="s">
        <v>39</v>
      </c>
      <c r="L147" s="9" t="s">
        <v>40</v>
      </c>
      <c r="M147" s="9" t="s">
        <v>40</v>
      </c>
      <c r="P147" s="9" t="s">
        <v>2693</v>
      </c>
      <c r="Q147" s="9" t="s">
        <v>42</v>
      </c>
      <c r="R147" s="9">
        <v>13000.0</v>
      </c>
      <c r="U147" s="9">
        <v>14.0</v>
      </c>
      <c r="V147" s="9" t="s">
        <v>540</v>
      </c>
      <c r="W147" s="9" t="s">
        <v>1450</v>
      </c>
      <c r="X147" s="9" t="s">
        <v>180</v>
      </c>
      <c r="Y147" s="9" t="s">
        <v>59</v>
      </c>
      <c r="Z147" s="9" t="s">
        <v>71</v>
      </c>
      <c r="AA147" s="9" t="s">
        <v>61</v>
      </c>
      <c r="AC147" s="9">
        <v>7.0</v>
      </c>
      <c r="AD147" s="9">
        <v>5.0</v>
      </c>
      <c r="AE147" s="9">
        <v>2.0</v>
      </c>
      <c r="AF147" s="9">
        <v>3000.0</v>
      </c>
      <c r="AG147" s="33"/>
    </row>
    <row r="148">
      <c r="A148" s="7">
        <v>44403.90775576389</v>
      </c>
      <c r="B148" s="9" t="s">
        <v>49</v>
      </c>
      <c r="C148" s="9">
        <v>31.0</v>
      </c>
      <c r="D148" s="9" t="s">
        <v>35</v>
      </c>
      <c r="E148" s="9" t="s">
        <v>36</v>
      </c>
      <c r="F148" s="9" t="s">
        <v>124</v>
      </c>
      <c r="G148" s="9" t="s">
        <v>124</v>
      </c>
      <c r="H148" s="9" t="s">
        <v>247</v>
      </c>
      <c r="I148" s="9" t="s">
        <v>2694</v>
      </c>
      <c r="J148" s="9" t="s">
        <v>2695</v>
      </c>
      <c r="K148" s="9" t="s">
        <v>40</v>
      </c>
      <c r="L148" s="9" t="s">
        <v>40</v>
      </c>
      <c r="M148" s="9" t="s">
        <v>39</v>
      </c>
      <c r="O148" s="9" t="s">
        <v>1195</v>
      </c>
      <c r="P148" s="9" t="s">
        <v>2696</v>
      </c>
      <c r="Q148" s="9" t="s">
        <v>42</v>
      </c>
      <c r="R148" s="9">
        <v>9500.0</v>
      </c>
      <c r="S148" s="9">
        <v>19000.0</v>
      </c>
      <c r="T148" s="9">
        <v>0.0</v>
      </c>
      <c r="U148" s="9">
        <v>20.0</v>
      </c>
      <c r="V148" s="9" t="s">
        <v>1196</v>
      </c>
      <c r="W148" s="9" t="s">
        <v>1197</v>
      </c>
      <c r="X148" s="9" t="s">
        <v>122</v>
      </c>
      <c r="Y148" s="9" t="s">
        <v>89</v>
      </c>
      <c r="Z148" s="9" t="s">
        <v>90</v>
      </c>
      <c r="AA148" s="9" t="s">
        <v>61</v>
      </c>
      <c r="AC148" s="9">
        <v>3.0</v>
      </c>
      <c r="AD148" s="9">
        <v>6.0</v>
      </c>
      <c r="AE148" s="9">
        <v>3.0</v>
      </c>
      <c r="AF148" s="9">
        <v>2800.0</v>
      </c>
      <c r="AG148" s="33"/>
    </row>
    <row r="149">
      <c r="A149" s="7">
        <v>44403.9078721875</v>
      </c>
      <c r="B149" s="9" t="s">
        <v>49</v>
      </c>
      <c r="C149" s="9">
        <v>23.0</v>
      </c>
      <c r="D149" s="9" t="s">
        <v>35</v>
      </c>
      <c r="E149" s="9" t="s">
        <v>36</v>
      </c>
      <c r="F149" s="9" t="s">
        <v>186</v>
      </c>
      <c r="H149" s="9" t="s">
        <v>38</v>
      </c>
      <c r="I149" s="9" t="s">
        <v>2604</v>
      </c>
      <c r="K149" s="9" t="s">
        <v>39</v>
      </c>
      <c r="L149" s="9" t="s">
        <v>40</v>
      </c>
      <c r="M149" s="9" t="s">
        <v>40</v>
      </c>
      <c r="P149" s="9" t="s">
        <v>128</v>
      </c>
      <c r="Q149" s="9" t="s">
        <v>42</v>
      </c>
      <c r="R149" s="9">
        <v>3500.0</v>
      </c>
      <c r="S149" s="9">
        <v>0.0</v>
      </c>
      <c r="T149" s="9">
        <v>0.0</v>
      </c>
      <c r="U149" s="9">
        <v>20.0</v>
      </c>
      <c r="V149" s="9" t="s">
        <v>1891</v>
      </c>
      <c r="W149" s="9" t="s">
        <v>1892</v>
      </c>
      <c r="X149" s="9" t="s">
        <v>58</v>
      </c>
      <c r="Y149" s="9" t="s">
        <v>70</v>
      </c>
      <c r="Z149" s="9" t="s">
        <v>47</v>
      </c>
      <c r="AA149" s="9" t="s">
        <v>61</v>
      </c>
      <c r="AC149" s="9">
        <v>7.0</v>
      </c>
      <c r="AD149" s="9">
        <v>0.5</v>
      </c>
      <c r="AE149" s="9">
        <v>0.0</v>
      </c>
      <c r="AF149" s="9">
        <v>3500.0</v>
      </c>
      <c r="AG149" s="33"/>
    </row>
    <row r="150">
      <c r="A150" s="7">
        <v>44403.90817804398</v>
      </c>
      <c r="B150" s="9" t="s">
        <v>49</v>
      </c>
      <c r="C150" s="9">
        <v>27.0</v>
      </c>
      <c r="D150" s="9" t="s">
        <v>35</v>
      </c>
      <c r="E150" s="9" t="s">
        <v>36</v>
      </c>
      <c r="F150" s="9" t="s">
        <v>50</v>
      </c>
      <c r="G150" s="9" t="s">
        <v>106</v>
      </c>
      <c r="H150" s="9" t="s">
        <v>38</v>
      </c>
      <c r="I150" s="9" t="s">
        <v>2368</v>
      </c>
      <c r="J150" s="9" t="s">
        <v>2546</v>
      </c>
      <c r="K150" s="9" t="s">
        <v>39</v>
      </c>
      <c r="L150" s="9" t="s">
        <v>40</v>
      </c>
      <c r="M150" s="9" t="s">
        <v>40</v>
      </c>
      <c r="O150" s="9" t="s">
        <v>1922</v>
      </c>
      <c r="P150" s="9" t="s">
        <v>2697</v>
      </c>
      <c r="Q150" s="9" t="s">
        <v>42</v>
      </c>
      <c r="R150" s="9">
        <v>8650.0</v>
      </c>
      <c r="U150" s="9">
        <v>14.0</v>
      </c>
      <c r="V150" s="9" t="s">
        <v>1924</v>
      </c>
      <c r="W150" s="9" t="s">
        <v>1925</v>
      </c>
      <c r="X150" s="9" t="s">
        <v>2466</v>
      </c>
      <c r="Y150" s="9" t="s">
        <v>89</v>
      </c>
      <c r="Z150" s="9" t="s">
        <v>60</v>
      </c>
      <c r="AA150" s="9" t="s">
        <v>611</v>
      </c>
      <c r="AC150" s="9">
        <v>8.0</v>
      </c>
      <c r="AD150" s="9">
        <v>3.5</v>
      </c>
      <c r="AE150" s="9">
        <v>1.0</v>
      </c>
      <c r="AF150" s="9">
        <v>3600.0</v>
      </c>
      <c r="AG150" s="33"/>
    </row>
    <row r="151">
      <c r="A151" s="7">
        <v>44403.908277083334</v>
      </c>
      <c r="B151" s="9" t="s">
        <v>49</v>
      </c>
      <c r="C151" s="9">
        <v>31.0</v>
      </c>
      <c r="D151" s="9" t="s">
        <v>35</v>
      </c>
      <c r="E151" s="9" t="s">
        <v>36</v>
      </c>
      <c r="F151" s="9" t="s">
        <v>2544</v>
      </c>
      <c r="G151" s="9" t="s">
        <v>2544</v>
      </c>
      <c r="H151" s="9" t="s">
        <v>247</v>
      </c>
      <c r="K151" s="9" t="s">
        <v>40</v>
      </c>
      <c r="L151" s="9" t="s">
        <v>39</v>
      </c>
      <c r="M151" s="9" t="s">
        <v>40</v>
      </c>
      <c r="N151" s="9" t="s">
        <v>1046</v>
      </c>
      <c r="P151" s="9" t="s">
        <v>150</v>
      </c>
      <c r="Q151" s="9" t="s">
        <v>42</v>
      </c>
      <c r="R151" s="9">
        <v>8300.0</v>
      </c>
      <c r="T151" s="9">
        <v>0.0</v>
      </c>
      <c r="U151" s="9">
        <v>15.0</v>
      </c>
      <c r="V151" s="9" t="s">
        <v>1047</v>
      </c>
      <c r="W151" s="9" t="s">
        <v>2554</v>
      </c>
      <c r="X151" s="9" t="s">
        <v>2544</v>
      </c>
      <c r="Y151" s="9" t="s">
        <v>406</v>
      </c>
      <c r="Z151" s="9" t="s">
        <v>90</v>
      </c>
      <c r="AA151" s="9" t="s">
        <v>133</v>
      </c>
      <c r="AC151" s="9">
        <v>8.0</v>
      </c>
      <c r="AD151" s="9">
        <v>6.0</v>
      </c>
      <c r="AE151" s="9">
        <v>2.0</v>
      </c>
      <c r="AF151" s="9">
        <v>2700.0</v>
      </c>
      <c r="AG151" s="33"/>
    </row>
    <row r="152">
      <c r="A152" s="7">
        <v>44403.90919074074</v>
      </c>
      <c r="B152" s="9" t="s">
        <v>49</v>
      </c>
      <c r="C152" s="9">
        <v>26.0</v>
      </c>
      <c r="D152" s="9" t="s">
        <v>35</v>
      </c>
      <c r="E152" s="9" t="s">
        <v>36</v>
      </c>
      <c r="F152" s="9" t="s">
        <v>50</v>
      </c>
      <c r="G152" s="9" t="s">
        <v>106</v>
      </c>
      <c r="H152" s="9" t="s">
        <v>38</v>
      </c>
      <c r="I152" s="9" t="s">
        <v>2698</v>
      </c>
      <c r="J152" s="9" t="s">
        <v>2699</v>
      </c>
      <c r="K152" s="9" t="s">
        <v>40</v>
      </c>
      <c r="L152" s="9" t="s">
        <v>40</v>
      </c>
      <c r="M152" s="9" t="s">
        <v>40</v>
      </c>
      <c r="P152" s="9" t="s">
        <v>2700</v>
      </c>
      <c r="Q152" s="9" t="s">
        <v>42</v>
      </c>
      <c r="R152" s="9">
        <v>8500.0</v>
      </c>
      <c r="S152" s="9">
        <v>0.0</v>
      </c>
      <c r="T152" s="9">
        <v>0.0</v>
      </c>
      <c r="U152" s="9">
        <v>12.0</v>
      </c>
      <c r="V152" s="9" t="s">
        <v>1841</v>
      </c>
      <c r="W152" s="9" t="s">
        <v>1842</v>
      </c>
      <c r="X152" s="9" t="s">
        <v>1843</v>
      </c>
      <c r="Y152" s="9" t="s">
        <v>347</v>
      </c>
      <c r="Z152" s="9" t="s">
        <v>71</v>
      </c>
      <c r="AA152" s="9" t="s">
        <v>91</v>
      </c>
      <c r="AC152" s="9">
        <v>9.0</v>
      </c>
      <c r="AD152" s="9">
        <v>3.0</v>
      </c>
      <c r="AE152" s="9">
        <v>3.0</v>
      </c>
      <c r="AF152" s="9">
        <v>3500.0</v>
      </c>
      <c r="AG152" s="33"/>
    </row>
    <row r="153">
      <c r="A153" s="7">
        <v>44403.90932071759</v>
      </c>
      <c r="B153" s="9" t="s">
        <v>49</v>
      </c>
      <c r="C153" s="9">
        <v>24.0</v>
      </c>
      <c r="D153" s="9" t="s">
        <v>35</v>
      </c>
      <c r="E153" s="9" t="s">
        <v>36</v>
      </c>
      <c r="F153" s="9" t="s">
        <v>50</v>
      </c>
      <c r="G153" s="9" t="s">
        <v>493</v>
      </c>
      <c r="H153" s="9" t="s">
        <v>38</v>
      </c>
      <c r="I153" s="9" t="s">
        <v>2701</v>
      </c>
      <c r="J153" s="9" t="s">
        <v>2566</v>
      </c>
      <c r="K153" s="9" t="s">
        <v>39</v>
      </c>
      <c r="L153" s="9" t="s">
        <v>40</v>
      </c>
      <c r="M153" s="9" t="s">
        <v>40</v>
      </c>
      <c r="P153" s="9" t="s">
        <v>2438</v>
      </c>
      <c r="Q153" s="9" t="s">
        <v>42</v>
      </c>
      <c r="R153" s="9">
        <v>3300.0</v>
      </c>
      <c r="S153" s="9">
        <v>3300.0</v>
      </c>
      <c r="T153" s="9">
        <v>0.0</v>
      </c>
      <c r="U153" s="9">
        <v>14.0</v>
      </c>
      <c r="V153" s="9" t="s">
        <v>1433</v>
      </c>
      <c r="W153" s="9" t="s">
        <v>1434</v>
      </c>
      <c r="X153" s="9" t="s">
        <v>58</v>
      </c>
      <c r="Y153" s="9" t="s">
        <v>159</v>
      </c>
      <c r="Z153" s="9" t="s">
        <v>47</v>
      </c>
      <c r="AA153" s="9" t="s">
        <v>61</v>
      </c>
      <c r="AC153" s="9">
        <v>7.0</v>
      </c>
      <c r="AD153" s="9">
        <v>0.0</v>
      </c>
      <c r="AE153" s="9">
        <v>0.0</v>
      </c>
      <c r="AF153" s="9">
        <v>3000.0</v>
      </c>
      <c r="AG153" s="33"/>
    </row>
    <row r="154">
      <c r="A154" s="7">
        <v>44403.90996454861</v>
      </c>
      <c r="B154" s="9" t="s">
        <v>49</v>
      </c>
      <c r="C154" s="9">
        <v>30.0</v>
      </c>
      <c r="D154" s="9" t="s">
        <v>35</v>
      </c>
      <c r="E154" s="9" t="s">
        <v>36</v>
      </c>
      <c r="F154" s="9" t="s">
        <v>50</v>
      </c>
      <c r="G154" s="9" t="s">
        <v>206</v>
      </c>
      <c r="H154" s="9" t="s">
        <v>38</v>
      </c>
      <c r="I154" s="9" t="s">
        <v>2368</v>
      </c>
      <c r="J154" s="9" t="s">
        <v>2702</v>
      </c>
      <c r="K154" s="9" t="s">
        <v>39</v>
      </c>
      <c r="L154" s="9" t="s">
        <v>40</v>
      </c>
      <c r="M154" s="9" t="s">
        <v>40</v>
      </c>
      <c r="P154" s="9" t="s">
        <v>2703</v>
      </c>
      <c r="Q154" s="9" t="s">
        <v>42</v>
      </c>
      <c r="R154" s="9">
        <v>12500.0</v>
      </c>
      <c r="S154" s="9">
        <v>0.0</v>
      </c>
      <c r="T154" s="9">
        <v>0.0</v>
      </c>
      <c r="U154" s="9">
        <v>12.0</v>
      </c>
      <c r="V154" s="9" t="s">
        <v>714</v>
      </c>
      <c r="W154" s="9" t="s">
        <v>715</v>
      </c>
      <c r="X154" s="9" t="s">
        <v>122</v>
      </c>
      <c r="Y154" s="9" t="s">
        <v>59</v>
      </c>
      <c r="Z154" s="9" t="s">
        <v>60</v>
      </c>
      <c r="AA154" s="9" t="s">
        <v>61</v>
      </c>
      <c r="AB154" s="9" t="s">
        <v>716</v>
      </c>
      <c r="AC154" s="9">
        <v>8.0</v>
      </c>
      <c r="AD154" s="9">
        <v>6.0</v>
      </c>
      <c r="AE154" s="9">
        <v>5.0</v>
      </c>
      <c r="AF154" s="9">
        <v>2300.0</v>
      </c>
      <c r="AG154" s="33"/>
    </row>
    <row r="155">
      <c r="A155" s="7">
        <v>44403.91121872685</v>
      </c>
      <c r="B155" s="9" t="s">
        <v>49</v>
      </c>
      <c r="C155" s="9">
        <v>28.0</v>
      </c>
      <c r="D155" s="9" t="s">
        <v>35</v>
      </c>
      <c r="E155" s="9" t="s">
        <v>36</v>
      </c>
      <c r="F155" s="9" t="s">
        <v>363</v>
      </c>
      <c r="G155" s="9" t="s">
        <v>2625</v>
      </c>
      <c r="H155" s="9" t="s">
        <v>38</v>
      </c>
      <c r="I155" s="9" t="s">
        <v>2368</v>
      </c>
      <c r="J155" s="9" t="s">
        <v>2704</v>
      </c>
      <c r="K155" s="9" t="s">
        <v>39</v>
      </c>
      <c r="L155" s="9" t="s">
        <v>40</v>
      </c>
      <c r="M155" s="9" t="s">
        <v>40</v>
      </c>
      <c r="P155" s="9" t="s">
        <v>128</v>
      </c>
      <c r="Q155" s="9" t="s">
        <v>42</v>
      </c>
      <c r="R155" s="9">
        <v>5500.0</v>
      </c>
      <c r="S155" s="9">
        <v>11000.0</v>
      </c>
      <c r="T155" s="9">
        <v>0.0</v>
      </c>
      <c r="U155" s="9">
        <v>16.0</v>
      </c>
      <c r="V155" s="9" t="s">
        <v>724</v>
      </c>
      <c r="W155" s="9" t="s">
        <v>2705</v>
      </c>
      <c r="X155" s="9" t="s">
        <v>2427</v>
      </c>
      <c r="Y155" s="9" t="s">
        <v>80</v>
      </c>
      <c r="Z155" s="9" t="s">
        <v>90</v>
      </c>
      <c r="AA155" s="9" t="s">
        <v>61</v>
      </c>
      <c r="AB155" s="9" t="s">
        <v>726</v>
      </c>
      <c r="AC155" s="9">
        <v>6.0</v>
      </c>
      <c r="AD155" s="9">
        <v>5.0</v>
      </c>
      <c r="AE155" s="9">
        <v>5.0</v>
      </c>
      <c r="AF155" s="9">
        <v>2300.0</v>
      </c>
      <c r="AG155" s="33"/>
    </row>
    <row r="156">
      <c r="A156" s="7">
        <v>44403.91196824074</v>
      </c>
      <c r="B156" s="9" t="s">
        <v>49</v>
      </c>
      <c r="C156" s="9">
        <v>25.0</v>
      </c>
      <c r="D156" s="9" t="s">
        <v>35</v>
      </c>
      <c r="E156" s="9" t="s">
        <v>36</v>
      </c>
      <c r="F156" s="9" t="s">
        <v>50</v>
      </c>
      <c r="G156" s="9" t="s">
        <v>499</v>
      </c>
      <c r="H156" s="9" t="s">
        <v>38</v>
      </c>
      <c r="I156" s="9" t="s">
        <v>2706</v>
      </c>
      <c r="J156" s="9" t="s">
        <v>2675</v>
      </c>
      <c r="K156" s="9" t="s">
        <v>39</v>
      </c>
      <c r="L156" s="9" t="s">
        <v>40</v>
      </c>
      <c r="M156" s="9" t="s">
        <v>39</v>
      </c>
      <c r="O156" s="9" t="s">
        <v>398</v>
      </c>
      <c r="P156" s="9" t="s">
        <v>128</v>
      </c>
      <c r="Q156" s="9" t="s">
        <v>42</v>
      </c>
      <c r="R156" s="9">
        <v>3000.0</v>
      </c>
      <c r="S156" s="9">
        <v>0.0</v>
      </c>
      <c r="T156" s="9">
        <v>0.0</v>
      </c>
      <c r="U156" s="9">
        <v>14.0</v>
      </c>
      <c r="V156" s="9" t="s">
        <v>1421</v>
      </c>
      <c r="W156" s="9" t="s">
        <v>1422</v>
      </c>
      <c r="X156" s="9" t="s">
        <v>122</v>
      </c>
      <c r="Y156" s="9" t="s">
        <v>179</v>
      </c>
      <c r="Z156" s="9" t="s">
        <v>71</v>
      </c>
      <c r="AA156" s="9" t="s">
        <v>61</v>
      </c>
      <c r="AB156" s="9" t="s">
        <v>1423</v>
      </c>
      <c r="AC156" s="9">
        <v>8.0</v>
      </c>
      <c r="AD156" s="9">
        <v>1.0</v>
      </c>
      <c r="AE156" s="9">
        <v>0.0</v>
      </c>
      <c r="AF156" s="9">
        <v>3000.0</v>
      </c>
      <c r="AG156" s="33"/>
    </row>
    <row r="157">
      <c r="A157" s="7">
        <v>44403.91227576389</v>
      </c>
      <c r="B157" s="9" t="s">
        <v>73</v>
      </c>
      <c r="C157" s="9">
        <v>24.0</v>
      </c>
      <c r="D157" s="9" t="s">
        <v>35</v>
      </c>
      <c r="E157" s="9" t="s">
        <v>36</v>
      </c>
      <c r="F157" s="9" t="s">
        <v>50</v>
      </c>
      <c r="G157" s="9" t="s">
        <v>82</v>
      </c>
      <c r="H157" s="9" t="s">
        <v>247</v>
      </c>
      <c r="I157" s="9" t="s">
        <v>2707</v>
      </c>
      <c r="J157" s="9" t="s">
        <v>1766</v>
      </c>
      <c r="K157" s="9" t="s">
        <v>39</v>
      </c>
      <c r="L157" s="9" t="s">
        <v>40</v>
      </c>
      <c r="M157" s="9" t="s">
        <v>39</v>
      </c>
      <c r="O157" s="9" t="s">
        <v>1767</v>
      </c>
      <c r="P157" s="9" t="s">
        <v>2708</v>
      </c>
      <c r="Q157" s="9" t="s">
        <v>42</v>
      </c>
      <c r="R157" s="9">
        <v>3480.0</v>
      </c>
      <c r="S157" s="9">
        <v>0.0</v>
      </c>
      <c r="T157" s="9">
        <v>0.0</v>
      </c>
      <c r="U157" s="9">
        <v>18.0</v>
      </c>
      <c r="V157" s="9" t="s">
        <v>1768</v>
      </c>
      <c r="W157" s="9" t="s">
        <v>1769</v>
      </c>
      <c r="X157" s="9" t="s">
        <v>58</v>
      </c>
      <c r="Y157" s="9" t="s">
        <v>80</v>
      </c>
      <c r="Z157" s="9" t="s">
        <v>81</v>
      </c>
      <c r="AA157" s="9" t="s">
        <v>61</v>
      </c>
      <c r="AC157" s="9">
        <v>2.0</v>
      </c>
      <c r="AD157" s="9">
        <v>2.0</v>
      </c>
      <c r="AE157" s="9">
        <v>1.0</v>
      </c>
      <c r="AF157" s="9">
        <v>3400.0</v>
      </c>
      <c r="AG157" s="33"/>
    </row>
    <row r="158">
      <c r="A158" s="7">
        <v>44403.91280445602</v>
      </c>
      <c r="B158" s="9" t="s">
        <v>49</v>
      </c>
      <c r="C158" s="9">
        <v>29.0</v>
      </c>
      <c r="D158" s="9" t="s">
        <v>35</v>
      </c>
      <c r="E158" s="9" t="s">
        <v>36</v>
      </c>
      <c r="F158" s="9" t="s">
        <v>2430</v>
      </c>
      <c r="G158" s="9" t="s">
        <v>2709</v>
      </c>
      <c r="H158" s="9" t="s">
        <v>93</v>
      </c>
      <c r="I158" s="9" t="s">
        <v>2710</v>
      </c>
      <c r="J158" s="9" t="s">
        <v>2711</v>
      </c>
      <c r="K158" s="9" t="s">
        <v>40</v>
      </c>
      <c r="L158" s="9" t="s">
        <v>39</v>
      </c>
      <c r="M158" s="9" t="s">
        <v>40</v>
      </c>
      <c r="N158" s="9" t="s">
        <v>2712</v>
      </c>
      <c r="P158" s="9" t="s">
        <v>2713</v>
      </c>
      <c r="Q158" s="9" t="s">
        <v>42</v>
      </c>
      <c r="R158" s="9">
        <v>6500.0</v>
      </c>
      <c r="S158" s="9">
        <v>0.0</v>
      </c>
      <c r="T158" s="9">
        <v>0.0</v>
      </c>
      <c r="U158" s="9">
        <v>12.0</v>
      </c>
      <c r="V158" s="9" t="s">
        <v>856</v>
      </c>
      <c r="W158" s="9" t="s">
        <v>857</v>
      </c>
      <c r="X158" s="9" t="s">
        <v>349</v>
      </c>
      <c r="Y158" s="9" t="s">
        <v>547</v>
      </c>
      <c r="Z158" s="9" t="s">
        <v>71</v>
      </c>
      <c r="AA158" s="9" t="s">
        <v>61</v>
      </c>
      <c r="AC158" s="9">
        <v>8.0</v>
      </c>
      <c r="AD158" s="9">
        <v>4.0</v>
      </c>
      <c r="AE158" s="9">
        <v>2.0</v>
      </c>
      <c r="AF158" s="9">
        <v>2500.0</v>
      </c>
      <c r="AG158" s="33"/>
    </row>
    <row r="159">
      <c r="A159" s="7">
        <v>44403.91474755787</v>
      </c>
      <c r="B159" s="9" t="s">
        <v>49</v>
      </c>
      <c r="C159" s="9">
        <v>25.0</v>
      </c>
      <c r="D159" s="9" t="s">
        <v>35</v>
      </c>
      <c r="E159" s="9" t="s">
        <v>36</v>
      </c>
      <c r="F159" s="9" t="s">
        <v>363</v>
      </c>
      <c r="G159" s="9" t="s">
        <v>2714</v>
      </c>
      <c r="H159" s="9" t="s">
        <v>93</v>
      </c>
      <c r="I159" s="9" t="s">
        <v>2715</v>
      </c>
      <c r="J159" s="9" t="s">
        <v>918</v>
      </c>
      <c r="K159" s="9" t="s">
        <v>39</v>
      </c>
      <c r="L159" s="9" t="s">
        <v>40</v>
      </c>
      <c r="M159" s="9" t="s">
        <v>40</v>
      </c>
      <c r="P159" s="9" t="s">
        <v>128</v>
      </c>
      <c r="Q159" s="9" t="s">
        <v>42</v>
      </c>
      <c r="R159" s="9">
        <v>5367.0</v>
      </c>
      <c r="S159" s="9">
        <v>8000.0</v>
      </c>
      <c r="T159" s="9">
        <v>0.0</v>
      </c>
      <c r="U159" s="9">
        <v>17.0</v>
      </c>
      <c r="V159" s="9" t="s">
        <v>919</v>
      </c>
      <c r="W159" s="9" t="s">
        <v>920</v>
      </c>
      <c r="X159" s="9" t="s">
        <v>79</v>
      </c>
      <c r="Y159" s="9" t="s">
        <v>80</v>
      </c>
      <c r="Z159" s="9" t="s">
        <v>90</v>
      </c>
      <c r="AA159" s="9" t="s">
        <v>61</v>
      </c>
      <c r="AC159" s="9">
        <v>9.0</v>
      </c>
      <c r="AD159" s="9">
        <v>4.0</v>
      </c>
      <c r="AE159" s="9">
        <v>3.0</v>
      </c>
      <c r="AF159" s="9">
        <v>2500.0</v>
      </c>
      <c r="AG159" s="33"/>
    </row>
    <row r="160">
      <c r="A160" s="7">
        <v>44403.91550174769</v>
      </c>
      <c r="B160" s="9" t="s">
        <v>49</v>
      </c>
      <c r="C160" s="9">
        <v>27.0</v>
      </c>
      <c r="D160" s="9" t="s">
        <v>35</v>
      </c>
      <c r="E160" s="9" t="s">
        <v>36</v>
      </c>
      <c r="F160" s="9" t="s">
        <v>50</v>
      </c>
      <c r="G160" s="9" t="s">
        <v>82</v>
      </c>
      <c r="H160" s="9" t="s">
        <v>38</v>
      </c>
      <c r="I160" s="9" t="s">
        <v>2716</v>
      </c>
      <c r="J160" s="9" t="s">
        <v>743</v>
      </c>
      <c r="K160" s="9" t="s">
        <v>40</v>
      </c>
      <c r="L160" s="9" t="s">
        <v>39</v>
      </c>
      <c r="M160" s="9" t="s">
        <v>39</v>
      </c>
      <c r="N160" s="9" t="s">
        <v>744</v>
      </c>
      <c r="O160" s="9" t="s">
        <v>745</v>
      </c>
      <c r="P160" s="9" t="s">
        <v>746</v>
      </c>
      <c r="Q160" s="9" t="s">
        <v>42</v>
      </c>
      <c r="R160" s="9">
        <v>5050.0</v>
      </c>
      <c r="S160" s="9">
        <v>5300.0</v>
      </c>
      <c r="T160" s="9">
        <v>0.0</v>
      </c>
      <c r="U160" s="9">
        <v>14.0</v>
      </c>
      <c r="V160" s="9" t="s">
        <v>747</v>
      </c>
      <c r="W160" s="9" t="s">
        <v>748</v>
      </c>
      <c r="X160" s="9" t="s">
        <v>749</v>
      </c>
      <c r="Y160" s="9" t="s">
        <v>70</v>
      </c>
      <c r="Z160" s="9" t="s">
        <v>132</v>
      </c>
      <c r="AA160" s="9" t="s">
        <v>61</v>
      </c>
      <c r="AC160" s="9">
        <v>5.0</v>
      </c>
      <c r="AD160" s="9" t="s">
        <v>750</v>
      </c>
      <c r="AE160" s="9">
        <v>2.0</v>
      </c>
      <c r="AF160" s="9">
        <v>2400.0</v>
      </c>
      <c r="AG160" s="33"/>
    </row>
    <row r="161">
      <c r="A161" s="7">
        <v>44403.91745576389</v>
      </c>
      <c r="B161" s="9" t="s">
        <v>49</v>
      </c>
      <c r="C161" s="9">
        <v>24.0</v>
      </c>
      <c r="D161" s="9" t="s">
        <v>35</v>
      </c>
      <c r="E161" s="9" t="s">
        <v>36</v>
      </c>
      <c r="F161" s="9" t="s">
        <v>164</v>
      </c>
      <c r="G161" s="9" t="s">
        <v>165</v>
      </c>
      <c r="H161" s="9" t="s">
        <v>38</v>
      </c>
      <c r="I161" s="9" t="s">
        <v>2368</v>
      </c>
      <c r="J161" s="9" t="s">
        <v>161</v>
      </c>
      <c r="K161" s="9" t="s">
        <v>39</v>
      </c>
      <c r="L161" s="9" t="s">
        <v>40</v>
      </c>
      <c r="M161" s="9" t="s">
        <v>40</v>
      </c>
      <c r="P161" s="9" t="s">
        <v>293</v>
      </c>
      <c r="Q161" s="9" t="s">
        <v>42</v>
      </c>
      <c r="R161" s="9">
        <v>5500.0</v>
      </c>
      <c r="S161" s="9">
        <v>0.0</v>
      </c>
      <c r="T161" s="9">
        <v>0.0</v>
      </c>
      <c r="U161" s="9">
        <v>20.0</v>
      </c>
      <c r="V161" s="9" t="s">
        <v>2205</v>
      </c>
      <c r="W161" s="9" t="s">
        <v>2206</v>
      </c>
      <c r="X161" s="9" t="s">
        <v>122</v>
      </c>
      <c r="Y161" s="9" t="s">
        <v>59</v>
      </c>
      <c r="Z161" s="9" t="s">
        <v>60</v>
      </c>
      <c r="AA161" s="9" t="s">
        <v>61</v>
      </c>
      <c r="AB161" s="9" t="s">
        <v>1397</v>
      </c>
      <c r="AC161" s="9">
        <v>8.0</v>
      </c>
      <c r="AD161" s="9">
        <v>0.0</v>
      </c>
      <c r="AE161" s="9">
        <v>0.0</v>
      </c>
      <c r="AF161" s="9">
        <v>5500.0</v>
      </c>
      <c r="AG161" s="33"/>
    </row>
    <row r="162">
      <c r="A162" s="7">
        <v>44403.91821069444</v>
      </c>
      <c r="B162" s="9" t="s">
        <v>73</v>
      </c>
      <c r="C162" s="9">
        <v>27.0</v>
      </c>
      <c r="D162" s="9" t="s">
        <v>35</v>
      </c>
      <c r="E162" s="9" t="s">
        <v>36</v>
      </c>
      <c r="F162" s="9" t="s">
        <v>50</v>
      </c>
      <c r="G162" s="9" t="s">
        <v>300</v>
      </c>
      <c r="H162" s="9" t="s">
        <v>38</v>
      </c>
      <c r="I162" s="9" t="s">
        <v>2467</v>
      </c>
      <c r="J162" s="9" t="s">
        <v>2366</v>
      </c>
      <c r="K162" s="9" t="s">
        <v>39</v>
      </c>
      <c r="L162" s="9" t="s">
        <v>40</v>
      </c>
      <c r="M162" s="9" t="s">
        <v>40</v>
      </c>
      <c r="P162" s="9" t="s">
        <v>119</v>
      </c>
      <c r="Q162" s="9" t="s">
        <v>42</v>
      </c>
      <c r="R162" s="9">
        <v>8000.0</v>
      </c>
      <c r="U162" s="9">
        <v>14.0</v>
      </c>
      <c r="V162" s="9" t="s">
        <v>900</v>
      </c>
      <c r="W162" s="9" t="s">
        <v>901</v>
      </c>
      <c r="X162" s="9" t="s">
        <v>902</v>
      </c>
      <c r="Y162" s="9" t="s">
        <v>228</v>
      </c>
      <c r="Z162" s="9" t="s">
        <v>81</v>
      </c>
      <c r="AA162" s="9" t="s">
        <v>91</v>
      </c>
      <c r="AC162" s="9">
        <v>6.0</v>
      </c>
      <c r="AD162" s="9">
        <v>5.0</v>
      </c>
      <c r="AE162" s="9">
        <v>1.0</v>
      </c>
      <c r="AF162" s="9">
        <v>2500.0</v>
      </c>
      <c r="AG162" s="33"/>
    </row>
    <row r="163">
      <c r="A163" s="7">
        <v>44403.92144766204</v>
      </c>
      <c r="B163" s="9" t="s">
        <v>49</v>
      </c>
      <c r="C163" s="9">
        <v>37.0</v>
      </c>
      <c r="D163" s="9" t="s">
        <v>35</v>
      </c>
      <c r="E163" s="9" t="s">
        <v>36</v>
      </c>
      <c r="F163" s="9" t="s">
        <v>124</v>
      </c>
      <c r="G163" s="9" t="s">
        <v>124</v>
      </c>
      <c r="H163" s="9" t="s">
        <v>247</v>
      </c>
      <c r="I163" s="9" t="s">
        <v>2717</v>
      </c>
      <c r="J163" s="9" t="s">
        <v>2699</v>
      </c>
      <c r="K163" s="9" t="s">
        <v>39</v>
      </c>
      <c r="L163" s="9" t="s">
        <v>40</v>
      </c>
      <c r="M163" s="9" t="s">
        <v>39</v>
      </c>
      <c r="O163" s="9" t="s">
        <v>2057</v>
      </c>
      <c r="P163" s="9" t="s">
        <v>2377</v>
      </c>
      <c r="Q163" s="9" t="s">
        <v>42</v>
      </c>
      <c r="R163" s="9">
        <v>15000.0</v>
      </c>
      <c r="S163" s="9">
        <v>24000.0</v>
      </c>
      <c r="T163" s="9">
        <v>0.0</v>
      </c>
      <c r="U163" s="9">
        <v>16.0</v>
      </c>
      <c r="V163" s="9" t="s">
        <v>2058</v>
      </c>
      <c r="W163" s="9" t="s">
        <v>2059</v>
      </c>
      <c r="X163" s="9" t="s">
        <v>124</v>
      </c>
      <c r="Y163" s="9" t="s">
        <v>59</v>
      </c>
      <c r="Z163" s="9" t="s">
        <v>90</v>
      </c>
      <c r="AA163" s="9" t="s">
        <v>61</v>
      </c>
      <c r="AC163" s="9">
        <v>10.0</v>
      </c>
      <c r="AD163" s="9">
        <v>14.0</v>
      </c>
      <c r="AE163" s="9">
        <v>3.0</v>
      </c>
      <c r="AF163" s="9">
        <v>4000.0</v>
      </c>
      <c r="AG163" s="33"/>
    </row>
    <row r="164">
      <c r="A164" s="7">
        <v>44403.9215419213</v>
      </c>
      <c r="B164" s="9" t="s">
        <v>73</v>
      </c>
      <c r="C164" s="9">
        <v>26.0</v>
      </c>
      <c r="D164" s="9" t="s">
        <v>35</v>
      </c>
      <c r="E164" s="9" t="s">
        <v>36</v>
      </c>
      <c r="F164" s="9" t="s">
        <v>2718</v>
      </c>
      <c r="G164" s="9" t="s">
        <v>2718</v>
      </c>
      <c r="H164" s="9" t="s">
        <v>38</v>
      </c>
      <c r="I164" s="9" t="s">
        <v>2719</v>
      </c>
      <c r="J164" s="9" t="s">
        <v>2389</v>
      </c>
      <c r="K164" s="9" t="s">
        <v>39</v>
      </c>
      <c r="L164" s="9" t="s">
        <v>40</v>
      </c>
      <c r="M164" s="9" t="s">
        <v>40</v>
      </c>
      <c r="P164" s="9" t="s">
        <v>837</v>
      </c>
      <c r="Q164" s="9" t="s">
        <v>42</v>
      </c>
      <c r="R164" s="9">
        <v>4500.0</v>
      </c>
      <c r="S164" s="9">
        <v>4200.0</v>
      </c>
      <c r="U164" s="9">
        <v>9.0</v>
      </c>
      <c r="V164" s="9" t="s">
        <v>838</v>
      </c>
      <c r="W164" s="9" t="s">
        <v>2720</v>
      </c>
      <c r="X164" s="9" t="s">
        <v>840</v>
      </c>
      <c r="Y164" s="9" t="s">
        <v>347</v>
      </c>
      <c r="Z164" s="9" t="s">
        <v>47</v>
      </c>
      <c r="AA164" s="9" t="s">
        <v>61</v>
      </c>
      <c r="AC164" s="9">
        <v>7.0</v>
      </c>
      <c r="AD164" s="9">
        <v>4.0</v>
      </c>
      <c r="AE164" s="9">
        <v>0.0</v>
      </c>
      <c r="AF164" s="9">
        <v>2500.0</v>
      </c>
      <c r="AG164" s="33"/>
    </row>
    <row r="165">
      <c r="A165" s="7">
        <v>44403.92227429398</v>
      </c>
      <c r="B165" s="9" t="s">
        <v>49</v>
      </c>
      <c r="C165" s="9">
        <v>30.0</v>
      </c>
      <c r="D165" s="9" t="s">
        <v>35</v>
      </c>
      <c r="E165" s="9" t="s">
        <v>36</v>
      </c>
      <c r="F165" s="9" t="s">
        <v>124</v>
      </c>
      <c r="G165" s="9" t="s">
        <v>460</v>
      </c>
      <c r="H165" s="9" t="s">
        <v>118</v>
      </c>
      <c r="K165" s="9" t="s">
        <v>40</v>
      </c>
      <c r="L165" s="9" t="s">
        <v>39</v>
      </c>
      <c r="M165" s="9" t="s">
        <v>40</v>
      </c>
      <c r="P165" s="9" t="s">
        <v>128</v>
      </c>
      <c r="Q165" s="9" t="s">
        <v>42</v>
      </c>
      <c r="R165" s="9">
        <v>6000.0</v>
      </c>
      <c r="U165" s="9">
        <v>16.0</v>
      </c>
      <c r="V165" s="9" t="s">
        <v>1167</v>
      </c>
      <c r="W165" s="9" t="s">
        <v>712</v>
      </c>
      <c r="X165" s="9" t="s">
        <v>124</v>
      </c>
      <c r="Y165" s="9" t="s">
        <v>89</v>
      </c>
      <c r="Z165" s="9" t="s">
        <v>81</v>
      </c>
      <c r="AA165" s="9" t="s">
        <v>61</v>
      </c>
      <c r="AC165" s="9">
        <v>10.0</v>
      </c>
      <c r="AD165" s="9">
        <v>1.0</v>
      </c>
      <c r="AE165" s="9">
        <v>3.0</v>
      </c>
      <c r="AF165" s="9">
        <v>2800.0</v>
      </c>
      <c r="AG165" s="33"/>
    </row>
    <row r="166">
      <c r="A166" s="7">
        <v>44403.92304569445</v>
      </c>
      <c r="B166" s="9" t="s">
        <v>49</v>
      </c>
      <c r="C166" s="9">
        <v>38.0</v>
      </c>
      <c r="D166" s="9" t="s">
        <v>35</v>
      </c>
      <c r="E166" s="9" t="s">
        <v>36</v>
      </c>
      <c r="F166" s="9" t="s">
        <v>50</v>
      </c>
      <c r="G166" s="9" t="s">
        <v>874</v>
      </c>
      <c r="H166" s="9" t="s">
        <v>38</v>
      </c>
      <c r="I166" s="9" t="s">
        <v>2721</v>
      </c>
      <c r="J166" s="9" t="s">
        <v>2722</v>
      </c>
      <c r="K166" s="9" t="s">
        <v>39</v>
      </c>
      <c r="L166" s="9" t="s">
        <v>40</v>
      </c>
      <c r="M166" s="9" t="s">
        <v>39</v>
      </c>
      <c r="O166" s="9" t="s">
        <v>386</v>
      </c>
      <c r="P166" s="9" t="s">
        <v>387</v>
      </c>
      <c r="Q166" s="9" t="s">
        <v>42</v>
      </c>
      <c r="R166" s="9">
        <v>18000.0</v>
      </c>
      <c r="S166" s="9">
        <v>540000.0</v>
      </c>
      <c r="T166" s="9">
        <v>0.0</v>
      </c>
      <c r="U166" s="9">
        <v>22.0</v>
      </c>
      <c r="V166" s="9" t="s">
        <v>388</v>
      </c>
      <c r="W166" s="9" t="s">
        <v>389</v>
      </c>
      <c r="X166" s="9" t="s">
        <v>390</v>
      </c>
      <c r="Y166" s="9" t="s">
        <v>59</v>
      </c>
      <c r="Z166" s="9" t="s">
        <v>81</v>
      </c>
      <c r="AA166" s="9" t="s">
        <v>133</v>
      </c>
      <c r="AC166" s="9">
        <v>7.0</v>
      </c>
      <c r="AD166" s="9">
        <v>14.0</v>
      </c>
      <c r="AE166" s="9">
        <v>7.0</v>
      </c>
      <c r="AF166" s="9">
        <v>1500.0</v>
      </c>
      <c r="AG166" s="33"/>
    </row>
    <row r="167">
      <c r="A167" s="7">
        <v>44403.9233558912</v>
      </c>
      <c r="B167" s="9" t="s">
        <v>49</v>
      </c>
      <c r="C167" s="9">
        <v>28.0</v>
      </c>
      <c r="D167" s="9" t="s">
        <v>35</v>
      </c>
      <c r="E167" s="9" t="s">
        <v>246</v>
      </c>
      <c r="H167" s="9" t="s">
        <v>38</v>
      </c>
      <c r="I167" s="9" t="s">
        <v>2134</v>
      </c>
      <c r="K167" s="9" t="s">
        <v>39</v>
      </c>
      <c r="L167" s="9" t="s">
        <v>40</v>
      </c>
      <c r="M167" s="9" t="s">
        <v>40</v>
      </c>
      <c r="P167" s="9" t="s">
        <v>2723</v>
      </c>
      <c r="Q167" s="9" t="s">
        <v>250</v>
      </c>
      <c r="R167" s="9">
        <v>9000.0</v>
      </c>
      <c r="S167" s="9">
        <v>0.0</v>
      </c>
      <c r="T167" s="9">
        <v>10000.0</v>
      </c>
      <c r="U167" s="9">
        <v>18.0</v>
      </c>
      <c r="V167" s="9" t="s">
        <v>2135</v>
      </c>
      <c r="W167" s="9" t="s">
        <v>2136</v>
      </c>
      <c r="X167" s="9" t="s">
        <v>2137</v>
      </c>
      <c r="Y167" s="9" t="s">
        <v>1013</v>
      </c>
      <c r="Z167" s="9" t="s">
        <v>60</v>
      </c>
      <c r="AA167" s="9" t="s">
        <v>61</v>
      </c>
      <c r="AC167" s="9">
        <v>7.0</v>
      </c>
      <c r="AD167" s="9">
        <v>4.0</v>
      </c>
      <c r="AE167" s="9">
        <v>1.0</v>
      </c>
      <c r="AF167" s="9">
        <v>4500.0</v>
      </c>
      <c r="AG167" s="33"/>
    </row>
    <row r="168">
      <c r="A168" s="7">
        <v>44403.92346032408</v>
      </c>
      <c r="B168" s="9" t="s">
        <v>49</v>
      </c>
      <c r="C168" s="9">
        <v>25.0</v>
      </c>
      <c r="D168" s="9" t="s">
        <v>35</v>
      </c>
      <c r="E168" s="9" t="s">
        <v>36</v>
      </c>
      <c r="F168" s="9" t="s">
        <v>124</v>
      </c>
      <c r="G168" s="9" t="s">
        <v>124</v>
      </c>
      <c r="H168" s="9" t="s">
        <v>38</v>
      </c>
      <c r="I168" s="9" t="s">
        <v>2368</v>
      </c>
      <c r="J168" s="9" t="s">
        <v>944</v>
      </c>
      <c r="K168" s="9" t="s">
        <v>39</v>
      </c>
      <c r="L168" s="9" t="s">
        <v>40</v>
      </c>
      <c r="M168" s="9" t="s">
        <v>40</v>
      </c>
      <c r="P168" s="9" t="s">
        <v>2681</v>
      </c>
      <c r="Q168" s="9" t="s">
        <v>42</v>
      </c>
      <c r="R168" s="9">
        <v>6980.0</v>
      </c>
      <c r="S168" s="9">
        <v>2000.0</v>
      </c>
      <c r="T168" s="9">
        <v>0.0</v>
      </c>
      <c r="U168" s="9">
        <v>15.0</v>
      </c>
      <c r="V168" s="9" t="s">
        <v>2073</v>
      </c>
      <c r="W168" s="9" t="s">
        <v>2724</v>
      </c>
      <c r="X168" s="9" t="s">
        <v>122</v>
      </c>
      <c r="Y168" s="9" t="s">
        <v>89</v>
      </c>
      <c r="Z168" s="9" t="s">
        <v>81</v>
      </c>
      <c r="AA168" s="9" t="s">
        <v>91</v>
      </c>
      <c r="AC168" s="9">
        <v>8.0</v>
      </c>
      <c r="AD168" s="9">
        <v>3.0</v>
      </c>
      <c r="AE168" s="9">
        <v>0.0</v>
      </c>
      <c r="AF168" s="9">
        <v>4100.0</v>
      </c>
      <c r="AG168" s="33"/>
    </row>
    <row r="169">
      <c r="A169" s="7">
        <v>44403.9236984375</v>
      </c>
      <c r="B169" s="9" t="s">
        <v>49</v>
      </c>
      <c r="C169" s="9">
        <v>23.0</v>
      </c>
      <c r="D169" s="9" t="s">
        <v>35</v>
      </c>
      <c r="E169" s="9" t="s">
        <v>36</v>
      </c>
      <c r="F169" s="9" t="s">
        <v>50</v>
      </c>
      <c r="G169" s="9" t="s">
        <v>180</v>
      </c>
      <c r="H169" s="9" t="s">
        <v>38</v>
      </c>
      <c r="I169" s="9" t="s">
        <v>2725</v>
      </c>
      <c r="J169" s="9" t="s">
        <v>161</v>
      </c>
      <c r="K169" s="9" t="s">
        <v>39</v>
      </c>
      <c r="L169" s="9" t="s">
        <v>40</v>
      </c>
      <c r="M169" s="9" t="s">
        <v>40</v>
      </c>
      <c r="P169" s="9" t="s">
        <v>2479</v>
      </c>
      <c r="Q169" s="9" t="s">
        <v>42</v>
      </c>
      <c r="R169" s="9">
        <v>3800.0</v>
      </c>
      <c r="S169" s="9">
        <v>600.0</v>
      </c>
      <c r="U169" s="9">
        <v>14.0</v>
      </c>
      <c r="V169" s="9" t="s">
        <v>1965</v>
      </c>
      <c r="W169" s="9" t="s">
        <v>1966</v>
      </c>
      <c r="X169" s="9" t="s">
        <v>88</v>
      </c>
      <c r="Y169" s="9" t="s">
        <v>59</v>
      </c>
      <c r="Z169" s="9" t="s">
        <v>132</v>
      </c>
      <c r="AA169" s="9" t="s">
        <v>61</v>
      </c>
      <c r="AC169" s="9">
        <v>5.0</v>
      </c>
      <c r="AD169" s="9">
        <v>1.5</v>
      </c>
      <c r="AE169" s="9">
        <v>0.0</v>
      </c>
      <c r="AF169" s="9">
        <v>3800.0</v>
      </c>
      <c r="AG169" s="33"/>
    </row>
    <row r="170">
      <c r="A170" s="7">
        <v>44403.92464927083</v>
      </c>
      <c r="B170" s="9" t="s">
        <v>49</v>
      </c>
      <c r="C170" s="9">
        <v>29.0</v>
      </c>
      <c r="D170" s="9" t="s">
        <v>35</v>
      </c>
      <c r="E170" s="9" t="s">
        <v>36</v>
      </c>
      <c r="F170" s="9" t="s">
        <v>349</v>
      </c>
      <c r="G170" s="9" t="s">
        <v>206</v>
      </c>
      <c r="H170" s="9" t="s">
        <v>93</v>
      </c>
      <c r="K170" s="9" t="s">
        <v>40</v>
      </c>
      <c r="L170" s="9" t="s">
        <v>40</v>
      </c>
      <c r="M170" s="9" t="s">
        <v>40</v>
      </c>
      <c r="P170" s="9" t="s">
        <v>2726</v>
      </c>
      <c r="Q170" s="9" t="s">
        <v>42</v>
      </c>
      <c r="R170" s="9">
        <v>18000.0</v>
      </c>
      <c r="S170" s="9">
        <v>30000.0</v>
      </c>
      <c r="T170" s="9">
        <v>50000.0</v>
      </c>
      <c r="U170" s="9">
        <v>21.0</v>
      </c>
      <c r="V170" s="9" t="s">
        <v>1520</v>
      </c>
      <c r="W170" s="9" t="s">
        <v>1521</v>
      </c>
      <c r="X170" s="9" t="s">
        <v>58</v>
      </c>
      <c r="Y170" s="9" t="s">
        <v>1013</v>
      </c>
      <c r="Z170" s="9" t="s">
        <v>81</v>
      </c>
      <c r="AA170" s="9" t="s">
        <v>91</v>
      </c>
      <c r="AC170" s="9">
        <v>10.0</v>
      </c>
      <c r="AD170" s="9">
        <v>7.0</v>
      </c>
      <c r="AE170" s="9">
        <v>1.0</v>
      </c>
      <c r="AF170" s="9">
        <v>3000.0</v>
      </c>
      <c r="AG170" s="33"/>
    </row>
    <row r="171">
      <c r="A171" s="7">
        <v>44403.92502724537</v>
      </c>
      <c r="B171" s="9" t="s">
        <v>49</v>
      </c>
      <c r="C171" s="9">
        <v>24.0</v>
      </c>
      <c r="D171" s="9" t="s">
        <v>35</v>
      </c>
      <c r="E171" s="9" t="s">
        <v>36</v>
      </c>
      <c r="F171" s="9" t="s">
        <v>50</v>
      </c>
      <c r="G171" s="9" t="s">
        <v>106</v>
      </c>
      <c r="H171" s="9" t="s">
        <v>38</v>
      </c>
      <c r="I171" s="9" t="s">
        <v>2467</v>
      </c>
      <c r="J171" s="9" t="s">
        <v>1217</v>
      </c>
      <c r="K171" s="9" t="s">
        <v>39</v>
      </c>
      <c r="L171" s="9" t="s">
        <v>40</v>
      </c>
      <c r="M171" s="9" t="s">
        <v>40</v>
      </c>
      <c r="P171" s="9" t="s">
        <v>146</v>
      </c>
      <c r="Q171" s="9" t="s">
        <v>42</v>
      </c>
      <c r="R171" s="9">
        <v>3000.0</v>
      </c>
      <c r="S171" s="9">
        <v>0.0</v>
      </c>
      <c r="T171" s="9">
        <v>0.0</v>
      </c>
      <c r="U171" s="9">
        <v>14.0</v>
      </c>
      <c r="V171" s="9" t="s">
        <v>506</v>
      </c>
      <c r="W171" s="9" t="s">
        <v>1420</v>
      </c>
      <c r="X171" s="9" t="s">
        <v>82</v>
      </c>
      <c r="Y171" s="9" t="s">
        <v>159</v>
      </c>
      <c r="Z171" s="9" t="s">
        <v>90</v>
      </c>
      <c r="AA171" s="9" t="s">
        <v>61</v>
      </c>
      <c r="AC171" s="9">
        <v>4.0</v>
      </c>
      <c r="AD171" s="9">
        <v>1.0</v>
      </c>
      <c r="AE171" s="9">
        <v>0.0</v>
      </c>
      <c r="AF171" s="9">
        <v>3000.0</v>
      </c>
      <c r="AG171" s="33"/>
    </row>
    <row r="172">
      <c r="A172" s="7">
        <v>44403.92518849537</v>
      </c>
      <c r="B172" s="9" t="s">
        <v>49</v>
      </c>
      <c r="C172" s="9">
        <v>29.0</v>
      </c>
      <c r="D172" s="9" t="s">
        <v>35</v>
      </c>
      <c r="E172" s="9" t="s">
        <v>36</v>
      </c>
      <c r="F172" s="9" t="s">
        <v>363</v>
      </c>
      <c r="G172" s="9" t="s">
        <v>437</v>
      </c>
      <c r="H172" s="9" t="s">
        <v>38</v>
      </c>
      <c r="I172" s="9" t="s">
        <v>2384</v>
      </c>
      <c r="J172" s="9" t="s">
        <v>2680</v>
      </c>
      <c r="K172" s="9" t="s">
        <v>40</v>
      </c>
      <c r="L172" s="9" t="s">
        <v>40</v>
      </c>
      <c r="M172" s="9" t="s">
        <v>40</v>
      </c>
      <c r="P172" s="9" t="s">
        <v>128</v>
      </c>
      <c r="Q172" s="9" t="s">
        <v>42</v>
      </c>
      <c r="R172" s="9">
        <v>6700.0</v>
      </c>
      <c r="S172" s="9">
        <v>15000.0</v>
      </c>
      <c r="T172" s="9">
        <v>10000.0</v>
      </c>
      <c r="U172" s="9">
        <v>14.0</v>
      </c>
      <c r="V172" s="9" t="s">
        <v>2044</v>
      </c>
      <c r="W172" s="9" t="s">
        <v>2045</v>
      </c>
      <c r="X172" s="9" t="s">
        <v>79</v>
      </c>
      <c r="Y172" s="9" t="s">
        <v>80</v>
      </c>
      <c r="Z172" s="9" t="s">
        <v>71</v>
      </c>
      <c r="AA172" s="9" t="s">
        <v>61</v>
      </c>
      <c r="AC172" s="9">
        <v>9.0</v>
      </c>
      <c r="AD172" s="9">
        <v>2.0</v>
      </c>
      <c r="AE172" s="9">
        <v>3.0</v>
      </c>
      <c r="AF172" s="9">
        <v>4000.0</v>
      </c>
      <c r="AG172" s="33"/>
    </row>
    <row r="173">
      <c r="A173" s="7">
        <v>44403.9259791088</v>
      </c>
      <c r="B173" s="9" t="s">
        <v>49</v>
      </c>
      <c r="C173" s="9">
        <v>23.0</v>
      </c>
      <c r="D173" s="9" t="s">
        <v>35</v>
      </c>
      <c r="E173" s="9" t="s">
        <v>36</v>
      </c>
      <c r="F173" s="9" t="s">
        <v>63</v>
      </c>
      <c r="G173" s="9" t="s">
        <v>1241</v>
      </c>
      <c r="H173" s="9" t="s">
        <v>38</v>
      </c>
      <c r="I173" s="9" t="s">
        <v>2727</v>
      </c>
      <c r="J173" s="9" t="s">
        <v>161</v>
      </c>
      <c r="K173" s="9" t="s">
        <v>39</v>
      </c>
      <c r="L173" s="9" t="s">
        <v>40</v>
      </c>
      <c r="M173" s="9" t="s">
        <v>40</v>
      </c>
      <c r="P173" s="9" t="s">
        <v>548</v>
      </c>
      <c r="Q173" s="9" t="s">
        <v>42</v>
      </c>
      <c r="R173" s="9">
        <v>3800.0</v>
      </c>
      <c r="S173" s="9">
        <v>0.0</v>
      </c>
      <c r="T173" s="9">
        <v>0.0</v>
      </c>
      <c r="U173" s="9">
        <v>14.0</v>
      </c>
      <c r="V173" s="9" t="s">
        <v>1761</v>
      </c>
      <c r="W173" s="9" t="s">
        <v>1762</v>
      </c>
      <c r="X173" s="9" t="s">
        <v>50</v>
      </c>
      <c r="Y173" s="9" t="s">
        <v>1763</v>
      </c>
      <c r="Z173" s="9" t="s">
        <v>60</v>
      </c>
      <c r="AA173" s="9" t="s">
        <v>91</v>
      </c>
      <c r="AC173" s="9">
        <v>8.0</v>
      </c>
      <c r="AD173" s="9">
        <v>1.0</v>
      </c>
      <c r="AE173" s="9">
        <v>1.0</v>
      </c>
      <c r="AF173" s="9">
        <v>3400.0</v>
      </c>
      <c r="AG173" s="33"/>
    </row>
    <row r="174">
      <c r="A174" s="7">
        <v>44403.92614296296</v>
      </c>
      <c r="B174" s="9" t="s">
        <v>49</v>
      </c>
      <c r="C174" s="9">
        <v>30.0</v>
      </c>
      <c r="D174" s="9" t="s">
        <v>35</v>
      </c>
      <c r="E174" s="9" t="s">
        <v>36</v>
      </c>
      <c r="H174" s="9" t="s">
        <v>247</v>
      </c>
      <c r="K174" s="9" t="s">
        <v>40</v>
      </c>
      <c r="L174" s="9" t="s">
        <v>40</v>
      </c>
      <c r="M174" s="9" t="s">
        <v>40</v>
      </c>
      <c r="P174" s="9" t="s">
        <v>2728</v>
      </c>
      <c r="Q174" s="9" t="s">
        <v>42</v>
      </c>
      <c r="R174" s="9">
        <v>13500.0</v>
      </c>
      <c r="U174" s="9">
        <v>14.0</v>
      </c>
      <c r="V174" s="9" t="s">
        <v>1871</v>
      </c>
      <c r="W174" s="9" t="s">
        <v>224</v>
      </c>
      <c r="X174" s="9" t="s">
        <v>122</v>
      </c>
      <c r="Y174" s="9" t="s">
        <v>89</v>
      </c>
      <c r="Z174" s="9" t="s">
        <v>90</v>
      </c>
      <c r="AA174" s="9" t="s">
        <v>91</v>
      </c>
      <c r="AC174" s="9">
        <v>8.0</v>
      </c>
      <c r="AD174" s="9">
        <v>6.0</v>
      </c>
      <c r="AE174" s="9">
        <v>1.0</v>
      </c>
      <c r="AF174" s="9">
        <v>3500.0</v>
      </c>
      <c r="AG174" s="33"/>
    </row>
    <row r="175">
      <c r="A175" s="7">
        <v>44403.92646863426</v>
      </c>
      <c r="B175" s="9" t="s">
        <v>49</v>
      </c>
      <c r="C175" s="9">
        <v>30.0</v>
      </c>
      <c r="D175" s="9" t="s">
        <v>2729</v>
      </c>
      <c r="E175" s="9" t="s">
        <v>36</v>
      </c>
      <c r="F175" s="9" t="s">
        <v>50</v>
      </c>
      <c r="G175" s="9" t="s">
        <v>106</v>
      </c>
      <c r="H175" s="9" t="s">
        <v>38</v>
      </c>
      <c r="I175" s="9" t="s">
        <v>2730</v>
      </c>
      <c r="J175" s="9" t="s">
        <v>2731</v>
      </c>
      <c r="K175" s="9" t="s">
        <v>39</v>
      </c>
      <c r="L175" s="9" t="s">
        <v>40</v>
      </c>
      <c r="M175" s="9" t="s">
        <v>40</v>
      </c>
      <c r="P175" s="9" t="s">
        <v>2732</v>
      </c>
      <c r="Q175" s="9" t="s">
        <v>42</v>
      </c>
      <c r="R175" s="9">
        <v>8800.0</v>
      </c>
      <c r="S175" s="9">
        <v>0.0</v>
      </c>
      <c r="T175" s="9">
        <v>0.0</v>
      </c>
      <c r="U175" s="9">
        <v>14.0</v>
      </c>
      <c r="V175" s="9" t="s">
        <v>2211</v>
      </c>
      <c r="W175" s="9" t="s">
        <v>2212</v>
      </c>
      <c r="X175" s="9" t="s">
        <v>2548</v>
      </c>
      <c r="Y175" s="9" t="s">
        <v>228</v>
      </c>
      <c r="Z175" s="9" t="s">
        <v>71</v>
      </c>
      <c r="AA175" s="9" t="s">
        <v>91</v>
      </c>
      <c r="AC175" s="9">
        <v>1.0</v>
      </c>
      <c r="AD175" s="9">
        <v>10.0</v>
      </c>
      <c r="AE175" s="9">
        <v>4.0</v>
      </c>
      <c r="AF175" s="9">
        <v>6000.0</v>
      </c>
      <c r="AG175" s="33"/>
    </row>
    <row r="176">
      <c r="A176" s="7">
        <v>44403.926726562495</v>
      </c>
      <c r="B176" s="9" t="s">
        <v>49</v>
      </c>
      <c r="C176" s="9">
        <v>22.0</v>
      </c>
      <c r="D176" s="9" t="s">
        <v>35</v>
      </c>
      <c r="E176" s="9" t="s">
        <v>246</v>
      </c>
      <c r="H176" s="9" t="s">
        <v>38</v>
      </c>
      <c r="I176" s="9" t="s">
        <v>2733</v>
      </c>
      <c r="J176" s="9" t="s">
        <v>2734</v>
      </c>
      <c r="K176" s="9" t="s">
        <v>39</v>
      </c>
      <c r="L176" s="9" t="s">
        <v>40</v>
      </c>
      <c r="M176" s="9" t="s">
        <v>40</v>
      </c>
      <c r="P176" s="9" t="s">
        <v>2486</v>
      </c>
      <c r="Q176" s="9" t="s">
        <v>250</v>
      </c>
      <c r="R176" s="9">
        <v>7000.0</v>
      </c>
      <c r="S176" s="9">
        <v>10500.0</v>
      </c>
      <c r="T176" s="9">
        <v>0.0</v>
      </c>
      <c r="U176" s="9">
        <v>18.0</v>
      </c>
      <c r="V176" s="9" t="s">
        <v>2252</v>
      </c>
      <c r="W176" s="9" t="s">
        <v>2253</v>
      </c>
      <c r="X176" s="9" t="s">
        <v>246</v>
      </c>
      <c r="Y176" s="9" t="s">
        <v>297</v>
      </c>
      <c r="Z176" s="9" t="s">
        <v>90</v>
      </c>
      <c r="AA176" s="9" t="s">
        <v>91</v>
      </c>
      <c r="AC176" s="9">
        <v>8.0</v>
      </c>
      <c r="AD176" s="9">
        <v>0.0</v>
      </c>
      <c r="AE176" s="9">
        <v>0.0</v>
      </c>
      <c r="AF176" s="9">
        <v>7000.0</v>
      </c>
      <c r="AG176" s="33"/>
    </row>
    <row r="177">
      <c r="A177" s="7">
        <v>44403.926768715275</v>
      </c>
      <c r="B177" s="9" t="s">
        <v>49</v>
      </c>
      <c r="C177" s="9">
        <v>23.0</v>
      </c>
      <c r="D177" s="9" t="s">
        <v>35</v>
      </c>
      <c r="E177" s="9" t="s">
        <v>36</v>
      </c>
      <c r="F177" s="9" t="s">
        <v>50</v>
      </c>
      <c r="G177" s="9" t="s">
        <v>82</v>
      </c>
      <c r="H177" s="9" t="s">
        <v>38</v>
      </c>
      <c r="I177" s="9" t="s">
        <v>2735</v>
      </c>
      <c r="J177" s="9" t="s">
        <v>2736</v>
      </c>
      <c r="K177" s="9" t="s">
        <v>39</v>
      </c>
      <c r="L177" s="9" t="s">
        <v>40</v>
      </c>
      <c r="M177" s="9" t="s">
        <v>40</v>
      </c>
      <c r="P177" s="9" t="s">
        <v>128</v>
      </c>
      <c r="Q177" s="9" t="s">
        <v>42</v>
      </c>
      <c r="R177" s="9">
        <v>5200.0</v>
      </c>
      <c r="U177" s="9">
        <v>15.0</v>
      </c>
      <c r="V177" s="9" t="s">
        <v>2095</v>
      </c>
      <c r="W177" s="9" t="s">
        <v>2096</v>
      </c>
      <c r="X177" s="9" t="s">
        <v>2097</v>
      </c>
      <c r="Y177" s="9" t="s">
        <v>80</v>
      </c>
      <c r="Z177" s="9" t="s">
        <v>81</v>
      </c>
      <c r="AA177" s="9" t="s">
        <v>91</v>
      </c>
      <c r="AB177" s="9" t="s">
        <v>2098</v>
      </c>
      <c r="AC177" s="9">
        <v>8.0</v>
      </c>
      <c r="AD177" s="9">
        <v>1.0</v>
      </c>
      <c r="AE177" s="9">
        <v>1.0</v>
      </c>
      <c r="AF177" s="9">
        <v>4400.0</v>
      </c>
      <c r="AG177" s="33"/>
    </row>
    <row r="178">
      <c r="A178" s="7">
        <v>44403.927692557874</v>
      </c>
      <c r="B178" s="9" t="s">
        <v>49</v>
      </c>
      <c r="C178" s="9">
        <v>39.0</v>
      </c>
      <c r="D178" s="9" t="s">
        <v>35</v>
      </c>
      <c r="E178" s="9" t="s">
        <v>36</v>
      </c>
      <c r="F178" s="9" t="s">
        <v>124</v>
      </c>
      <c r="G178" s="9" t="s">
        <v>307</v>
      </c>
      <c r="H178" s="9" t="s">
        <v>38</v>
      </c>
      <c r="J178" s="9" t="s">
        <v>2737</v>
      </c>
      <c r="K178" s="9" t="s">
        <v>39</v>
      </c>
      <c r="L178" s="9" t="s">
        <v>40</v>
      </c>
      <c r="M178" s="9" t="s">
        <v>40</v>
      </c>
      <c r="P178" s="9" t="s">
        <v>308</v>
      </c>
      <c r="Q178" s="9" t="s">
        <v>42</v>
      </c>
      <c r="R178" s="9">
        <v>17500.0</v>
      </c>
      <c r="S178" s="9">
        <v>0.5</v>
      </c>
      <c r="T178" s="9">
        <v>0.0</v>
      </c>
      <c r="U178" s="9">
        <v>14.0</v>
      </c>
      <c r="V178" s="9" t="s">
        <v>309</v>
      </c>
      <c r="W178" s="9" t="s">
        <v>310</v>
      </c>
      <c r="X178" s="9" t="s">
        <v>122</v>
      </c>
      <c r="Y178" s="9" t="s">
        <v>89</v>
      </c>
      <c r="Z178" s="9" t="s">
        <v>71</v>
      </c>
      <c r="AA178" s="9" t="s">
        <v>61</v>
      </c>
      <c r="AC178" s="9">
        <v>9.0</v>
      </c>
      <c r="AD178" s="9">
        <v>15.0</v>
      </c>
      <c r="AE178" s="9">
        <v>7.0</v>
      </c>
      <c r="AF178" s="9">
        <v>1200.0</v>
      </c>
      <c r="AG178" s="33"/>
    </row>
    <row r="179">
      <c r="A179" s="7">
        <v>44403.93066920139</v>
      </c>
      <c r="B179" s="9" t="s">
        <v>49</v>
      </c>
      <c r="C179" s="9">
        <v>24.0</v>
      </c>
      <c r="D179" s="9" t="s">
        <v>35</v>
      </c>
      <c r="E179" s="9" t="s">
        <v>36</v>
      </c>
      <c r="F179" s="9" t="s">
        <v>363</v>
      </c>
      <c r="G179" s="9" t="s">
        <v>2625</v>
      </c>
      <c r="H179" s="9" t="s">
        <v>38</v>
      </c>
      <c r="I179" s="9" t="s">
        <v>2626</v>
      </c>
      <c r="J179" s="9" t="s">
        <v>2532</v>
      </c>
      <c r="K179" s="9" t="s">
        <v>39</v>
      </c>
      <c r="L179" s="9" t="s">
        <v>40</v>
      </c>
      <c r="M179" s="9" t="s">
        <v>40</v>
      </c>
      <c r="P179" s="9" t="s">
        <v>1940</v>
      </c>
      <c r="Q179" s="9" t="s">
        <v>42</v>
      </c>
      <c r="R179" s="9">
        <v>3600.0</v>
      </c>
      <c r="S179" s="9">
        <v>5000.0</v>
      </c>
      <c r="U179" s="9">
        <v>14.0</v>
      </c>
      <c r="V179" s="9" t="s">
        <v>1865</v>
      </c>
      <c r="W179" s="9" t="s">
        <v>1866</v>
      </c>
      <c r="X179" s="9" t="s">
        <v>79</v>
      </c>
      <c r="Y179" s="9" t="s">
        <v>80</v>
      </c>
      <c r="Z179" s="9" t="s">
        <v>90</v>
      </c>
      <c r="AA179" s="9" t="s">
        <v>61</v>
      </c>
      <c r="AC179" s="9">
        <v>8.0</v>
      </c>
      <c r="AD179" s="9">
        <v>1.0</v>
      </c>
      <c r="AE179" s="9">
        <v>0.0</v>
      </c>
      <c r="AF179" s="9">
        <v>3500.0</v>
      </c>
      <c r="AG179" s="33"/>
    </row>
    <row r="180">
      <c r="A180" s="7">
        <v>44403.93231138889</v>
      </c>
      <c r="B180" s="9" t="s">
        <v>49</v>
      </c>
      <c r="C180" s="9">
        <v>44.0</v>
      </c>
      <c r="D180" s="9" t="s">
        <v>35</v>
      </c>
      <c r="E180" s="9" t="s">
        <v>36</v>
      </c>
      <c r="F180" s="9" t="s">
        <v>2738</v>
      </c>
      <c r="G180" s="9" t="s">
        <v>2423</v>
      </c>
      <c r="H180" s="9" t="s">
        <v>247</v>
      </c>
      <c r="I180" s="9" t="s">
        <v>2395</v>
      </c>
      <c r="J180" s="9" t="s">
        <v>2602</v>
      </c>
      <c r="K180" s="9" t="s">
        <v>39</v>
      </c>
      <c r="L180" s="9" t="s">
        <v>40</v>
      </c>
      <c r="M180" s="9" t="s">
        <v>40</v>
      </c>
      <c r="P180" s="9" t="s">
        <v>2739</v>
      </c>
      <c r="Q180" s="9" t="s">
        <v>2521</v>
      </c>
      <c r="R180" s="9">
        <v>12000.0</v>
      </c>
      <c r="U180" s="9">
        <v>14.0</v>
      </c>
      <c r="V180" s="9" t="s">
        <v>1869</v>
      </c>
      <c r="W180" s="9" t="s">
        <v>1870</v>
      </c>
      <c r="X180" s="9" t="s">
        <v>2427</v>
      </c>
      <c r="Y180" s="9" t="s">
        <v>80</v>
      </c>
      <c r="Z180" s="9" t="s">
        <v>71</v>
      </c>
      <c r="AA180" s="9" t="s">
        <v>61</v>
      </c>
      <c r="AC180" s="9">
        <v>10.0</v>
      </c>
      <c r="AD180" s="9">
        <v>20.0</v>
      </c>
      <c r="AE180" s="9">
        <v>3.0</v>
      </c>
      <c r="AF180" s="9">
        <v>3500.0</v>
      </c>
      <c r="AG180" s="33"/>
    </row>
    <row r="181">
      <c r="A181" s="7">
        <v>44403.93294108796</v>
      </c>
      <c r="B181" s="9" t="s">
        <v>49</v>
      </c>
      <c r="C181" s="9">
        <v>28.0</v>
      </c>
      <c r="D181" s="9" t="s">
        <v>35</v>
      </c>
      <c r="E181" s="9" t="s">
        <v>36</v>
      </c>
      <c r="F181" s="9" t="s">
        <v>50</v>
      </c>
      <c r="G181" s="9" t="s">
        <v>106</v>
      </c>
      <c r="H181" s="9" t="s">
        <v>38</v>
      </c>
      <c r="I181" s="9" t="s">
        <v>2740</v>
      </c>
      <c r="J181" s="9" t="s">
        <v>2741</v>
      </c>
      <c r="K181" s="9" t="s">
        <v>40</v>
      </c>
      <c r="L181" s="9" t="s">
        <v>40</v>
      </c>
      <c r="M181" s="9" t="s">
        <v>40</v>
      </c>
      <c r="P181" s="9" t="s">
        <v>2742</v>
      </c>
      <c r="Q181" s="9" t="s">
        <v>42</v>
      </c>
      <c r="R181" s="9">
        <v>4000.0</v>
      </c>
      <c r="S181" s="9">
        <v>0.0</v>
      </c>
      <c r="T181" s="9">
        <v>0.0</v>
      </c>
      <c r="U181" s="9">
        <v>11.0</v>
      </c>
      <c r="V181" s="9" t="s">
        <v>845</v>
      </c>
      <c r="W181" s="9" t="s">
        <v>846</v>
      </c>
      <c r="X181" s="9" t="s">
        <v>58</v>
      </c>
      <c r="Y181" s="9" t="s">
        <v>228</v>
      </c>
      <c r="Z181" s="9" t="s">
        <v>71</v>
      </c>
      <c r="AA181" s="9" t="s">
        <v>61</v>
      </c>
      <c r="AC181" s="9">
        <v>8.0</v>
      </c>
      <c r="AD181" s="9">
        <v>1.0</v>
      </c>
      <c r="AE181" s="9">
        <v>1.0</v>
      </c>
      <c r="AF181" s="9">
        <v>2500.0</v>
      </c>
      <c r="AG181" s="33"/>
    </row>
    <row r="182">
      <c r="A182" s="7">
        <v>44403.93328413194</v>
      </c>
      <c r="B182" s="9" t="s">
        <v>49</v>
      </c>
      <c r="C182" s="9">
        <v>29.0</v>
      </c>
      <c r="D182" s="9" t="s">
        <v>35</v>
      </c>
      <c r="E182" s="9" t="s">
        <v>36</v>
      </c>
      <c r="F182" s="9" t="s">
        <v>50</v>
      </c>
      <c r="G182" s="9" t="s">
        <v>117</v>
      </c>
      <c r="H182" s="9" t="s">
        <v>93</v>
      </c>
      <c r="I182" s="9" t="s">
        <v>2743</v>
      </c>
      <c r="J182" s="9" t="s">
        <v>988</v>
      </c>
      <c r="K182" s="9" t="s">
        <v>39</v>
      </c>
      <c r="L182" s="9" t="s">
        <v>40</v>
      </c>
      <c r="M182" s="9" t="s">
        <v>40</v>
      </c>
      <c r="P182" s="9" t="s">
        <v>128</v>
      </c>
      <c r="Q182" s="9" t="s">
        <v>42</v>
      </c>
      <c r="R182" s="9">
        <v>6600.0</v>
      </c>
      <c r="S182" s="9" t="s">
        <v>2744</v>
      </c>
      <c r="T182" s="9">
        <v>0.0</v>
      </c>
      <c r="U182" s="9">
        <v>18.0</v>
      </c>
      <c r="V182" s="9" t="s">
        <v>1885</v>
      </c>
      <c r="W182" s="9" t="s">
        <v>1886</v>
      </c>
      <c r="X182" s="9" t="s">
        <v>122</v>
      </c>
      <c r="Y182" s="9" t="s">
        <v>89</v>
      </c>
      <c r="Z182" s="9" t="s">
        <v>60</v>
      </c>
      <c r="AA182" s="9" t="s">
        <v>91</v>
      </c>
      <c r="AC182" s="9">
        <v>8.0</v>
      </c>
      <c r="AD182" s="9">
        <v>3.5</v>
      </c>
      <c r="AE182" s="9">
        <v>1.0</v>
      </c>
      <c r="AF182" s="9">
        <v>3500.0</v>
      </c>
      <c r="AG182" s="33"/>
    </row>
    <row r="183">
      <c r="A183" s="7">
        <v>44403.933878020835</v>
      </c>
      <c r="B183" s="9" t="s">
        <v>49</v>
      </c>
      <c r="C183" s="9">
        <v>29.0</v>
      </c>
      <c r="D183" s="9" t="s">
        <v>35</v>
      </c>
      <c r="E183" s="9" t="s">
        <v>36</v>
      </c>
      <c r="F183" s="9" t="s">
        <v>363</v>
      </c>
      <c r="G183" s="9" t="s">
        <v>316</v>
      </c>
      <c r="H183" s="9" t="s">
        <v>38</v>
      </c>
      <c r="I183" s="9" t="s">
        <v>2368</v>
      </c>
      <c r="J183" s="9" t="s">
        <v>2666</v>
      </c>
      <c r="K183" s="9" t="s">
        <v>39</v>
      </c>
      <c r="L183" s="9" t="s">
        <v>40</v>
      </c>
      <c r="M183" s="9" t="s">
        <v>40</v>
      </c>
      <c r="P183" s="9" t="s">
        <v>128</v>
      </c>
      <c r="Q183" s="9" t="s">
        <v>42</v>
      </c>
      <c r="R183" s="9">
        <v>9500.0</v>
      </c>
      <c r="S183" s="9">
        <v>9500.0</v>
      </c>
      <c r="T183" s="9">
        <v>0.0</v>
      </c>
      <c r="U183" s="9">
        <v>15.0</v>
      </c>
      <c r="V183" s="9" t="s">
        <v>317</v>
      </c>
      <c r="W183" s="9" t="s">
        <v>318</v>
      </c>
      <c r="X183" s="9" t="s">
        <v>122</v>
      </c>
      <c r="Y183" s="9" t="s">
        <v>89</v>
      </c>
      <c r="Z183" s="9" t="s">
        <v>132</v>
      </c>
      <c r="AA183" s="9" t="s">
        <v>91</v>
      </c>
      <c r="AC183" s="9">
        <v>9.0</v>
      </c>
      <c r="AD183" s="9">
        <v>3.5</v>
      </c>
      <c r="AE183" s="9">
        <v>6.0</v>
      </c>
      <c r="AF183" s="9">
        <v>1250.0</v>
      </c>
      <c r="AG183" s="33"/>
    </row>
    <row r="184">
      <c r="A184" s="7">
        <v>44403.93420238426</v>
      </c>
      <c r="B184" s="9" t="s">
        <v>49</v>
      </c>
      <c r="C184" s="9">
        <v>30.0</v>
      </c>
      <c r="D184" s="9" t="s">
        <v>35</v>
      </c>
      <c r="E184" s="9" t="s">
        <v>36</v>
      </c>
      <c r="F184" s="9" t="s">
        <v>50</v>
      </c>
      <c r="G184" s="9" t="s">
        <v>300</v>
      </c>
      <c r="H184" s="9" t="s">
        <v>38</v>
      </c>
      <c r="I184" s="9" t="s">
        <v>2745</v>
      </c>
      <c r="J184" s="9" t="s">
        <v>2746</v>
      </c>
      <c r="K184" s="9" t="s">
        <v>40</v>
      </c>
      <c r="L184" s="9" t="s">
        <v>39</v>
      </c>
      <c r="M184" s="9" t="s">
        <v>40</v>
      </c>
      <c r="N184" s="9" t="s">
        <v>1745</v>
      </c>
      <c r="P184" s="9" t="s">
        <v>152</v>
      </c>
      <c r="Q184" s="9" t="s">
        <v>42</v>
      </c>
      <c r="R184" s="9">
        <v>4700.0</v>
      </c>
      <c r="S184" s="9">
        <v>0.0</v>
      </c>
      <c r="T184" s="9">
        <v>0.0</v>
      </c>
      <c r="U184" s="9">
        <v>9999.0</v>
      </c>
      <c r="V184" s="9" t="s">
        <v>67</v>
      </c>
      <c r="W184" s="9" t="s">
        <v>1746</v>
      </c>
      <c r="X184" s="9" t="s">
        <v>1747</v>
      </c>
      <c r="Y184" s="9" t="s">
        <v>70</v>
      </c>
      <c r="Z184" s="9" t="s">
        <v>71</v>
      </c>
      <c r="AA184" s="9" t="s">
        <v>61</v>
      </c>
      <c r="AC184" s="9">
        <v>8.0</v>
      </c>
      <c r="AD184" s="9">
        <v>4.0</v>
      </c>
      <c r="AE184" s="9">
        <v>1.0</v>
      </c>
      <c r="AF184" s="9">
        <v>3300.0</v>
      </c>
      <c r="AG184" s="33"/>
    </row>
    <row r="185">
      <c r="A185" s="7">
        <v>44403.93577327546</v>
      </c>
      <c r="B185" s="9" t="s">
        <v>49</v>
      </c>
      <c r="C185" s="9">
        <v>43.0</v>
      </c>
      <c r="D185" s="9" t="s">
        <v>35</v>
      </c>
      <c r="E185" s="9" t="s">
        <v>36</v>
      </c>
      <c r="F185" s="9" t="s">
        <v>50</v>
      </c>
      <c r="G185" s="9" t="s">
        <v>117</v>
      </c>
      <c r="H185" s="9" t="s">
        <v>38</v>
      </c>
      <c r="I185" s="9" t="s">
        <v>2747</v>
      </c>
      <c r="J185" s="9" t="s">
        <v>2260</v>
      </c>
      <c r="K185" s="9" t="s">
        <v>40</v>
      </c>
      <c r="L185" s="9" t="s">
        <v>40</v>
      </c>
      <c r="M185" s="9" t="s">
        <v>40</v>
      </c>
      <c r="P185" s="9" t="s">
        <v>2479</v>
      </c>
      <c r="Q185" s="9" t="s">
        <v>42</v>
      </c>
      <c r="R185" s="9">
        <v>7000.0</v>
      </c>
      <c r="S185" s="9">
        <v>0.0</v>
      </c>
      <c r="T185" s="9">
        <v>0.0</v>
      </c>
      <c r="U185" s="9">
        <v>22.0</v>
      </c>
      <c r="V185" s="9" t="s">
        <v>2261</v>
      </c>
      <c r="W185" s="9" t="s">
        <v>2262</v>
      </c>
      <c r="X185" s="9" t="s">
        <v>1952</v>
      </c>
      <c r="Y185" s="9" t="s">
        <v>481</v>
      </c>
      <c r="Z185" s="9" t="s">
        <v>47</v>
      </c>
      <c r="AA185" s="9" t="s">
        <v>61</v>
      </c>
      <c r="AC185" s="9">
        <v>7.0</v>
      </c>
      <c r="AD185" s="9">
        <v>6.0</v>
      </c>
      <c r="AE185" s="9">
        <v>0.0</v>
      </c>
      <c r="AF185" s="9">
        <v>7000.0</v>
      </c>
      <c r="AG185" s="33"/>
    </row>
    <row r="186">
      <c r="A186" s="7">
        <v>44403.93611998843</v>
      </c>
      <c r="B186" s="9" t="s">
        <v>49</v>
      </c>
      <c r="C186" s="9">
        <v>18.0</v>
      </c>
      <c r="D186" s="9" t="s">
        <v>35</v>
      </c>
      <c r="E186" s="9" t="s">
        <v>36</v>
      </c>
      <c r="F186" s="9" t="s">
        <v>50</v>
      </c>
      <c r="G186" s="9" t="s">
        <v>99</v>
      </c>
      <c r="H186" s="9" t="s">
        <v>38</v>
      </c>
      <c r="I186" s="9" t="s">
        <v>2748</v>
      </c>
      <c r="J186" s="9" t="s">
        <v>2444</v>
      </c>
      <c r="K186" s="9" t="s">
        <v>39</v>
      </c>
      <c r="L186" s="9" t="s">
        <v>40</v>
      </c>
      <c r="M186" s="9" t="s">
        <v>40</v>
      </c>
      <c r="P186" s="9" t="s">
        <v>2479</v>
      </c>
      <c r="Q186" s="9" t="s">
        <v>42</v>
      </c>
      <c r="R186" s="9">
        <v>1000.0</v>
      </c>
      <c r="S186" s="9">
        <v>0.0</v>
      </c>
      <c r="T186" s="9">
        <v>0.0</v>
      </c>
      <c r="U186" s="9">
        <v>20.0</v>
      </c>
      <c r="V186" s="9" t="s">
        <v>256</v>
      </c>
      <c r="W186" s="9" t="s">
        <v>257</v>
      </c>
      <c r="X186" s="9" t="s">
        <v>58</v>
      </c>
      <c r="Y186" s="9" t="s">
        <v>258</v>
      </c>
      <c r="Z186" s="9" t="s">
        <v>71</v>
      </c>
      <c r="AA186" s="9" t="s">
        <v>91</v>
      </c>
      <c r="AC186" s="9">
        <v>10.0</v>
      </c>
      <c r="AD186" s="9">
        <v>2.0</v>
      </c>
      <c r="AE186" s="9">
        <v>1.0</v>
      </c>
      <c r="AF186" s="9">
        <v>1000.0</v>
      </c>
      <c r="AG186" s="33"/>
    </row>
    <row r="187">
      <c r="A187" s="7">
        <v>44403.93683832176</v>
      </c>
      <c r="B187" s="9" t="s">
        <v>49</v>
      </c>
      <c r="C187" s="9">
        <v>26.0</v>
      </c>
      <c r="D187" s="9" t="s">
        <v>35</v>
      </c>
      <c r="E187" s="9" t="s">
        <v>36</v>
      </c>
      <c r="F187" s="9" t="s">
        <v>363</v>
      </c>
      <c r="G187" s="9" t="s">
        <v>363</v>
      </c>
      <c r="H187" s="9" t="s">
        <v>38</v>
      </c>
      <c r="I187" s="9" t="s">
        <v>2749</v>
      </c>
      <c r="J187" s="9" t="s">
        <v>2750</v>
      </c>
      <c r="K187" s="9" t="s">
        <v>39</v>
      </c>
      <c r="L187" s="9" t="s">
        <v>40</v>
      </c>
      <c r="M187" s="9" t="s">
        <v>39</v>
      </c>
      <c r="O187" s="9" t="s">
        <v>1962</v>
      </c>
      <c r="P187" s="9" t="s">
        <v>128</v>
      </c>
      <c r="Q187" s="9" t="s">
        <v>42</v>
      </c>
      <c r="R187" s="9">
        <v>7000.0</v>
      </c>
      <c r="S187" s="9">
        <v>0.0</v>
      </c>
      <c r="T187" s="9" t="s">
        <v>2751</v>
      </c>
      <c r="U187" s="9">
        <v>14.0</v>
      </c>
      <c r="V187" s="9" t="s">
        <v>1963</v>
      </c>
      <c r="W187" s="9" t="s">
        <v>1964</v>
      </c>
      <c r="X187" s="9" t="s">
        <v>122</v>
      </c>
      <c r="Y187" s="9" t="s">
        <v>89</v>
      </c>
      <c r="Z187" s="9" t="s">
        <v>71</v>
      </c>
      <c r="AA187" s="9" t="s">
        <v>61</v>
      </c>
      <c r="AC187" s="9">
        <v>9.0</v>
      </c>
      <c r="AD187" s="9">
        <v>3.0</v>
      </c>
      <c r="AE187" s="9">
        <v>1.0</v>
      </c>
      <c r="AF187" s="9">
        <v>3800.0</v>
      </c>
      <c r="AG187" s="33"/>
    </row>
    <row r="188">
      <c r="A188" s="7">
        <v>44403.93781325231</v>
      </c>
      <c r="B188" s="9" t="s">
        <v>49</v>
      </c>
      <c r="C188" s="9">
        <v>23.0</v>
      </c>
      <c r="D188" s="9" t="s">
        <v>35</v>
      </c>
      <c r="E188" s="9" t="s">
        <v>36</v>
      </c>
      <c r="F188" s="9" t="s">
        <v>50</v>
      </c>
      <c r="G188" s="9" t="s">
        <v>180</v>
      </c>
      <c r="H188" s="9" t="s">
        <v>38</v>
      </c>
      <c r="I188" s="9" t="s">
        <v>2368</v>
      </c>
      <c r="J188" s="9" t="s">
        <v>161</v>
      </c>
      <c r="K188" s="9" t="s">
        <v>39</v>
      </c>
      <c r="L188" s="9" t="s">
        <v>40</v>
      </c>
      <c r="M188" s="9" t="s">
        <v>40</v>
      </c>
      <c r="P188" s="9" t="s">
        <v>146</v>
      </c>
      <c r="Q188" s="9" t="s">
        <v>42</v>
      </c>
      <c r="R188" s="9">
        <v>7400.0</v>
      </c>
      <c r="S188" s="9">
        <v>0.0</v>
      </c>
      <c r="T188" s="9">
        <v>6000.0</v>
      </c>
      <c r="U188" s="9">
        <v>15.0</v>
      </c>
      <c r="V188" s="9" t="s">
        <v>401</v>
      </c>
      <c r="W188" s="9" t="s">
        <v>402</v>
      </c>
      <c r="X188" s="9" t="s">
        <v>58</v>
      </c>
      <c r="Y188" s="9" t="s">
        <v>59</v>
      </c>
      <c r="Z188" s="9" t="s">
        <v>47</v>
      </c>
      <c r="AA188" s="9" t="s">
        <v>61</v>
      </c>
      <c r="AC188" s="9">
        <v>8.0</v>
      </c>
      <c r="AD188" s="9">
        <v>4.0</v>
      </c>
      <c r="AE188" s="9">
        <v>4.0</v>
      </c>
      <c r="AF188" s="9">
        <v>1600.0</v>
      </c>
      <c r="AG188" s="33"/>
    </row>
    <row r="189">
      <c r="A189" s="7">
        <v>44403.938399942126</v>
      </c>
      <c r="B189" s="9" t="s">
        <v>49</v>
      </c>
      <c r="C189" s="9">
        <v>27.0</v>
      </c>
      <c r="D189" s="9" t="s">
        <v>35</v>
      </c>
      <c r="E189" s="9" t="s">
        <v>36</v>
      </c>
      <c r="F189" s="9" t="s">
        <v>363</v>
      </c>
      <c r="G189" s="9" t="s">
        <v>2386</v>
      </c>
      <c r="H189" s="9" t="s">
        <v>38</v>
      </c>
      <c r="I189" s="9" t="s">
        <v>2752</v>
      </c>
      <c r="J189" s="9" t="s">
        <v>484</v>
      </c>
      <c r="K189" s="9" t="s">
        <v>39</v>
      </c>
      <c r="L189" s="9" t="s">
        <v>40</v>
      </c>
      <c r="M189" s="9" t="s">
        <v>40</v>
      </c>
      <c r="P189" s="9" t="s">
        <v>485</v>
      </c>
      <c r="Q189" s="9" t="s">
        <v>42</v>
      </c>
      <c r="R189" s="9">
        <v>5400.0</v>
      </c>
      <c r="S189" s="9">
        <v>0.0</v>
      </c>
      <c r="U189" s="9">
        <v>0.0</v>
      </c>
      <c r="V189" s="9" t="s">
        <v>433</v>
      </c>
      <c r="W189" s="9" t="s">
        <v>486</v>
      </c>
      <c r="X189" s="9" t="s">
        <v>79</v>
      </c>
      <c r="Y189" s="9" t="s">
        <v>268</v>
      </c>
      <c r="Z189" s="9" t="s">
        <v>71</v>
      </c>
      <c r="AA189" s="9" t="s">
        <v>61</v>
      </c>
      <c r="AB189" s="9" t="s">
        <v>487</v>
      </c>
      <c r="AC189" s="9">
        <v>9.0</v>
      </c>
      <c r="AD189" s="9">
        <v>3.0</v>
      </c>
      <c r="AE189" s="9">
        <v>2.0</v>
      </c>
      <c r="AF189" s="9">
        <v>1800.0</v>
      </c>
      <c r="AG189" s="33"/>
    </row>
    <row r="190">
      <c r="A190" s="7">
        <v>44403.939188668985</v>
      </c>
      <c r="B190" s="9" t="s">
        <v>49</v>
      </c>
      <c r="C190" s="9">
        <v>25.0</v>
      </c>
      <c r="D190" s="9" t="s">
        <v>35</v>
      </c>
      <c r="E190" s="9" t="s">
        <v>36</v>
      </c>
      <c r="F190" s="9" t="s">
        <v>124</v>
      </c>
      <c r="G190" s="9" t="s">
        <v>124</v>
      </c>
      <c r="H190" s="9" t="s">
        <v>38</v>
      </c>
      <c r="I190" s="9" t="s">
        <v>2368</v>
      </c>
      <c r="J190" s="9" t="s">
        <v>2385</v>
      </c>
      <c r="K190" s="9" t="s">
        <v>39</v>
      </c>
      <c r="L190" s="9" t="s">
        <v>40</v>
      </c>
      <c r="M190" s="9" t="s">
        <v>40</v>
      </c>
      <c r="P190" s="9" t="s">
        <v>2486</v>
      </c>
      <c r="Q190" s="9" t="s">
        <v>42</v>
      </c>
      <c r="R190" s="9">
        <v>3000.0</v>
      </c>
      <c r="S190" s="9">
        <v>1700.0</v>
      </c>
      <c r="U190" s="9">
        <v>14.0</v>
      </c>
      <c r="V190" s="9" t="s">
        <v>1863</v>
      </c>
      <c r="W190" s="9" t="s">
        <v>170</v>
      </c>
      <c r="X190" s="9" t="s">
        <v>124</v>
      </c>
      <c r="Y190" s="9" t="s">
        <v>347</v>
      </c>
      <c r="Z190" s="9" t="s">
        <v>71</v>
      </c>
      <c r="AA190" s="9" t="s">
        <v>91</v>
      </c>
      <c r="AB190" s="9" t="s">
        <v>1864</v>
      </c>
      <c r="AC190" s="9">
        <v>6.0</v>
      </c>
      <c r="AD190" s="9">
        <v>1.0</v>
      </c>
      <c r="AE190" s="9">
        <v>0.0</v>
      </c>
      <c r="AF190" s="9">
        <v>3500.0</v>
      </c>
      <c r="AG190" s="33"/>
    </row>
    <row r="191">
      <c r="A191" s="7">
        <v>44403.93925563658</v>
      </c>
      <c r="B191" s="9" t="s">
        <v>49</v>
      </c>
      <c r="C191" s="9">
        <v>23.0</v>
      </c>
      <c r="D191" s="9" t="s">
        <v>35</v>
      </c>
      <c r="E191" s="9" t="s">
        <v>36</v>
      </c>
      <c r="F191" s="9" t="s">
        <v>50</v>
      </c>
      <c r="G191" s="9" t="s">
        <v>565</v>
      </c>
      <c r="H191" s="9" t="s">
        <v>38</v>
      </c>
      <c r="I191" s="9" t="s">
        <v>2413</v>
      </c>
      <c r="J191" s="9" t="s">
        <v>2389</v>
      </c>
      <c r="K191" s="9" t="s">
        <v>39</v>
      </c>
      <c r="L191" s="9" t="s">
        <v>40</v>
      </c>
      <c r="M191" s="9" t="s">
        <v>40</v>
      </c>
      <c r="P191" s="9" t="s">
        <v>128</v>
      </c>
      <c r="Q191" s="9" t="s">
        <v>42</v>
      </c>
      <c r="R191" s="9">
        <v>5500.0</v>
      </c>
      <c r="S191" s="9">
        <v>8000.0</v>
      </c>
      <c r="T191" s="9">
        <v>0.0</v>
      </c>
      <c r="U191" s="9">
        <v>12.0</v>
      </c>
      <c r="V191" s="9" t="s">
        <v>1846</v>
      </c>
      <c r="W191" s="9" t="s">
        <v>1847</v>
      </c>
      <c r="X191" s="9" t="s">
        <v>58</v>
      </c>
      <c r="Y191" s="9" t="s">
        <v>70</v>
      </c>
      <c r="Z191" s="9" t="s">
        <v>132</v>
      </c>
      <c r="AA191" s="9" t="s">
        <v>91</v>
      </c>
      <c r="AC191" s="9">
        <v>9.0</v>
      </c>
      <c r="AD191" s="9" t="s">
        <v>1255</v>
      </c>
      <c r="AE191" s="9">
        <v>0.0</v>
      </c>
      <c r="AF191" s="9">
        <v>3500.0</v>
      </c>
      <c r="AG191" s="33"/>
    </row>
    <row r="192">
      <c r="A192" s="7">
        <v>44403.93986460648</v>
      </c>
      <c r="B192" s="9" t="s">
        <v>49</v>
      </c>
      <c r="C192" s="9">
        <v>23.0</v>
      </c>
      <c r="D192" s="9" t="s">
        <v>35</v>
      </c>
      <c r="E192" s="9" t="s">
        <v>36</v>
      </c>
      <c r="F192" s="9" t="s">
        <v>124</v>
      </c>
      <c r="G192" s="9" t="s">
        <v>124</v>
      </c>
      <c r="H192" s="9" t="s">
        <v>38</v>
      </c>
      <c r="I192" s="9" t="s">
        <v>2413</v>
      </c>
      <c r="J192" s="9" t="s">
        <v>2699</v>
      </c>
      <c r="K192" s="9" t="s">
        <v>39</v>
      </c>
      <c r="L192" s="9" t="s">
        <v>40</v>
      </c>
      <c r="M192" s="9" t="s">
        <v>40</v>
      </c>
      <c r="P192" s="9" t="s">
        <v>2753</v>
      </c>
      <c r="Q192" s="9" t="s">
        <v>42</v>
      </c>
      <c r="R192" s="9">
        <v>3000.0</v>
      </c>
      <c r="S192" s="9">
        <v>0.0</v>
      </c>
      <c r="T192" s="9">
        <v>0.0</v>
      </c>
      <c r="U192" s="9">
        <v>7.0</v>
      </c>
      <c r="V192" s="9" t="s">
        <v>223</v>
      </c>
      <c r="W192" s="9" t="s">
        <v>1401</v>
      </c>
      <c r="X192" s="9" t="s">
        <v>1402</v>
      </c>
      <c r="Y192" s="9" t="s">
        <v>59</v>
      </c>
      <c r="Z192" s="9" t="s">
        <v>47</v>
      </c>
      <c r="AA192" s="9" t="s">
        <v>61</v>
      </c>
      <c r="AC192" s="9">
        <v>7.0</v>
      </c>
      <c r="AD192" s="9">
        <v>1.0</v>
      </c>
      <c r="AE192" s="9">
        <v>0.0</v>
      </c>
      <c r="AF192" s="9">
        <v>3000.0</v>
      </c>
      <c r="AG192" s="33"/>
    </row>
    <row r="193">
      <c r="A193" s="7">
        <v>44403.940994386576</v>
      </c>
      <c r="B193" s="9" t="s">
        <v>49</v>
      </c>
      <c r="C193" s="9">
        <v>23.0</v>
      </c>
      <c r="D193" s="9" t="s">
        <v>35</v>
      </c>
      <c r="E193" s="9" t="s">
        <v>36</v>
      </c>
      <c r="F193" s="9" t="s">
        <v>50</v>
      </c>
      <c r="G193" s="9" t="s">
        <v>117</v>
      </c>
      <c r="H193" s="9" t="s">
        <v>38</v>
      </c>
      <c r="I193" s="9" t="s">
        <v>2368</v>
      </c>
      <c r="J193" s="9" t="s">
        <v>161</v>
      </c>
      <c r="K193" s="9" t="s">
        <v>39</v>
      </c>
      <c r="L193" s="9" t="s">
        <v>40</v>
      </c>
      <c r="M193" s="9" t="s">
        <v>40</v>
      </c>
      <c r="P193" s="9" t="s">
        <v>2479</v>
      </c>
      <c r="Q193" s="9" t="s">
        <v>42</v>
      </c>
      <c r="R193" s="9">
        <v>7000.0</v>
      </c>
      <c r="S193" s="9">
        <v>0.0</v>
      </c>
      <c r="T193" s="9">
        <v>0.0</v>
      </c>
      <c r="U193" s="9">
        <v>14.0</v>
      </c>
      <c r="V193" s="9" t="s">
        <v>67</v>
      </c>
      <c r="W193" s="9" t="s">
        <v>2042</v>
      </c>
      <c r="X193" s="9" t="s">
        <v>122</v>
      </c>
      <c r="Y193" s="9" t="s">
        <v>2043</v>
      </c>
      <c r="Z193" s="9" t="s">
        <v>47</v>
      </c>
      <c r="AA193" s="9" t="s">
        <v>61</v>
      </c>
      <c r="AC193" s="9">
        <v>6.0</v>
      </c>
      <c r="AD193" s="9">
        <v>2.0</v>
      </c>
      <c r="AE193" s="9">
        <v>2.0</v>
      </c>
      <c r="AF193" s="9">
        <v>4000.0</v>
      </c>
      <c r="AG193" s="33"/>
    </row>
    <row r="194">
      <c r="A194" s="7">
        <v>44403.941952939815</v>
      </c>
      <c r="B194" s="9" t="s">
        <v>49</v>
      </c>
      <c r="C194" s="9">
        <v>33.0</v>
      </c>
      <c r="D194" s="9" t="s">
        <v>35</v>
      </c>
      <c r="E194" s="9" t="s">
        <v>36</v>
      </c>
      <c r="F194" s="9" t="s">
        <v>2649</v>
      </c>
      <c r="G194" s="9" t="s">
        <v>124</v>
      </c>
      <c r="H194" s="9" t="s">
        <v>38</v>
      </c>
      <c r="K194" s="9" t="s">
        <v>39</v>
      </c>
      <c r="L194" s="9" t="s">
        <v>40</v>
      </c>
      <c r="M194" s="9" t="s">
        <v>40</v>
      </c>
      <c r="P194" s="9" t="s">
        <v>128</v>
      </c>
      <c r="Q194" s="9" t="s">
        <v>42</v>
      </c>
      <c r="R194" s="9">
        <v>10000.0</v>
      </c>
      <c r="S194" s="9">
        <v>0.0</v>
      </c>
      <c r="T194" s="9">
        <v>0.0</v>
      </c>
      <c r="U194" s="9">
        <v>20.0</v>
      </c>
      <c r="V194" s="9" t="s">
        <v>1498</v>
      </c>
      <c r="W194" s="9" t="s">
        <v>1499</v>
      </c>
      <c r="X194" s="9" t="s">
        <v>1500</v>
      </c>
      <c r="Y194" s="9" t="s">
        <v>423</v>
      </c>
      <c r="Z194" s="9" t="s">
        <v>60</v>
      </c>
      <c r="AA194" s="9" t="s">
        <v>133</v>
      </c>
      <c r="AC194" s="9">
        <v>8.0</v>
      </c>
      <c r="AD194" s="9">
        <v>7.0</v>
      </c>
      <c r="AE194" s="9">
        <v>2.0</v>
      </c>
      <c r="AF194" s="9">
        <v>3000.0</v>
      </c>
      <c r="AG194" s="33"/>
    </row>
    <row r="195">
      <c r="A195" s="7">
        <v>44403.94277356481</v>
      </c>
      <c r="B195" s="9" t="s">
        <v>49</v>
      </c>
      <c r="C195" s="9">
        <v>32.0</v>
      </c>
      <c r="D195" s="9" t="s">
        <v>35</v>
      </c>
      <c r="E195" s="9" t="s">
        <v>36</v>
      </c>
      <c r="F195" s="9" t="s">
        <v>50</v>
      </c>
      <c r="G195" s="9" t="s">
        <v>300</v>
      </c>
      <c r="H195" s="9" t="s">
        <v>38</v>
      </c>
      <c r="I195" s="9" t="s">
        <v>2754</v>
      </c>
      <c r="J195" s="9" t="s">
        <v>2389</v>
      </c>
      <c r="K195" s="9" t="s">
        <v>39</v>
      </c>
      <c r="L195" s="9" t="s">
        <v>40</v>
      </c>
      <c r="M195" s="9" t="s">
        <v>40</v>
      </c>
      <c r="P195" s="9" t="s">
        <v>2755</v>
      </c>
      <c r="Q195" s="9" t="s">
        <v>42</v>
      </c>
      <c r="R195" s="9">
        <v>7000.0</v>
      </c>
      <c r="U195" s="9">
        <v>14.0</v>
      </c>
      <c r="V195" s="9" t="s">
        <v>1547</v>
      </c>
      <c r="W195" s="9" t="s">
        <v>865</v>
      </c>
      <c r="X195" s="9" t="s">
        <v>349</v>
      </c>
      <c r="Y195" s="9" t="s">
        <v>59</v>
      </c>
      <c r="Z195" s="9" t="s">
        <v>71</v>
      </c>
      <c r="AA195" s="9" t="s">
        <v>91</v>
      </c>
      <c r="AC195" s="9">
        <v>9.0</v>
      </c>
      <c r="AD195" s="9">
        <v>7.0</v>
      </c>
      <c r="AE195" s="9">
        <v>3.0</v>
      </c>
      <c r="AF195" s="9">
        <v>3080.0</v>
      </c>
      <c r="AG195" s="33"/>
    </row>
    <row r="196">
      <c r="A196" s="7">
        <v>44403.94407673611</v>
      </c>
      <c r="B196" s="9" t="s">
        <v>49</v>
      </c>
      <c r="C196" s="9">
        <v>36.0</v>
      </c>
      <c r="D196" s="9" t="s">
        <v>35</v>
      </c>
      <c r="E196" s="9" t="s">
        <v>36</v>
      </c>
      <c r="F196" s="9" t="s">
        <v>50</v>
      </c>
      <c r="G196" s="9" t="s">
        <v>870</v>
      </c>
      <c r="H196" s="9" t="s">
        <v>38</v>
      </c>
      <c r="I196" s="9" t="s">
        <v>2368</v>
      </c>
      <c r="J196" s="9" t="s">
        <v>322</v>
      </c>
      <c r="K196" s="9" t="s">
        <v>39</v>
      </c>
      <c r="L196" s="9" t="s">
        <v>40</v>
      </c>
      <c r="M196" s="9" t="s">
        <v>40</v>
      </c>
      <c r="P196" s="9" t="s">
        <v>119</v>
      </c>
      <c r="Q196" s="9" t="s">
        <v>42</v>
      </c>
      <c r="R196" s="9">
        <v>16500.0</v>
      </c>
      <c r="S196" s="9">
        <v>0.0</v>
      </c>
      <c r="T196" s="9">
        <v>0.0</v>
      </c>
      <c r="U196" s="9">
        <v>20.0</v>
      </c>
      <c r="V196" s="9" t="s">
        <v>2332</v>
      </c>
      <c r="W196" s="9" t="s">
        <v>224</v>
      </c>
      <c r="X196" s="9" t="s">
        <v>124</v>
      </c>
      <c r="Y196" s="9" t="s">
        <v>59</v>
      </c>
      <c r="Z196" s="9" t="s">
        <v>132</v>
      </c>
      <c r="AA196" s="9" t="s">
        <v>91</v>
      </c>
      <c r="AC196" s="9">
        <v>8.0</v>
      </c>
      <c r="AD196" s="9">
        <v>12.0</v>
      </c>
      <c r="AE196" s="9">
        <v>3.0</v>
      </c>
      <c r="AF196" s="9">
        <v>16500.0</v>
      </c>
      <c r="AG196" s="33"/>
    </row>
    <row r="197">
      <c r="A197" s="7">
        <v>44403.944513553244</v>
      </c>
      <c r="B197" s="9" t="s">
        <v>73</v>
      </c>
      <c r="C197" s="9">
        <v>24.0</v>
      </c>
      <c r="D197" s="9" t="s">
        <v>35</v>
      </c>
      <c r="E197" s="9" t="s">
        <v>36</v>
      </c>
      <c r="F197" s="9" t="s">
        <v>172</v>
      </c>
      <c r="G197" s="9" t="s">
        <v>173</v>
      </c>
      <c r="H197" s="9" t="s">
        <v>38</v>
      </c>
      <c r="I197" s="9" t="s">
        <v>2756</v>
      </c>
      <c r="J197" s="9" t="s">
        <v>2757</v>
      </c>
      <c r="K197" s="9" t="s">
        <v>40</v>
      </c>
      <c r="L197" s="9" t="s">
        <v>39</v>
      </c>
      <c r="M197" s="9" t="s">
        <v>40</v>
      </c>
      <c r="N197" s="9" t="s">
        <v>175</v>
      </c>
      <c r="P197" s="9" t="s">
        <v>2438</v>
      </c>
      <c r="Q197" s="9" t="s">
        <v>42</v>
      </c>
      <c r="R197" s="9">
        <v>1700.0</v>
      </c>
      <c r="S197" s="9">
        <v>0.0</v>
      </c>
      <c r="T197" s="9">
        <v>0.0</v>
      </c>
      <c r="U197" s="9">
        <v>12.0</v>
      </c>
      <c r="V197" s="9" t="s">
        <v>176</v>
      </c>
      <c r="W197" s="9" t="s">
        <v>177</v>
      </c>
      <c r="X197" s="9" t="s">
        <v>178</v>
      </c>
      <c r="Y197" s="9" t="s">
        <v>179</v>
      </c>
      <c r="Z197" s="9" t="s">
        <v>47</v>
      </c>
      <c r="AA197" s="9" t="s">
        <v>61</v>
      </c>
      <c r="AB197" s="9" t="s">
        <v>72</v>
      </c>
      <c r="AC197" s="9">
        <v>4.0</v>
      </c>
      <c r="AD197" s="9">
        <v>1.0</v>
      </c>
      <c r="AE197" s="9">
        <v>4.0</v>
      </c>
      <c r="AF197" s="9">
        <v>800.0</v>
      </c>
      <c r="AG197" s="33"/>
    </row>
    <row r="198">
      <c r="A198" s="7">
        <v>44403.94458037037</v>
      </c>
      <c r="B198" s="9" t="s">
        <v>49</v>
      </c>
      <c r="C198" s="9">
        <v>29.0</v>
      </c>
      <c r="D198" s="9" t="s">
        <v>35</v>
      </c>
      <c r="E198" s="9" t="s">
        <v>36</v>
      </c>
      <c r="F198" s="9" t="s">
        <v>124</v>
      </c>
      <c r="G198" s="9" t="s">
        <v>124</v>
      </c>
      <c r="H198" s="9" t="s">
        <v>38</v>
      </c>
      <c r="I198" s="9" t="s">
        <v>2758</v>
      </c>
      <c r="J198" s="9" t="s">
        <v>2759</v>
      </c>
      <c r="K198" s="9" t="s">
        <v>39</v>
      </c>
      <c r="L198" s="9" t="s">
        <v>40</v>
      </c>
      <c r="M198" s="9" t="s">
        <v>40</v>
      </c>
      <c r="O198" s="9" t="s">
        <v>2760</v>
      </c>
      <c r="P198" s="9" t="s">
        <v>2486</v>
      </c>
      <c r="Q198" s="9" t="s">
        <v>42</v>
      </c>
      <c r="R198" s="9">
        <v>9000.0</v>
      </c>
      <c r="S198" s="9">
        <v>35000.0</v>
      </c>
      <c r="T198" s="9">
        <v>0.0</v>
      </c>
      <c r="U198" s="9">
        <v>20.0</v>
      </c>
      <c r="V198" s="9" t="s">
        <v>1504</v>
      </c>
      <c r="W198" s="9" t="s">
        <v>1505</v>
      </c>
      <c r="X198" s="9" t="s">
        <v>122</v>
      </c>
      <c r="Y198" s="9" t="s">
        <v>59</v>
      </c>
      <c r="Z198" s="9" t="s">
        <v>81</v>
      </c>
      <c r="AA198" s="9" t="s">
        <v>61</v>
      </c>
      <c r="AC198" s="9">
        <v>8.0</v>
      </c>
      <c r="AD198" s="9">
        <v>5.0</v>
      </c>
      <c r="AE198" s="9">
        <v>2.0</v>
      </c>
      <c r="AF198" s="9">
        <v>3000.0</v>
      </c>
      <c r="AG198" s="33"/>
    </row>
    <row r="199">
      <c r="A199" s="7">
        <v>44403.94749738426</v>
      </c>
      <c r="B199" s="9" t="s">
        <v>49</v>
      </c>
      <c r="C199" s="9">
        <v>28.0</v>
      </c>
      <c r="D199" s="9" t="s">
        <v>35</v>
      </c>
      <c r="E199" s="9" t="s">
        <v>36</v>
      </c>
      <c r="F199" s="9" t="s">
        <v>2761</v>
      </c>
      <c r="G199" s="9" t="s">
        <v>488</v>
      </c>
      <c r="H199" s="9" t="s">
        <v>38</v>
      </c>
      <c r="K199" s="9" t="s">
        <v>39</v>
      </c>
      <c r="L199" s="9" t="s">
        <v>40</v>
      </c>
      <c r="M199" s="9" t="s">
        <v>40</v>
      </c>
      <c r="P199" s="9" t="s">
        <v>2762</v>
      </c>
      <c r="Q199" s="9" t="s">
        <v>42</v>
      </c>
      <c r="R199" s="9">
        <v>4000.0</v>
      </c>
      <c r="U199" s="9">
        <v>12.0</v>
      </c>
      <c r="V199" s="9" t="s">
        <v>320</v>
      </c>
      <c r="W199" s="9" t="s">
        <v>224</v>
      </c>
      <c r="X199" s="9" t="s">
        <v>2763</v>
      </c>
      <c r="Y199" s="9" t="s">
        <v>347</v>
      </c>
      <c r="Z199" s="9" t="s">
        <v>71</v>
      </c>
      <c r="AA199" s="9" t="s">
        <v>61</v>
      </c>
      <c r="AC199" s="9">
        <v>5.0</v>
      </c>
      <c r="AD199" s="9">
        <v>4.0</v>
      </c>
      <c r="AE199" s="9">
        <v>4.0</v>
      </c>
      <c r="AF199" s="9">
        <v>1800.0</v>
      </c>
      <c r="AG199" s="33"/>
    </row>
    <row r="200">
      <c r="A200" s="7">
        <v>44403.94778869213</v>
      </c>
      <c r="B200" s="9" t="s">
        <v>49</v>
      </c>
      <c r="C200" s="9">
        <v>30.0</v>
      </c>
      <c r="D200" s="9" t="s">
        <v>35</v>
      </c>
      <c r="E200" s="9" t="s">
        <v>36</v>
      </c>
      <c r="H200" s="9" t="s">
        <v>38</v>
      </c>
      <c r="I200" s="9" t="s">
        <v>2368</v>
      </c>
      <c r="K200" s="9" t="s">
        <v>39</v>
      </c>
      <c r="L200" s="9" t="s">
        <v>40</v>
      </c>
      <c r="M200" s="9" t="s">
        <v>39</v>
      </c>
      <c r="O200" s="9" t="s">
        <v>1931</v>
      </c>
      <c r="P200" s="9" t="s">
        <v>1178</v>
      </c>
      <c r="Q200" s="9" t="s">
        <v>42</v>
      </c>
      <c r="R200" s="9">
        <v>9200.0</v>
      </c>
      <c r="U200" s="9">
        <v>18.0</v>
      </c>
      <c r="V200" s="9" t="s">
        <v>1932</v>
      </c>
      <c r="W200" s="9" t="s">
        <v>1933</v>
      </c>
      <c r="X200" s="9" t="s">
        <v>131</v>
      </c>
      <c r="Y200" s="9" t="s">
        <v>423</v>
      </c>
      <c r="Z200" s="9" t="s">
        <v>81</v>
      </c>
      <c r="AA200" s="9" t="s">
        <v>61</v>
      </c>
      <c r="AC200" s="9">
        <v>9.0</v>
      </c>
      <c r="AD200" s="9">
        <v>5.0</v>
      </c>
      <c r="AE200" s="9">
        <v>3.0</v>
      </c>
      <c r="AF200" s="9">
        <v>3600.0</v>
      </c>
      <c r="AG200" s="33"/>
    </row>
    <row r="201">
      <c r="A201" s="7">
        <v>44403.9495999537</v>
      </c>
      <c r="B201" s="9" t="s">
        <v>73</v>
      </c>
      <c r="C201" s="9">
        <v>25.0</v>
      </c>
      <c r="D201" s="9" t="s">
        <v>35</v>
      </c>
      <c r="E201" s="9" t="s">
        <v>36</v>
      </c>
      <c r="F201" s="9" t="s">
        <v>50</v>
      </c>
      <c r="G201" s="9" t="s">
        <v>106</v>
      </c>
      <c r="H201" s="9" t="s">
        <v>38</v>
      </c>
      <c r="I201" s="9" t="s">
        <v>2368</v>
      </c>
      <c r="J201" s="9" t="s">
        <v>2381</v>
      </c>
      <c r="K201" s="9" t="s">
        <v>39</v>
      </c>
      <c r="L201" s="9" t="s">
        <v>40</v>
      </c>
      <c r="M201" s="9" t="s">
        <v>40</v>
      </c>
      <c r="P201" s="9" t="s">
        <v>128</v>
      </c>
      <c r="Q201" s="9" t="s">
        <v>42</v>
      </c>
      <c r="R201" s="9">
        <v>5000.0</v>
      </c>
      <c r="S201" s="9">
        <v>6500.0</v>
      </c>
      <c r="T201" s="9">
        <v>0.0</v>
      </c>
      <c r="U201" s="9">
        <v>22.0</v>
      </c>
      <c r="V201" s="9" t="s">
        <v>2141</v>
      </c>
      <c r="W201" s="9" t="s">
        <v>2142</v>
      </c>
      <c r="X201" s="9" t="s">
        <v>36</v>
      </c>
      <c r="Y201" s="9" t="s">
        <v>423</v>
      </c>
      <c r="Z201" s="9" t="s">
        <v>90</v>
      </c>
      <c r="AA201" s="9" t="s">
        <v>91</v>
      </c>
      <c r="AC201" s="9">
        <v>10.0</v>
      </c>
      <c r="AD201" s="9">
        <v>1.0</v>
      </c>
      <c r="AE201" s="9">
        <v>1.0</v>
      </c>
      <c r="AF201" s="9">
        <v>4500.0</v>
      </c>
      <c r="AG201" s="33"/>
    </row>
    <row r="202">
      <c r="A202" s="7">
        <v>44403.95066071759</v>
      </c>
      <c r="B202" s="9" t="s">
        <v>49</v>
      </c>
      <c r="C202" s="9">
        <v>28.0</v>
      </c>
      <c r="D202" s="9" t="s">
        <v>35</v>
      </c>
      <c r="E202" s="9" t="s">
        <v>36</v>
      </c>
      <c r="F202" s="9" t="s">
        <v>50</v>
      </c>
      <c r="G202" s="9" t="s">
        <v>2662</v>
      </c>
      <c r="H202" s="9" t="s">
        <v>38</v>
      </c>
      <c r="I202" s="9" t="s">
        <v>2467</v>
      </c>
      <c r="J202" s="9" t="s">
        <v>2464</v>
      </c>
      <c r="K202" s="9" t="s">
        <v>39</v>
      </c>
      <c r="L202" s="9" t="s">
        <v>40</v>
      </c>
      <c r="M202" s="9" t="s">
        <v>39</v>
      </c>
      <c r="O202" s="9" t="s">
        <v>2129</v>
      </c>
      <c r="P202" s="9" t="s">
        <v>2575</v>
      </c>
      <c r="Q202" s="9" t="s">
        <v>42</v>
      </c>
      <c r="R202" s="9">
        <v>7850.0</v>
      </c>
      <c r="S202" s="9">
        <v>18000.0</v>
      </c>
      <c r="T202" s="9">
        <v>0.0</v>
      </c>
      <c r="U202" s="9">
        <v>15.0</v>
      </c>
      <c r="V202" s="9" t="s">
        <v>2130</v>
      </c>
      <c r="W202" s="9" t="s">
        <v>2131</v>
      </c>
      <c r="X202" s="9" t="s">
        <v>2132</v>
      </c>
      <c r="Y202" s="9" t="s">
        <v>159</v>
      </c>
      <c r="Z202" s="9" t="s">
        <v>132</v>
      </c>
      <c r="AA202" s="9" t="s">
        <v>61</v>
      </c>
      <c r="AB202" s="9" t="s">
        <v>2133</v>
      </c>
      <c r="AC202" s="9">
        <v>3.0</v>
      </c>
      <c r="AD202" s="9">
        <v>6.0</v>
      </c>
      <c r="AE202" s="9">
        <v>1.0</v>
      </c>
      <c r="AF202" s="9">
        <v>4500.0</v>
      </c>
      <c r="AG202" s="33"/>
    </row>
    <row r="203">
      <c r="A203" s="7">
        <v>44403.95228329861</v>
      </c>
      <c r="B203" s="9" t="s">
        <v>49</v>
      </c>
      <c r="C203" s="9">
        <v>33.0</v>
      </c>
      <c r="D203" s="9" t="s">
        <v>35</v>
      </c>
      <c r="E203" s="9" t="s">
        <v>36</v>
      </c>
      <c r="F203" s="9" t="s">
        <v>50</v>
      </c>
      <c r="G203" s="9" t="s">
        <v>82</v>
      </c>
      <c r="H203" s="9" t="s">
        <v>38</v>
      </c>
      <c r="I203" s="9" t="s">
        <v>2764</v>
      </c>
      <c r="J203" s="9" t="s">
        <v>924</v>
      </c>
      <c r="K203" s="9" t="s">
        <v>40</v>
      </c>
      <c r="L203" s="9" t="s">
        <v>40</v>
      </c>
      <c r="M203" s="9" t="s">
        <v>39</v>
      </c>
      <c r="O203" s="9" t="s">
        <v>925</v>
      </c>
      <c r="P203" s="9" t="s">
        <v>128</v>
      </c>
      <c r="Q203" s="9" t="s">
        <v>42</v>
      </c>
      <c r="R203" s="9">
        <v>13300.0</v>
      </c>
      <c r="S203" s="9">
        <v>23000.0</v>
      </c>
      <c r="T203" s="9">
        <v>0.0</v>
      </c>
      <c r="U203" s="9">
        <v>18.0</v>
      </c>
      <c r="V203" s="9" t="s">
        <v>926</v>
      </c>
      <c r="W203" s="9" t="s">
        <v>2765</v>
      </c>
      <c r="X203" s="9" t="s">
        <v>928</v>
      </c>
      <c r="Y203" s="9" t="s">
        <v>80</v>
      </c>
      <c r="Z203" s="9" t="s">
        <v>60</v>
      </c>
      <c r="AA203" s="9" t="s">
        <v>61</v>
      </c>
      <c r="AC203" s="9">
        <v>6.0</v>
      </c>
      <c r="AD203" s="9">
        <v>10.0</v>
      </c>
      <c r="AE203" s="9">
        <v>4.0</v>
      </c>
      <c r="AF203" s="9">
        <v>2500.0</v>
      </c>
      <c r="AG203" s="33"/>
    </row>
    <row r="204">
      <c r="A204" s="7">
        <v>44403.954546319444</v>
      </c>
      <c r="B204" s="9" t="s">
        <v>49</v>
      </c>
      <c r="C204" s="9">
        <v>29.0</v>
      </c>
      <c r="D204" s="9" t="s">
        <v>35</v>
      </c>
      <c r="E204" s="9" t="s">
        <v>36</v>
      </c>
      <c r="F204" s="9" t="s">
        <v>50</v>
      </c>
      <c r="G204" s="9" t="s">
        <v>493</v>
      </c>
      <c r="H204" s="9" t="s">
        <v>38</v>
      </c>
      <c r="I204" s="9" t="s">
        <v>2766</v>
      </c>
      <c r="J204" s="9" t="s">
        <v>2675</v>
      </c>
      <c r="K204" s="9" t="s">
        <v>40</v>
      </c>
      <c r="L204" s="9" t="s">
        <v>40</v>
      </c>
      <c r="M204" s="9" t="s">
        <v>40</v>
      </c>
      <c r="P204" s="9" t="s">
        <v>2767</v>
      </c>
      <c r="Q204" s="9" t="s">
        <v>42</v>
      </c>
      <c r="R204" s="9">
        <v>8000.0</v>
      </c>
      <c r="S204" s="9">
        <v>0.0</v>
      </c>
      <c r="T204" s="9">
        <v>10000.0</v>
      </c>
      <c r="U204" s="9">
        <v>24.0</v>
      </c>
      <c r="V204" s="9" t="s">
        <v>2220</v>
      </c>
      <c r="W204" s="9" t="s">
        <v>44</v>
      </c>
      <c r="X204" s="9" t="s">
        <v>122</v>
      </c>
      <c r="Y204" s="9" t="s">
        <v>89</v>
      </c>
      <c r="Z204" s="9" t="s">
        <v>47</v>
      </c>
      <c r="AA204" s="9" t="s">
        <v>61</v>
      </c>
      <c r="AC204" s="9">
        <v>9.0</v>
      </c>
      <c r="AD204" s="9">
        <v>6.0</v>
      </c>
      <c r="AE204" s="9">
        <v>2.0</v>
      </c>
      <c r="AF204" s="9">
        <v>6000.0</v>
      </c>
      <c r="AG204" s="33"/>
    </row>
    <row r="205">
      <c r="A205" s="7">
        <v>44403.954835752316</v>
      </c>
      <c r="B205" s="9" t="s">
        <v>49</v>
      </c>
      <c r="C205" s="9">
        <v>30.0</v>
      </c>
      <c r="D205" s="9" t="s">
        <v>35</v>
      </c>
      <c r="E205" s="9" t="s">
        <v>36</v>
      </c>
      <c r="F205" s="9" t="s">
        <v>171</v>
      </c>
      <c r="G205" s="9" t="s">
        <v>2544</v>
      </c>
      <c r="H205" s="9" t="s">
        <v>93</v>
      </c>
      <c r="I205" s="9" t="s">
        <v>2768</v>
      </c>
      <c r="J205" s="9" t="s">
        <v>1725</v>
      </c>
      <c r="K205" s="9" t="s">
        <v>40</v>
      </c>
      <c r="L205" s="9" t="s">
        <v>40</v>
      </c>
      <c r="M205" s="9" t="s">
        <v>40</v>
      </c>
      <c r="P205" s="9" t="s">
        <v>2769</v>
      </c>
      <c r="Q205" s="9" t="s">
        <v>42</v>
      </c>
      <c r="R205" s="9">
        <v>10000.0</v>
      </c>
      <c r="S205" s="9">
        <v>0.0</v>
      </c>
      <c r="T205" s="9">
        <v>0.25</v>
      </c>
      <c r="U205" s="9">
        <v>14.0</v>
      </c>
      <c r="V205" s="9" t="s">
        <v>1726</v>
      </c>
      <c r="W205" s="9" t="s">
        <v>1727</v>
      </c>
      <c r="X205" s="9" t="s">
        <v>246</v>
      </c>
      <c r="Y205" s="9" t="s">
        <v>1728</v>
      </c>
      <c r="Z205" s="9" t="s">
        <v>71</v>
      </c>
      <c r="AA205" s="9" t="s">
        <v>61</v>
      </c>
      <c r="AB205" s="9" t="s">
        <v>1729</v>
      </c>
      <c r="AC205" s="9">
        <v>10.0</v>
      </c>
      <c r="AD205" s="9">
        <v>4.0</v>
      </c>
      <c r="AE205" s="9">
        <v>3.0</v>
      </c>
      <c r="AF205" s="9">
        <v>3300.0</v>
      </c>
      <c r="AG205" s="33"/>
    </row>
    <row r="206">
      <c r="A206" s="7">
        <v>44403.9554658912</v>
      </c>
      <c r="B206" s="9" t="s">
        <v>49</v>
      </c>
      <c r="C206" s="9">
        <v>39.0</v>
      </c>
      <c r="D206" s="9" t="s">
        <v>35</v>
      </c>
      <c r="E206" s="9" t="s">
        <v>36</v>
      </c>
      <c r="F206" s="9" t="s">
        <v>50</v>
      </c>
      <c r="G206" s="9" t="s">
        <v>106</v>
      </c>
      <c r="H206" s="9" t="s">
        <v>247</v>
      </c>
      <c r="I206" s="9" t="s">
        <v>2770</v>
      </c>
      <c r="J206" s="9" t="s">
        <v>944</v>
      </c>
      <c r="K206" s="9" t="s">
        <v>39</v>
      </c>
      <c r="L206" s="9" t="s">
        <v>40</v>
      </c>
      <c r="M206" s="9" t="s">
        <v>40</v>
      </c>
      <c r="P206" s="9" t="s">
        <v>2438</v>
      </c>
      <c r="Q206" s="9" t="s">
        <v>42</v>
      </c>
      <c r="R206" s="9">
        <v>6500.0</v>
      </c>
      <c r="S206" s="9">
        <v>7000.0</v>
      </c>
      <c r="T206" s="9">
        <v>1000.0</v>
      </c>
      <c r="U206" s="9">
        <v>21.0</v>
      </c>
      <c r="V206" s="9" t="s">
        <v>945</v>
      </c>
      <c r="W206" s="9" t="s">
        <v>946</v>
      </c>
      <c r="X206" s="9" t="s">
        <v>947</v>
      </c>
      <c r="Y206" s="9" t="s">
        <v>185</v>
      </c>
      <c r="Z206" s="9" t="s">
        <v>132</v>
      </c>
      <c r="AA206" s="9" t="s">
        <v>61</v>
      </c>
      <c r="AC206" s="9">
        <v>8.0</v>
      </c>
      <c r="AD206" s="9">
        <v>23.0</v>
      </c>
      <c r="AE206" s="9">
        <v>6.0</v>
      </c>
      <c r="AF206" s="9">
        <v>2500.0</v>
      </c>
      <c r="AG206" s="33"/>
    </row>
    <row r="207">
      <c r="A207" s="7">
        <v>44403.95628258101</v>
      </c>
      <c r="B207" s="9" t="s">
        <v>49</v>
      </c>
      <c r="C207" s="9">
        <v>27.0</v>
      </c>
      <c r="D207" s="9" t="s">
        <v>35</v>
      </c>
      <c r="E207" s="9" t="s">
        <v>36</v>
      </c>
      <c r="F207" s="9" t="s">
        <v>124</v>
      </c>
      <c r="G207" s="9" t="s">
        <v>296</v>
      </c>
      <c r="H207" s="9" t="s">
        <v>38</v>
      </c>
      <c r="I207" s="9" t="s">
        <v>2467</v>
      </c>
      <c r="J207" s="9" t="s">
        <v>2771</v>
      </c>
      <c r="K207" s="9" t="s">
        <v>39</v>
      </c>
      <c r="L207" s="9" t="s">
        <v>40</v>
      </c>
      <c r="M207" s="9" t="s">
        <v>40</v>
      </c>
      <c r="P207" s="9" t="s">
        <v>128</v>
      </c>
      <c r="Q207" s="9" t="s">
        <v>42</v>
      </c>
      <c r="R207" s="9">
        <v>3500.0</v>
      </c>
      <c r="S207" s="9">
        <v>0.0</v>
      </c>
      <c r="T207" s="9">
        <v>0.0</v>
      </c>
      <c r="U207" s="9">
        <v>16.0</v>
      </c>
      <c r="V207" s="9" t="s">
        <v>1163</v>
      </c>
      <c r="W207" s="9" t="s">
        <v>1164</v>
      </c>
      <c r="X207" s="9" t="s">
        <v>122</v>
      </c>
      <c r="Y207" s="9" t="s">
        <v>481</v>
      </c>
      <c r="Z207" s="9" t="s">
        <v>60</v>
      </c>
      <c r="AA207" s="9" t="s">
        <v>61</v>
      </c>
      <c r="AC207" s="9">
        <v>7.0</v>
      </c>
      <c r="AD207" s="9">
        <v>3.0</v>
      </c>
      <c r="AE207" s="9">
        <v>2.0</v>
      </c>
      <c r="AF207" s="9">
        <v>2800.0</v>
      </c>
      <c r="AG207" s="33"/>
    </row>
    <row r="208">
      <c r="A208" s="7">
        <v>44403.95712726851</v>
      </c>
      <c r="B208" s="9" t="s">
        <v>49</v>
      </c>
      <c r="C208" s="9">
        <v>38.0</v>
      </c>
      <c r="D208" s="9" t="s">
        <v>35</v>
      </c>
      <c r="E208" s="9" t="s">
        <v>36</v>
      </c>
      <c r="F208" s="9" t="s">
        <v>50</v>
      </c>
      <c r="G208" s="9" t="s">
        <v>298</v>
      </c>
      <c r="H208" s="9" t="s">
        <v>38</v>
      </c>
      <c r="I208" s="9" t="s">
        <v>2772</v>
      </c>
      <c r="J208" s="9" t="s">
        <v>2444</v>
      </c>
      <c r="K208" s="9" t="s">
        <v>39</v>
      </c>
      <c r="L208" s="9" t="s">
        <v>40</v>
      </c>
      <c r="M208" s="9" t="s">
        <v>40</v>
      </c>
      <c r="P208" s="9" t="s">
        <v>2773</v>
      </c>
      <c r="Q208" s="9" t="s">
        <v>42</v>
      </c>
      <c r="R208" s="9">
        <v>7000.0</v>
      </c>
      <c r="S208" s="9">
        <v>0.0</v>
      </c>
      <c r="T208" s="9">
        <v>0.0</v>
      </c>
      <c r="U208" s="9">
        <v>14.0</v>
      </c>
      <c r="V208" s="9" t="s">
        <v>67</v>
      </c>
      <c r="W208" s="9" t="s">
        <v>379</v>
      </c>
      <c r="X208" s="9" t="s">
        <v>124</v>
      </c>
      <c r="Y208" s="9" t="s">
        <v>380</v>
      </c>
      <c r="Z208" s="9" t="s">
        <v>71</v>
      </c>
      <c r="AA208" s="9" t="s">
        <v>61</v>
      </c>
      <c r="AC208" s="9">
        <v>10.0</v>
      </c>
      <c r="AD208" s="9">
        <v>7.0</v>
      </c>
      <c r="AE208" s="9">
        <v>5.0</v>
      </c>
      <c r="AF208" s="9">
        <v>1500.0</v>
      </c>
      <c r="AG208" s="33"/>
    </row>
    <row r="209">
      <c r="A209" s="7">
        <v>44403.9574478125</v>
      </c>
      <c r="B209" s="9" t="s">
        <v>49</v>
      </c>
      <c r="C209" s="9">
        <v>30.0</v>
      </c>
      <c r="D209" s="9" t="s">
        <v>35</v>
      </c>
      <c r="E209" s="9" t="s">
        <v>36</v>
      </c>
      <c r="F209" s="9" t="s">
        <v>50</v>
      </c>
      <c r="G209" s="9" t="s">
        <v>180</v>
      </c>
      <c r="H209" s="9" t="s">
        <v>38</v>
      </c>
      <c r="I209" s="9" t="s">
        <v>2368</v>
      </c>
      <c r="J209" s="9" t="s">
        <v>2566</v>
      </c>
      <c r="K209" s="9" t="s">
        <v>39</v>
      </c>
      <c r="L209" s="9" t="s">
        <v>40</v>
      </c>
      <c r="M209" s="9" t="s">
        <v>39</v>
      </c>
      <c r="O209" s="9" t="s">
        <v>1721</v>
      </c>
      <c r="P209" s="9" t="s">
        <v>128</v>
      </c>
      <c r="Q209" s="9" t="s">
        <v>42</v>
      </c>
      <c r="R209" s="9">
        <v>8000.0</v>
      </c>
      <c r="S209" s="9">
        <v>10400.0</v>
      </c>
      <c r="T209" s="9">
        <v>0.0</v>
      </c>
      <c r="U209" s="9">
        <v>14.0</v>
      </c>
      <c r="V209" s="9" t="s">
        <v>1722</v>
      </c>
      <c r="W209" s="9" t="s">
        <v>1723</v>
      </c>
      <c r="X209" s="9" t="s">
        <v>122</v>
      </c>
      <c r="Y209" s="9" t="s">
        <v>185</v>
      </c>
      <c r="Z209" s="9" t="s">
        <v>60</v>
      </c>
      <c r="AA209" s="9" t="s">
        <v>61</v>
      </c>
      <c r="AC209" s="9">
        <v>7.0</v>
      </c>
      <c r="AD209" s="9">
        <v>6.0</v>
      </c>
      <c r="AE209" s="9">
        <v>1.0</v>
      </c>
      <c r="AF209" s="9">
        <v>3300.0</v>
      </c>
      <c r="AG209" s="33"/>
    </row>
    <row r="210">
      <c r="A210" s="7">
        <v>44403.959217800926</v>
      </c>
      <c r="B210" s="9" t="s">
        <v>49</v>
      </c>
      <c r="C210" s="9">
        <v>24.0</v>
      </c>
      <c r="D210" s="9" t="s">
        <v>35</v>
      </c>
      <c r="E210" s="9" t="s">
        <v>36</v>
      </c>
      <c r="F210" s="9" t="s">
        <v>50</v>
      </c>
      <c r="G210" s="9" t="s">
        <v>82</v>
      </c>
      <c r="H210" s="9" t="s">
        <v>38</v>
      </c>
      <c r="I210" s="9" t="s">
        <v>2368</v>
      </c>
      <c r="J210" s="9" t="s">
        <v>2379</v>
      </c>
      <c r="K210" s="9" t="s">
        <v>39</v>
      </c>
      <c r="L210" s="9" t="s">
        <v>40</v>
      </c>
      <c r="M210" s="9" t="s">
        <v>40</v>
      </c>
      <c r="P210" s="9" t="s">
        <v>128</v>
      </c>
      <c r="Q210" s="9" t="s">
        <v>42</v>
      </c>
      <c r="R210" s="9">
        <v>2800.0</v>
      </c>
      <c r="U210" s="9">
        <v>14.0</v>
      </c>
      <c r="V210" s="9" t="s">
        <v>382</v>
      </c>
      <c r="W210" s="9" t="s">
        <v>44</v>
      </c>
      <c r="X210" s="9" t="s">
        <v>58</v>
      </c>
      <c r="Y210" s="9" t="s">
        <v>59</v>
      </c>
      <c r="Z210" s="9" t="s">
        <v>132</v>
      </c>
      <c r="AA210" s="9" t="s">
        <v>133</v>
      </c>
      <c r="AC210" s="9">
        <v>4.0</v>
      </c>
      <c r="AD210" s="9">
        <v>2.0</v>
      </c>
      <c r="AE210" s="9">
        <v>1.0</v>
      </c>
      <c r="AF210" s="9">
        <v>1500.0</v>
      </c>
      <c r="AG210" s="33"/>
    </row>
    <row r="211">
      <c r="A211" s="7">
        <v>44403.95980710648</v>
      </c>
      <c r="B211" s="9" t="s">
        <v>49</v>
      </c>
      <c r="C211" s="9">
        <v>31.0</v>
      </c>
      <c r="D211" s="9" t="s">
        <v>34</v>
      </c>
      <c r="E211" s="9" t="s">
        <v>36</v>
      </c>
      <c r="F211" s="9" t="s">
        <v>124</v>
      </c>
      <c r="H211" s="9" t="s">
        <v>38</v>
      </c>
      <c r="K211" s="9" t="s">
        <v>39</v>
      </c>
      <c r="L211" s="9" t="s">
        <v>40</v>
      </c>
      <c r="M211" s="9" t="s">
        <v>40</v>
      </c>
      <c r="P211" s="9" t="s">
        <v>2377</v>
      </c>
      <c r="Q211" s="9" t="s">
        <v>42</v>
      </c>
      <c r="R211" s="9">
        <v>24000.0</v>
      </c>
      <c r="S211" s="9">
        <v>20000.0</v>
      </c>
      <c r="U211" s="9">
        <v>12.0</v>
      </c>
      <c r="V211" s="9" t="s">
        <v>739</v>
      </c>
      <c r="W211" s="9" t="s">
        <v>740</v>
      </c>
      <c r="X211" s="9" t="s">
        <v>246</v>
      </c>
      <c r="Y211" s="9" t="s">
        <v>59</v>
      </c>
      <c r="Z211" s="9" t="s">
        <v>60</v>
      </c>
      <c r="AA211" s="9" t="s">
        <v>91</v>
      </c>
      <c r="AC211" s="9">
        <v>8.0</v>
      </c>
      <c r="AD211" s="9">
        <v>10.0</v>
      </c>
      <c r="AE211" s="9">
        <v>6.0</v>
      </c>
      <c r="AF211" s="9">
        <v>2400.0</v>
      </c>
      <c r="AG211" s="33"/>
    </row>
    <row r="212">
      <c r="A212" s="7">
        <v>44403.960005243054</v>
      </c>
      <c r="B212" s="9" t="s">
        <v>49</v>
      </c>
      <c r="C212" s="9">
        <v>38.0</v>
      </c>
      <c r="D212" s="9" t="s">
        <v>35</v>
      </c>
      <c r="E212" s="9" t="s">
        <v>36</v>
      </c>
      <c r="H212" s="9" t="s">
        <v>247</v>
      </c>
      <c r="K212" s="9" t="s">
        <v>39</v>
      </c>
      <c r="L212" s="9" t="s">
        <v>40</v>
      </c>
      <c r="M212" s="9" t="s">
        <v>40</v>
      </c>
      <c r="P212" s="9" t="s">
        <v>2774</v>
      </c>
      <c r="Q212" s="9" t="s">
        <v>42</v>
      </c>
      <c r="R212" s="9">
        <v>18500.0</v>
      </c>
      <c r="S212" s="9">
        <v>0.0</v>
      </c>
      <c r="T212" s="9">
        <v>0.0</v>
      </c>
      <c r="U212" s="9">
        <v>10.0</v>
      </c>
      <c r="V212" s="9" t="s">
        <v>1837</v>
      </c>
      <c r="W212" s="9" t="s">
        <v>224</v>
      </c>
      <c r="X212" s="9" t="s">
        <v>122</v>
      </c>
      <c r="Y212" s="9" t="s">
        <v>59</v>
      </c>
      <c r="Z212" s="9" t="s">
        <v>60</v>
      </c>
      <c r="AA212" s="9" t="s">
        <v>61</v>
      </c>
      <c r="AC212" s="9">
        <v>9.0</v>
      </c>
      <c r="AD212" s="9">
        <v>13.0</v>
      </c>
      <c r="AE212" s="9">
        <v>2.0</v>
      </c>
      <c r="AF212" s="9">
        <v>3500.0</v>
      </c>
      <c r="AG212" s="33"/>
    </row>
    <row r="213">
      <c r="A213" s="7">
        <v>44403.96585042824</v>
      </c>
      <c r="B213" s="9" t="s">
        <v>73</v>
      </c>
      <c r="C213" s="9">
        <v>27.0</v>
      </c>
      <c r="D213" s="9" t="s">
        <v>35</v>
      </c>
      <c r="E213" s="9" t="s">
        <v>36</v>
      </c>
      <c r="F213" s="9" t="s">
        <v>50</v>
      </c>
      <c r="G213" s="9" t="s">
        <v>106</v>
      </c>
      <c r="H213" s="9" t="s">
        <v>2775</v>
      </c>
      <c r="I213" s="9" t="s">
        <v>1536</v>
      </c>
      <c r="J213" s="9" t="s">
        <v>2686</v>
      </c>
      <c r="K213" s="9" t="s">
        <v>40</v>
      </c>
      <c r="L213" s="9" t="s">
        <v>40</v>
      </c>
      <c r="M213" s="9" t="s">
        <v>40</v>
      </c>
      <c r="P213" s="9" t="s">
        <v>2776</v>
      </c>
      <c r="Q213" s="9" t="s">
        <v>42</v>
      </c>
      <c r="R213" s="9">
        <v>6800.0</v>
      </c>
      <c r="U213" s="9">
        <v>14.0</v>
      </c>
      <c r="V213" s="9" t="s">
        <v>778</v>
      </c>
      <c r="W213" s="9" t="s">
        <v>1624</v>
      </c>
      <c r="X213" s="9" t="s">
        <v>171</v>
      </c>
      <c r="Y213" s="9" t="s">
        <v>59</v>
      </c>
      <c r="Z213" s="9" t="s">
        <v>81</v>
      </c>
      <c r="AA213" s="9" t="s">
        <v>133</v>
      </c>
      <c r="AC213" s="9">
        <v>10.0</v>
      </c>
      <c r="AD213" s="9">
        <v>4.0</v>
      </c>
      <c r="AE213" s="9">
        <v>2.0</v>
      </c>
      <c r="AF213" s="9">
        <v>3200.0</v>
      </c>
      <c r="AG213" s="33"/>
    </row>
    <row r="214">
      <c r="A214" s="7">
        <v>44403.966599884254</v>
      </c>
      <c r="B214" s="9" t="s">
        <v>49</v>
      </c>
      <c r="C214" s="9">
        <v>42.0</v>
      </c>
      <c r="D214" s="9" t="s">
        <v>35</v>
      </c>
      <c r="E214" s="9" t="s">
        <v>36</v>
      </c>
      <c r="F214" s="9" t="s">
        <v>363</v>
      </c>
      <c r="G214" s="9" t="s">
        <v>437</v>
      </c>
      <c r="H214" s="9" t="s">
        <v>38</v>
      </c>
      <c r="I214" s="9" t="s">
        <v>2621</v>
      </c>
      <c r="J214" s="9" t="s">
        <v>2602</v>
      </c>
      <c r="K214" s="9" t="s">
        <v>39</v>
      </c>
      <c r="L214" s="9" t="s">
        <v>40</v>
      </c>
      <c r="M214" s="9" t="s">
        <v>40</v>
      </c>
      <c r="O214" s="9" t="s">
        <v>438</v>
      </c>
      <c r="P214" s="9" t="s">
        <v>2777</v>
      </c>
      <c r="Q214" s="9" t="s">
        <v>42</v>
      </c>
      <c r="R214" s="9">
        <v>11000.0</v>
      </c>
      <c r="S214" s="9">
        <v>14600.0</v>
      </c>
      <c r="U214" s="9">
        <v>14.0</v>
      </c>
      <c r="V214" s="9" t="s">
        <v>439</v>
      </c>
      <c r="W214" s="9" t="s">
        <v>440</v>
      </c>
      <c r="X214" s="9" t="s">
        <v>441</v>
      </c>
      <c r="Y214" s="9" t="s">
        <v>80</v>
      </c>
      <c r="Z214" s="9" t="s">
        <v>90</v>
      </c>
      <c r="AA214" s="9" t="s">
        <v>61</v>
      </c>
      <c r="AC214" s="9">
        <v>8.0</v>
      </c>
      <c r="AD214" s="9">
        <v>15.0</v>
      </c>
      <c r="AE214" s="9">
        <v>5.0</v>
      </c>
      <c r="AF214" s="9">
        <v>1700.0</v>
      </c>
      <c r="AG214" s="33"/>
    </row>
    <row r="215">
      <c r="A215" s="7">
        <v>44403.96951384259</v>
      </c>
      <c r="B215" s="9" t="s">
        <v>49</v>
      </c>
      <c r="C215" s="9">
        <v>27.0</v>
      </c>
      <c r="D215" s="9" t="s">
        <v>35</v>
      </c>
      <c r="E215" s="9" t="s">
        <v>36</v>
      </c>
      <c r="F215" s="9" t="s">
        <v>50</v>
      </c>
      <c r="G215" s="9" t="s">
        <v>82</v>
      </c>
      <c r="H215" s="9" t="s">
        <v>38</v>
      </c>
      <c r="I215" s="9" t="s">
        <v>2471</v>
      </c>
      <c r="J215" s="9" t="s">
        <v>2778</v>
      </c>
      <c r="K215" s="9" t="s">
        <v>39</v>
      </c>
      <c r="L215" s="9" t="s">
        <v>40</v>
      </c>
      <c r="M215" s="9" t="s">
        <v>40</v>
      </c>
      <c r="P215" s="9" t="s">
        <v>2779</v>
      </c>
      <c r="Q215" s="9" t="s">
        <v>42</v>
      </c>
      <c r="R215" s="9">
        <v>2800.0</v>
      </c>
      <c r="S215" s="9">
        <v>0.0</v>
      </c>
      <c r="T215" s="9">
        <v>0.0</v>
      </c>
      <c r="U215" s="9">
        <v>14.0</v>
      </c>
      <c r="V215" s="9" t="s">
        <v>491</v>
      </c>
      <c r="W215" s="9" t="s">
        <v>103</v>
      </c>
      <c r="X215" s="9" t="s">
        <v>492</v>
      </c>
      <c r="Y215" s="9" t="s">
        <v>232</v>
      </c>
      <c r="Z215" s="9" t="s">
        <v>71</v>
      </c>
      <c r="AA215" s="9" t="s">
        <v>91</v>
      </c>
      <c r="AC215" s="9">
        <v>8.0</v>
      </c>
      <c r="AD215" s="9">
        <v>2.0</v>
      </c>
      <c r="AE215" s="9">
        <v>1.0</v>
      </c>
      <c r="AF215" s="9">
        <v>1800.0</v>
      </c>
      <c r="AG215" s="33"/>
    </row>
    <row r="216">
      <c r="A216" s="7">
        <v>44403.969646516205</v>
      </c>
      <c r="B216" s="9" t="s">
        <v>49</v>
      </c>
      <c r="C216" s="9">
        <v>23.0</v>
      </c>
      <c r="D216" s="9" t="s">
        <v>35</v>
      </c>
      <c r="E216" s="9" t="s">
        <v>36</v>
      </c>
      <c r="F216" s="9" t="s">
        <v>50</v>
      </c>
      <c r="G216" s="9" t="s">
        <v>106</v>
      </c>
      <c r="H216" s="9" t="s">
        <v>38</v>
      </c>
      <c r="I216" s="9" t="s">
        <v>2368</v>
      </c>
      <c r="J216" s="9" t="s">
        <v>2478</v>
      </c>
      <c r="K216" s="9" t="s">
        <v>39</v>
      </c>
      <c r="L216" s="9" t="s">
        <v>40</v>
      </c>
      <c r="M216" s="9" t="s">
        <v>40</v>
      </c>
      <c r="P216" s="9" t="s">
        <v>146</v>
      </c>
      <c r="Q216" s="9" t="s">
        <v>42</v>
      </c>
      <c r="R216" s="9">
        <v>2500.0</v>
      </c>
      <c r="S216" s="9">
        <v>0.0</v>
      </c>
      <c r="T216" s="9">
        <v>0.0</v>
      </c>
      <c r="U216" s="9">
        <v>14.0</v>
      </c>
      <c r="V216" s="9" t="s">
        <v>157</v>
      </c>
      <c r="W216" s="9" t="s">
        <v>87</v>
      </c>
      <c r="X216" s="9" t="s">
        <v>58</v>
      </c>
      <c r="Y216" s="9" t="s">
        <v>347</v>
      </c>
      <c r="Z216" s="9" t="s">
        <v>71</v>
      </c>
      <c r="AA216" s="9" t="s">
        <v>61</v>
      </c>
      <c r="AC216" s="9">
        <v>4.0</v>
      </c>
      <c r="AD216" s="9">
        <v>1.0</v>
      </c>
      <c r="AE216" s="9">
        <v>0.0</v>
      </c>
      <c r="AF216" s="9">
        <v>2500.0</v>
      </c>
      <c r="AG216" s="33"/>
    </row>
    <row r="217">
      <c r="A217" s="7">
        <v>44403.97147493056</v>
      </c>
      <c r="B217" s="9" t="s">
        <v>49</v>
      </c>
      <c r="C217" s="9">
        <v>19.0</v>
      </c>
      <c r="D217" s="9" t="s">
        <v>35</v>
      </c>
      <c r="E217" s="9" t="s">
        <v>36</v>
      </c>
      <c r="F217" s="9" t="s">
        <v>63</v>
      </c>
      <c r="G217" s="9" t="s">
        <v>301</v>
      </c>
      <c r="H217" s="9" t="s">
        <v>302</v>
      </c>
      <c r="I217" s="9" t="s">
        <v>2780</v>
      </c>
      <c r="J217" s="9" t="s">
        <v>2781</v>
      </c>
      <c r="K217" s="9" t="s">
        <v>39</v>
      </c>
      <c r="L217" s="9" t="s">
        <v>40</v>
      </c>
      <c r="M217" s="9" t="s">
        <v>40</v>
      </c>
      <c r="P217" s="9" t="s">
        <v>2782</v>
      </c>
      <c r="Q217" s="9" t="s">
        <v>42</v>
      </c>
      <c r="R217" s="9">
        <v>1800.0</v>
      </c>
      <c r="S217" s="9">
        <v>0.0</v>
      </c>
      <c r="T217" s="9">
        <v>0.0</v>
      </c>
      <c r="U217" s="9">
        <v>12.0</v>
      </c>
      <c r="V217" s="9" t="s">
        <v>304</v>
      </c>
      <c r="W217" s="9" t="s">
        <v>305</v>
      </c>
      <c r="X217" s="9" t="s">
        <v>306</v>
      </c>
      <c r="Y217" s="9" t="s">
        <v>89</v>
      </c>
      <c r="Z217" s="9" t="s">
        <v>47</v>
      </c>
      <c r="AA217" s="9" t="s">
        <v>61</v>
      </c>
      <c r="AC217" s="9">
        <v>7.0</v>
      </c>
      <c r="AD217" s="9">
        <v>0.0</v>
      </c>
      <c r="AE217" s="9">
        <v>0.0</v>
      </c>
      <c r="AF217" s="9">
        <v>1200.0</v>
      </c>
      <c r="AG217" s="33"/>
    </row>
    <row r="218">
      <c r="A218" s="7">
        <v>44403.97253813657</v>
      </c>
      <c r="B218" s="9" t="s">
        <v>73</v>
      </c>
      <c r="C218" s="9">
        <v>37.0</v>
      </c>
      <c r="D218" s="9" t="s">
        <v>35</v>
      </c>
      <c r="E218" s="9" t="s">
        <v>36</v>
      </c>
      <c r="F218" s="9" t="s">
        <v>363</v>
      </c>
      <c r="G218" s="9" t="s">
        <v>482</v>
      </c>
      <c r="H218" s="9" t="s">
        <v>38</v>
      </c>
      <c r="I218" s="9" t="s">
        <v>2783</v>
      </c>
      <c r="J218" s="9" t="s">
        <v>2784</v>
      </c>
      <c r="K218" s="9" t="s">
        <v>39</v>
      </c>
      <c r="L218" s="9" t="s">
        <v>40</v>
      </c>
      <c r="M218" s="9" t="s">
        <v>40</v>
      </c>
      <c r="P218" s="9" t="s">
        <v>2785</v>
      </c>
      <c r="Q218" s="9" t="s">
        <v>42</v>
      </c>
      <c r="R218" s="9">
        <v>9000.0</v>
      </c>
      <c r="S218" s="9">
        <v>9000.0</v>
      </c>
      <c r="T218" s="9">
        <v>0.0</v>
      </c>
      <c r="U218" s="9">
        <v>18.0</v>
      </c>
      <c r="V218" s="9" t="s">
        <v>645</v>
      </c>
      <c r="W218" s="9" t="s">
        <v>2786</v>
      </c>
      <c r="X218" s="9" t="s">
        <v>79</v>
      </c>
      <c r="Y218" s="9" t="s">
        <v>350</v>
      </c>
      <c r="Z218" s="9" t="s">
        <v>132</v>
      </c>
      <c r="AA218" s="9" t="s">
        <v>91</v>
      </c>
      <c r="AC218" s="9">
        <v>7.0</v>
      </c>
      <c r="AD218" s="9">
        <v>12.0</v>
      </c>
      <c r="AE218" s="9">
        <v>3.0</v>
      </c>
      <c r="AF218" s="9">
        <v>2000.0</v>
      </c>
      <c r="AG218" s="33"/>
    </row>
    <row r="219">
      <c r="A219" s="7">
        <v>44403.97260113426</v>
      </c>
      <c r="B219" s="9" t="s">
        <v>49</v>
      </c>
      <c r="C219" s="9">
        <v>26.0</v>
      </c>
      <c r="D219" s="9" t="s">
        <v>35</v>
      </c>
      <c r="E219" s="9" t="s">
        <v>36</v>
      </c>
      <c r="F219" s="9" t="s">
        <v>50</v>
      </c>
      <c r="G219" s="9" t="s">
        <v>117</v>
      </c>
      <c r="H219" s="9" t="s">
        <v>38</v>
      </c>
      <c r="I219" s="9" t="s">
        <v>2787</v>
      </c>
      <c r="J219" s="9" t="s">
        <v>2788</v>
      </c>
      <c r="K219" s="9" t="s">
        <v>40</v>
      </c>
      <c r="L219" s="9" t="s">
        <v>39</v>
      </c>
      <c r="M219" s="9" t="s">
        <v>39</v>
      </c>
      <c r="N219" s="9" t="s">
        <v>94</v>
      </c>
      <c r="O219" s="9" t="s">
        <v>201</v>
      </c>
      <c r="P219" s="9" t="s">
        <v>2789</v>
      </c>
      <c r="Q219" s="9" t="s">
        <v>42</v>
      </c>
      <c r="R219" s="9">
        <v>5400.0</v>
      </c>
      <c r="S219" s="9">
        <v>0.0</v>
      </c>
      <c r="T219" s="9">
        <v>0.0</v>
      </c>
      <c r="U219" s="9">
        <v>14.0</v>
      </c>
      <c r="V219" s="9" t="s">
        <v>202</v>
      </c>
      <c r="W219" s="9" t="s">
        <v>203</v>
      </c>
      <c r="X219" s="9" t="s">
        <v>204</v>
      </c>
      <c r="Y219" s="9" t="s">
        <v>185</v>
      </c>
      <c r="Z219" s="9" t="s">
        <v>81</v>
      </c>
      <c r="AA219" s="9" t="s">
        <v>91</v>
      </c>
      <c r="AB219" s="9" t="s">
        <v>205</v>
      </c>
      <c r="AC219" s="9">
        <v>10.0</v>
      </c>
      <c r="AD219" s="9">
        <v>5.0</v>
      </c>
      <c r="AE219" s="9">
        <v>3.0</v>
      </c>
      <c r="AF219" s="9">
        <v>900.0</v>
      </c>
      <c r="AG219" s="33"/>
    </row>
    <row r="220">
      <c r="A220" s="7">
        <v>44403.973790902775</v>
      </c>
      <c r="B220" s="9" t="s">
        <v>49</v>
      </c>
      <c r="C220" s="9">
        <v>27.0</v>
      </c>
      <c r="D220" s="9" t="s">
        <v>35</v>
      </c>
      <c r="E220" s="9" t="s">
        <v>36</v>
      </c>
      <c r="F220" s="9" t="s">
        <v>50</v>
      </c>
      <c r="G220" s="9" t="s">
        <v>2790</v>
      </c>
      <c r="H220" s="9" t="s">
        <v>38</v>
      </c>
      <c r="I220" s="9" t="s">
        <v>2467</v>
      </c>
      <c r="J220" s="9" t="s">
        <v>1217</v>
      </c>
      <c r="K220" s="9" t="s">
        <v>39</v>
      </c>
      <c r="L220" s="9" t="s">
        <v>40</v>
      </c>
      <c r="M220" s="9" t="s">
        <v>40</v>
      </c>
      <c r="P220" s="9" t="s">
        <v>128</v>
      </c>
      <c r="Q220" s="9" t="s">
        <v>42</v>
      </c>
      <c r="R220" s="9">
        <v>2900.0</v>
      </c>
      <c r="S220" s="9">
        <v>0.0</v>
      </c>
      <c r="T220" s="9">
        <v>600.0</v>
      </c>
      <c r="U220" s="9">
        <v>14.0</v>
      </c>
      <c r="V220" s="9" t="s">
        <v>1218</v>
      </c>
      <c r="W220" s="9" t="s">
        <v>1219</v>
      </c>
      <c r="X220" s="9" t="s">
        <v>131</v>
      </c>
      <c r="Y220" s="9" t="s">
        <v>159</v>
      </c>
      <c r="Z220" s="9" t="s">
        <v>71</v>
      </c>
      <c r="AA220" s="9" t="s">
        <v>61</v>
      </c>
      <c r="AC220" s="9">
        <v>7.0</v>
      </c>
      <c r="AD220" s="9">
        <v>1.0</v>
      </c>
      <c r="AE220" s="9">
        <v>2.0</v>
      </c>
      <c r="AF220" s="9">
        <v>2900.0</v>
      </c>
      <c r="AG220" s="33"/>
    </row>
    <row r="221">
      <c r="A221" s="7">
        <v>44403.97392858796</v>
      </c>
      <c r="B221" s="9" t="s">
        <v>49</v>
      </c>
      <c r="C221" s="9">
        <v>40.0</v>
      </c>
      <c r="D221" s="9" t="s">
        <v>35</v>
      </c>
      <c r="E221" s="9" t="s">
        <v>36</v>
      </c>
      <c r="F221" s="9" t="s">
        <v>50</v>
      </c>
      <c r="G221" s="9" t="s">
        <v>50</v>
      </c>
      <c r="H221" s="9" t="s">
        <v>247</v>
      </c>
      <c r="I221" s="9" t="s">
        <v>2630</v>
      </c>
      <c r="J221" s="9" t="s">
        <v>2490</v>
      </c>
      <c r="K221" s="9" t="s">
        <v>39</v>
      </c>
      <c r="L221" s="9" t="s">
        <v>39</v>
      </c>
      <c r="M221" s="9" t="s">
        <v>40</v>
      </c>
      <c r="P221" s="9" t="s">
        <v>249</v>
      </c>
      <c r="Q221" s="9" t="s">
        <v>42</v>
      </c>
      <c r="R221" s="9">
        <v>10000.0</v>
      </c>
      <c r="S221" s="9">
        <v>0.0</v>
      </c>
      <c r="T221" s="9">
        <v>0.0</v>
      </c>
      <c r="U221" s="9">
        <v>24.0</v>
      </c>
      <c r="V221" s="9" t="s">
        <v>157</v>
      </c>
      <c r="W221" s="9" t="s">
        <v>508</v>
      </c>
      <c r="X221" s="9" t="s">
        <v>509</v>
      </c>
      <c r="Y221" s="9" t="s">
        <v>350</v>
      </c>
      <c r="Z221" s="9" t="s">
        <v>47</v>
      </c>
      <c r="AA221" s="9" t="s">
        <v>61</v>
      </c>
      <c r="AC221" s="9">
        <v>10.0</v>
      </c>
      <c r="AD221" s="9">
        <v>17.0</v>
      </c>
      <c r="AE221" s="9">
        <v>3.0</v>
      </c>
      <c r="AF221" s="9">
        <v>1800.0</v>
      </c>
      <c r="AG221" s="33"/>
    </row>
    <row r="222">
      <c r="A222" s="7">
        <v>44403.97462283565</v>
      </c>
      <c r="B222" s="9" t="s">
        <v>49</v>
      </c>
      <c r="C222" s="9">
        <v>31.0</v>
      </c>
      <c r="D222" s="9" t="s">
        <v>35</v>
      </c>
      <c r="E222" s="9" t="s">
        <v>36</v>
      </c>
      <c r="F222" s="9" t="s">
        <v>50</v>
      </c>
      <c r="G222" s="9" t="s">
        <v>106</v>
      </c>
      <c r="H222" s="9" t="s">
        <v>38</v>
      </c>
      <c r="I222" s="9" t="s">
        <v>2565</v>
      </c>
      <c r="J222" s="9" t="s">
        <v>944</v>
      </c>
      <c r="K222" s="9" t="s">
        <v>40</v>
      </c>
      <c r="L222" s="9" t="s">
        <v>40</v>
      </c>
      <c r="M222" s="9" t="s">
        <v>39</v>
      </c>
      <c r="O222" s="9" t="s">
        <v>2791</v>
      </c>
      <c r="P222" s="9" t="s">
        <v>1441</v>
      </c>
      <c r="Q222" s="9" t="s">
        <v>42</v>
      </c>
      <c r="R222" s="9">
        <v>7000.0</v>
      </c>
      <c r="S222" s="9">
        <v>10000.0</v>
      </c>
      <c r="T222" s="9">
        <v>0.0</v>
      </c>
      <c r="U222" s="9">
        <v>14.0</v>
      </c>
      <c r="V222" s="9" t="s">
        <v>1442</v>
      </c>
      <c r="W222" s="9" t="s">
        <v>1443</v>
      </c>
      <c r="X222" s="9" t="s">
        <v>122</v>
      </c>
      <c r="Y222" s="9" t="s">
        <v>89</v>
      </c>
      <c r="Z222" s="9" t="s">
        <v>90</v>
      </c>
      <c r="AA222" s="9" t="s">
        <v>91</v>
      </c>
      <c r="AC222" s="9">
        <v>6.0</v>
      </c>
      <c r="AD222" s="9">
        <v>8.0</v>
      </c>
      <c r="AE222" s="9">
        <v>1.0</v>
      </c>
      <c r="AF222" s="9">
        <v>3000.0</v>
      </c>
      <c r="AG222" s="33"/>
    </row>
    <row r="223">
      <c r="A223" s="7">
        <v>44403.980421527776</v>
      </c>
      <c r="B223" s="9" t="s">
        <v>73</v>
      </c>
      <c r="C223" s="9">
        <v>32.0</v>
      </c>
      <c r="D223" s="9" t="s">
        <v>35</v>
      </c>
      <c r="E223" s="9" t="s">
        <v>36</v>
      </c>
      <c r="F223" s="9" t="s">
        <v>50</v>
      </c>
      <c r="G223" s="9" t="s">
        <v>180</v>
      </c>
      <c r="H223" s="9" t="s">
        <v>38</v>
      </c>
      <c r="I223" s="9" t="s">
        <v>2368</v>
      </c>
      <c r="J223" s="9" t="s">
        <v>2675</v>
      </c>
      <c r="K223" s="9" t="s">
        <v>39</v>
      </c>
      <c r="L223" s="9" t="s">
        <v>40</v>
      </c>
      <c r="M223" s="9" t="s">
        <v>39</v>
      </c>
      <c r="O223" s="9" t="s">
        <v>181</v>
      </c>
      <c r="P223" s="9" t="s">
        <v>2377</v>
      </c>
      <c r="Q223" s="9" t="s">
        <v>42</v>
      </c>
      <c r="R223" s="9">
        <v>13000.0</v>
      </c>
      <c r="S223" s="9">
        <v>15600.0</v>
      </c>
      <c r="T223" s="9">
        <v>0.0</v>
      </c>
      <c r="U223" s="9">
        <v>14.0</v>
      </c>
      <c r="V223" s="9" t="s">
        <v>183</v>
      </c>
      <c r="W223" s="9" t="s">
        <v>184</v>
      </c>
      <c r="X223" s="9" t="s">
        <v>58</v>
      </c>
      <c r="Y223" s="9" t="s">
        <v>185</v>
      </c>
      <c r="Z223" s="9" t="s">
        <v>71</v>
      </c>
      <c r="AA223" s="9" t="s">
        <v>61</v>
      </c>
      <c r="AC223" s="9">
        <v>8.0</v>
      </c>
      <c r="AD223" s="9">
        <v>12.0</v>
      </c>
      <c r="AE223" s="9">
        <v>4.0</v>
      </c>
      <c r="AF223" s="9">
        <v>800.0</v>
      </c>
      <c r="AG223" s="33"/>
    </row>
    <row r="224">
      <c r="A224" s="7">
        <v>44403.98043267361</v>
      </c>
      <c r="B224" s="9" t="s">
        <v>49</v>
      </c>
      <c r="C224" s="9">
        <v>30.0</v>
      </c>
      <c r="D224" s="9" t="s">
        <v>35</v>
      </c>
      <c r="E224" s="9" t="s">
        <v>36</v>
      </c>
      <c r="F224" s="9" t="s">
        <v>50</v>
      </c>
      <c r="G224" s="9" t="s">
        <v>50</v>
      </c>
      <c r="H224" s="9" t="s">
        <v>38</v>
      </c>
      <c r="I224" s="9" t="s">
        <v>2384</v>
      </c>
      <c r="K224" s="9" t="s">
        <v>40</v>
      </c>
      <c r="L224" s="9" t="s">
        <v>40</v>
      </c>
      <c r="M224" s="9" t="s">
        <v>40</v>
      </c>
      <c r="P224" s="9" t="s">
        <v>2609</v>
      </c>
      <c r="Q224" s="9" t="s">
        <v>42</v>
      </c>
      <c r="R224" s="9">
        <v>9500.0</v>
      </c>
      <c r="S224" s="9">
        <v>0.0</v>
      </c>
      <c r="T224" s="9">
        <v>0.0</v>
      </c>
      <c r="U224" s="9">
        <v>16.0</v>
      </c>
      <c r="V224" s="9" t="s">
        <v>911</v>
      </c>
      <c r="W224" s="9" t="s">
        <v>912</v>
      </c>
      <c r="X224" s="9" t="s">
        <v>124</v>
      </c>
      <c r="Y224" s="9" t="s">
        <v>913</v>
      </c>
      <c r="Z224" s="9" t="s">
        <v>71</v>
      </c>
      <c r="AA224" s="9" t="s">
        <v>91</v>
      </c>
      <c r="AC224" s="9">
        <v>9.0</v>
      </c>
      <c r="AD224" s="9">
        <v>7.0</v>
      </c>
      <c r="AE224" s="9">
        <v>2.0</v>
      </c>
      <c r="AF224" s="9">
        <v>2500.0</v>
      </c>
      <c r="AG224" s="33"/>
    </row>
    <row r="225">
      <c r="A225" s="7">
        <v>44403.98103674769</v>
      </c>
      <c r="B225" s="9" t="s">
        <v>49</v>
      </c>
      <c r="C225" s="9">
        <v>20.0</v>
      </c>
      <c r="D225" s="9" t="s">
        <v>35</v>
      </c>
      <c r="E225" s="9" t="s">
        <v>36</v>
      </c>
      <c r="H225" s="9" t="s">
        <v>93</v>
      </c>
      <c r="K225" s="9" t="s">
        <v>39</v>
      </c>
      <c r="L225" s="9" t="s">
        <v>39</v>
      </c>
      <c r="M225" s="9" t="s">
        <v>39</v>
      </c>
      <c r="N225" s="9" t="s">
        <v>94</v>
      </c>
      <c r="P225" s="9" t="s">
        <v>2792</v>
      </c>
      <c r="Q225" s="9" t="s">
        <v>42</v>
      </c>
      <c r="R225" s="9">
        <v>1.0</v>
      </c>
      <c r="U225" s="9">
        <v>0.0</v>
      </c>
      <c r="V225" s="9" t="s">
        <v>96</v>
      </c>
      <c r="W225" s="9" t="s">
        <v>72</v>
      </c>
      <c r="X225" s="9" t="s">
        <v>58</v>
      </c>
      <c r="Y225" s="9" t="s">
        <v>97</v>
      </c>
      <c r="Z225" s="9" t="s">
        <v>98</v>
      </c>
      <c r="AA225" s="9" t="s">
        <v>48</v>
      </c>
      <c r="AC225" s="9">
        <v>10.0</v>
      </c>
      <c r="AD225" s="9">
        <v>1.0</v>
      </c>
      <c r="AE225" s="9">
        <v>1.0</v>
      </c>
      <c r="AF225" s="9">
        <v>1.0</v>
      </c>
      <c r="AG225" s="33"/>
    </row>
    <row r="226">
      <c r="A226" s="7">
        <v>44403.9839602662</v>
      </c>
      <c r="B226" s="9" t="s">
        <v>49</v>
      </c>
      <c r="C226" s="9">
        <v>23.0</v>
      </c>
      <c r="D226" s="9" t="s">
        <v>35</v>
      </c>
      <c r="E226" s="9" t="s">
        <v>36</v>
      </c>
      <c r="F226" s="9" t="s">
        <v>1972</v>
      </c>
      <c r="G226" s="9" t="s">
        <v>604</v>
      </c>
      <c r="H226" s="9" t="s">
        <v>38</v>
      </c>
      <c r="I226" s="9" t="s">
        <v>2793</v>
      </c>
      <c r="J226" s="9" t="s">
        <v>2419</v>
      </c>
      <c r="K226" s="9" t="s">
        <v>39</v>
      </c>
      <c r="L226" s="9" t="s">
        <v>39</v>
      </c>
      <c r="M226" s="9" t="s">
        <v>39</v>
      </c>
      <c r="N226" s="9" t="s">
        <v>1974</v>
      </c>
      <c r="P226" s="9" t="s">
        <v>2794</v>
      </c>
      <c r="Q226" s="9" t="s">
        <v>42</v>
      </c>
      <c r="R226" s="9">
        <v>3800.0</v>
      </c>
      <c r="S226" s="9">
        <v>0.0</v>
      </c>
      <c r="U226" s="9">
        <v>15.0</v>
      </c>
      <c r="V226" s="9" t="s">
        <v>1973</v>
      </c>
      <c r="W226" s="9" t="s">
        <v>1974</v>
      </c>
      <c r="X226" s="9" t="s">
        <v>604</v>
      </c>
      <c r="Y226" s="9" t="s">
        <v>159</v>
      </c>
      <c r="Z226" s="9" t="s">
        <v>132</v>
      </c>
      <c r="AA226" s="9" t="s">
        <v>61</v>
      </c>
      <c r="AC226" s="9">
        <v>8.0</v>
      </c>
      <c r="AD226" s="9">
        <v>1.0</v>
      </c>
      <c r="AE226" s="9">
        <v>0.0</v>
      </c>
      <c r="AF226" s="9">
        <v>3800.0</v>
      </c>
      <c r="AG226" s="33"/>
    </row>
    <row r="227">
      <c r="A227" s="7">
        <v>44403.9864953125</v>
      </c>
      <c r="B227" s="9" t="s">
        <v>49</v>
      </c>
      <c r="C227" s="9">
        <v>25.0</v>
      </c>
      <c r="D227" s="9" t="s">
        <v>35</v>
      </c>
      <c r="E227" s="9" t="s">
        <v>36</v>
      </c>
      <c r="F227" s="9" t="s">
        <v>50</v>
      </c>
      <c r="G227" s="9" t="s">
        <v>331</v>
      </c>
      <c r="H227" s="9" t="s">
        <v>38</v>
      </c>
      <c r="I227" s="9" t="s">
        <v>2413</v>
      </c>
      <c r="J227" s="9" t="s">
        <v>2795</v>
      </c>
      <c r="K227" s="9" t="s">
        <v>39</v>
      </c>
      <c r="L227" s="9" t="s">
        <v>40</v>
      </c>
      <c r="M227" s="9" t="s">
        <v>40</v>
      </c>
      <c r="P227" s="9" t="s">
        <v>2533</v>
      </c>
      <c r="Q227" s="9" t="s">
        <v>42</v>
      </c>
      <c r="R227" s="9">
        <v>4000.0</v>
      </c>
      <c r="S227" s="9">
        <v>0.0</v>
      </c>
      <c r="T227" s="9">
        <v>0.0</v>
      </c>
      <c r="U227" s="9">
        <v>14.0</v>
      </c>
      <c r="V227" s="9" t="s">
        <v>881</v>
      </c>
      <c r="W227" s="9" t="s">
        <v>882</v>
      </c>
      <c r="X227" s="9" t="s">
        <v>2390</v>
      </c>
      <c r="Y227" s="9" t="s">
        <v>70</v>
      </c>
      <c r="Z227" s="9" t="s">
        <v>47</v>
      </c>
      <c r="AA227" s="9" t="s">
        <v>61</v>
      </c>
      <c r="AC227" s="9">
        <v>7.0</v>
      </c>
      <c r="AD227" s="9">
        <v>2.0</v>
      </c>
      <c r="AE227" s="9">
        <v>3.0</v>
      </c>
      <c r="AF227" s="9">
        <v>2500.0</v>
      </c>
      <c r="AG227" s="33"/>
    </row>
    <row r="228">
      <c r="A228" s="7">
        <v>44403.986635277775</v>
      </c>
      <c r="B228" s="9" t="s">
        <v>49</v>
      </c>
      <c r="C228" s="9">
        <v>32.0</v>
      </c>
      <c r="D228" s="9" t="s">
        <v>35</v>
      </c>
      <c r="E228" s="9" t="s">
        <v>36</v>
      </c>
      <c r="F228" s="9" t="s">
        <v>63</v>
      </c>
      <c r="H228" s="9" t="s">
        <v>38</v>
      </c>
      <c r="I228" s="9" t="s">
        <v>2467</v>
      </c>
      <c r="J228" s="9" t="s">
        <v>2796</v>
      </c>
      <c r="K228" s="9" t="s">
        <v>39</v>
      </c>
      <c r="L228" s="9" t="s">
        <v>40</v>
      </c>
      <c r="M228" s="9" t="s">
        <v>40</v>
      </c>
      <c r="P228" s="9" t="s">
        <v>2438</v>
      </c>
      <c r="Q228" s="9" t="s">
        <v>42</v>
      </c>
      <c r="R228" s="9">
        <v>7000.0</v>
      </c>
      <c r="S228" s="9">
        <v>7000.0</v>
      </c>
      <c r="U228" s="9">
        <v>14.0</v>
      </c>
      <c r="V228" s="9" t="s">
        <v>2218</v>
      </c>
      <c r="W228" s="9" t="s">
        <v>1842</v>
      </c>
      <c r="X228" s="9" t="s">
        <v>2219</v>
      </c>
      <c r="Y228" s="9" t="s">
        <v>105</v>
      </c>
      <c r="Z228" s="9" t="s">
        <v>71</v>
      </c>
      <c r="AA228" s="9" t="s">
        <v>61</v>
      </c>
      <c r="AC228" s="9">
        <v>8.0</v>
      </c>
      <c r="AD228" s="9">
        <v>4.0</v>
      </c>
      <c r="AE228" s="9">
        <v>4.0</v>
      </c>
      <c r="AF228" s="9">
        <v>6000.0</v>
      </c>
      <c r="AG228" s="33"/>
    </row>
    <row r="229">
      <c r="A229" s="7">
        <v>44403.98672969907</v>
      </c>
      <c r="B229" s="9" t="s">
        <v>49</v>
      </c>
      <c r="C229" s="9">
        <v>19.0</v>
      </c>
      <c r="D229" s="9" t="s">
        <v>35</v>
      </c>
      <c r="E229" s="9" t="s">
        <v>36</v>
      </c>
      <c r="F229" s="9" t="s">
        <v>2612</v>
      </c>
      <c r="G229" s="9" t="s">
        <v>2797</v>
      </c>
      <c r="H229" s="9" t="s">
        <v>118</v>
      </c>
      <c r="J229" s="9" t="s">
        <v>2798</v>
      </c>
      <c r="K229" s="9" t="s">
        <v>39</v>
      </c>
      <c r="L229" s="9" t="s">
        <v>39</v>
      </c>
      <c r="M229" s="9" t="s">
        <v>40</v>
      </c>
      <c r="N229" s="9" t="s">
        <v>94</v>
      </c>
      <c r="P229" s="9" t="s">
        <v>2799</v>
      </c>
      <c r="Q229" s="9" t="s">
        <v>42</v>
      </c>
      <c r="R229" s="9">
        <v>2.0</v>
      </c>
      <c r="S229" s="9">
        <v>0.0</v>
      </c>
      <c r="T229" s="9" t="s">
        <v>368</v>
      </c>
      <c r="U229" s="9">
        <v>0.0</v>
      </c>
      <c r="V229" s="9" t="s">
        <v>369</v>
      </c>
      <c r="W229" s="9" t="s">
        <v>370</v>
      </c>
      <c r="X229" s="9" t="s">
        <v>371</v>
      </c>
      <c r="Y229" s="9" t="s">
        <v>347</v>
      </c>
      <c r="Z229" s="9" t="s">
        <v>47</v>
      </c>
      <c r="AA229" s="9" t="s">
        <v>48</v>
      </c>
      <c r="AB229" s="9" t="s">
        <v>372</v>
      </c>
      <c r="AC229" s="9">
        <v>8.0</v>
      </c>
      <c r="AD229" s="9">
        <v>2.0</v>
      </c>
      <c r="AE229" s="9">
        <v>1.0</v>
      </c>
      <c r="AF229" s="9">
        <v>1500.0</v>
      </c>
      <c r="AG229" s="33"/>
    </row>
    <row r="230">
      <c r="A230" s="7">
        <v>44403.98756505787</v>
      </c>
      <c r="B230" s="9" t="s">
        <v>49</v>
      </c>
      <c r="C230" s="9">
        <v>27.0</v>
      </c>
      <c r="D230" s="9" t="s">
        <v>35</v>
      </c>
      <c r="E230" s="9" t="s">
        <v>36</v>
      </c>
      <c r="F230" s="9" t="s">
        <v>50</v>
      </c>
      <c r="G230" s="9" t="s">
        <v>331</v>
      </c>
      <c r="H230" s="9" t="s">
        <v>38</v>
      </c>
      <c r="I230" s="9" t="s">
        <v>2800</v>
      </c>
      <c r="J230" s="9" t="s">
        <v>2801</v>
      </c>
      <c r="K230" s="9" t="s">
        <v>39</v>
      </c>
      <c r="L230" s="9" t="s">
        <v>39</v>
      </c>
      <c r="M230" s="9" t="s">
        <v>40</v>
      </c>
      <c r="P230" s="9" t="s">
        <v>2802</v>
      </c>
      <c r="Q230" s="9" t="s">
        <v>42</v>
      </c>
      <c r="R230" s="9">
        <v>3000.0</v>
      </c>
      <c r="S230" s="9">
        <v>0.0</v>
      </c>
      <c r="T230" s="9">
        <v>0.0</v>
      </c>
      <c r="U230" s="9">
        <v>12.0</v>
      </c>
      <c r="V230" s="9" t="s">
        <v>1405</v>
      </c>
      <c r="W230" s="9" t="s">
        <v>170</v>
      </c>
      <c r="X230" s="9" t="s">
        <v>1406</v>
      </c>
      <c r="Y230" s="9" t="s">
        <v>896</v>
      </c>
      <c r="Z230" s="9" t="s">
        <v>71</v>
      </c>
      <c r="AA230" s="9" t="s">
        <v>61</v>
      </c>
      <c r="AC230" s="9">
        <v>3.0</v>
      </c>
      <c r="AD230" s="9">
        <v>1.0</v>
      </c>
      <c r="AE230" s="9">
        <v>1.0</v>
      </c>
      <c r="AF230" s="9">
        <v>3000.0</v>
      </c>
      <c r="AG230" s="33"/>
    </row>
    <row r="231">
      <c r="A231" s="7">
        <v>44403.988925196754</v>
      </c>
      <c r="B231" s="9" t="s">
        <v>49</v>
      </c>
      <c r="C231" s="9">
        <v>29.0</v>
      </c>
      <c r="D231" s="9" t="s">
        <v>35</v>
      </c>
      <c r="E231" s="9" t="s">
        <v>36</v>
      </c>
      <c r="F231" s="9" t="s">
        <v>63</v>
      </c>
      <c r="G231" s="9" t="s">
        <v>2803</v>
      </c>
      <c r="H231" s="9" t="s">
        <v>38</v>
      </c>
      <c r="I231" s="9" t="s">
        <v>2804</v>
      </c>
      <c r="J231" s="9" t="s">
        <v>2551</v>
      </c>
      <c r="K231" s="9" t="s">
        <v>890</v>
      </c>
      <c r="L231" s="9" t="s">
        <v>40</v>
      </c>
      <c r="M231" s="9" t="s">
        <v>40</v>
      </c>
      <c r="P231" s="9" t="s">
        <v>503</v>
      </c>
      <c r="Q231" s="9" t="s">
        <v>42</v>
      </c>
      <c r="R231" s="9">
        <v>4945.0</v>
      </c>
      <c r="S231" s="9">
        <v>6000.0</v>
      </c>
      <c r="T231" s="9">
        <v>10000.0</v>
      </c>
      <c r="U231" s="9">
        <v>16.0</v>
      </c>
      <c r="V231" s="9" t="s">
        <v>504</v>
      </c>
      <c r="W231" s="9" t="s">
        <v>505</v>
      </c>
      <c r="X231" s="9" t="s">
        <v>267</v>
      </c>
      <c r="Y231" s="9" t="s">
        <v>80</v>
      </c>
      <c r="Z231" s="9" t="s">
        <v>60</v>
      </c>
      <c r="AA231" s="9" t="s">
        <v>61</v>
      </c>
      <c r="AC231" s="9">
        <v>7.0</v>
      </c>
      <c r="AD231" s="9">
        <v>6.0</v>
      </c>
      <c r="AE231" s="9">
        <v>1.0</v>
      </c>
      <c r="AF231" s="9">
        <v>1800.0</v>
      </c>
      <c r="AG231" s="33"/>
    </row>
    <row r="232">
      <c r="A232" s="7">
        <v>44403.989985231485</v>
      </c>
      <c r="B232" s="9" t="s">
        <v>49</v>
      </c>
      <c r="C232" s="9">
        <v>23.0</v>
      </c>
      <c r="D232" s="9" t="s">
        <v>35</v>
      </c>
      <c r="E232" s="9" t="s">
        <v>36</v>
      </c>
      <c r="F232" s="9" t="s">
        <v>50</v>
      </c>
      <c r="G232" s="9" t="s">
        <v>354</v>
      </c>
      <c r="H232" s="9" t="s">
        <v>38</v>
      </c>
      <c r="I232" s="9" t="s">
        <v>2805</v>
      </c>
      <c r="J232" s="9" t="s">
        <v>2699</v>
      </c>
      <c r="K232" s="9" t="s">
        <v>39</v>
      </c>
      <c r="L232" s="9" t="s">
        <v>40</v>
      </c>
      <c r="M232" s="9" t="s">
        <v>40</v>
      </c>
      <c r="P232" s="9" t="s">
        <v>2806</v>
      </c>
      <c r="Q232" s="9" t="s">
        <v>42</v>
      </c>
      <c r="R232" s="9">
        <v>3800.0</v>
      </c>
      <c r="S232" s="9">
        <v>0.0</v>
      </c>
      <c r="T232" s="9">
        <v>0.0</v>
      </c>
      <c r="U232" s="9">
        <v>15.0</v>
      </c>
      <c r="V232" s="9" t="s">
        <v>1967</v>
      </c>
      <c r="W232" s="9" t="s">
        <v>1968</v>
      </c>
      <c r="X232" s="9" t="s">
        <v>1969</v>
      </c>
      <c r="Y232" s="9" t="s">
        <v>59</v>
      </c>
      <c r="Z232" s="9" t="s">
        <v>132</v>
      </c>
      <c r="AA232" s="9" t="s">
        <v>61</v>
      </c>
      <c r="AB232" s="9" t="s">
        <v>1970</v>
      </c>
      <c r="AC232" s="9">
        <v>4.0</v>
      </c>
      <c r="AD232" s="9" t="s">
        <v>1971</v>
      </c>
      <c r="AE232" s="9">
        <v>0.0</v>
      </c>
      <c r="AF232" s="9">
        <v>3800.0</v>
      </c>
      <c r="AG232" s="33"/>
    </row>
    <row r="233">
      <c r="A233" s="7">
        <v>44403.991019189816</v>
      </c>
      <c r="B233" s="9" t="s">
        <v>49</v>
      </c>
      <c r="C233" s="9">
        <v>24.0</v>
      </c>
      <c r="D233" s="9" t="s">
        <v>35</v>
      </c>
      <c r="E233" s="9" t="s">
        <v>36</v>
      </c>
      <c r="F233" s="9" t="s">
        <v>363</v>
      </c>
      <c r="G233" s="9" t="s">
        <v>1414</v>
      </c>
      <c r="H233" s="9" t="s">
        <v>38</v>
      </c>
      <c r="I233" s="9" t="s">
        <v>2368</v>
      </c>
      <c r="J233" s="9" t="s">
        <v>2807</v>
      </c>
      <c r="K233" s="9" t="s">
        <v>39</v>
      </c>
      <c r="L233" s="9" t="s">
        <v>40</v>
      </c>
      <c r="M233" s="9" t="s">
        <v>39</v>
      </c>
      <c r="O233" s="9" t="s">
        <v>1415</v>
      </c>
      <c r="P233" s="9" t="s">
        <v>2808</v>
      </c>
      <c r="Q233" s="9" t="s">
        <v>42</v>
      </c>
      <c r="R233" s="9">
        <v>3640.0</v>
      </c>
      <c r="S233" s="9" t="s">
        <v>2809</v>
      </c>
      <c r="U233" s="9">
        <v>13.0</v>
      </c>
      <c r="V233" s="9" t="s">
        <v>1416</v>
      </c>
      <c r="W233" s="9" t="s">
        <v>1417</v>
      </c>
      <c r="X233" s="9" t="s">
        <v>79</v>
      </c>
      <c r="Y233" s="9" t="s">
        <v>80</v>
      </c>
      <c r="Z233" s="9" t="s">
        <v>60</v>
      </c>
      <c r="AA233" s="9" t="s">
        <v>61</v>
      </c>
      <c r="AB233" s="9" t="s">
        <v>1418</v>
      </c>
      <c r="AC233" s="9">
        <v>10.0</v>
      </c>
      <c r="AD233" s="9">
        <v>1.6</v>
      </c>
      <c r="AE233" s="9">
        <v>1.0</v>
      </c>
      <c r="AF233" s="9">
        <v>3000.0</v>
      </c>
      <c r="AG233" s="33"/>
    </row>
    <row r="234">
      <c r="A234" s="7">
        <v>44403.99106665509</v>
      </c>
      <c r="B234" s="9" t="s">
        <v>49</v>
      </c>
      <c r="C234" s="9">
        <v>26.0</v>
      </c>
      <c r="D234" s="9" t="s">
        <v>35</v>
      </c>
      <c r="E234" s="9" t="s">
        <v>36</v>
      </c>
      <c r="F234" s="9" t="s">
        <v>124</v>
      </c>
      <c r="G234" s="9" t="s">
        <v>124</v>
      </c>
      <c r="H234" s="9" t="s">
        <v>38</v>
      </c>
      <c r="I234" s="9" t="s">
        <v>2810</v>
      </c>
      <c r="J234" s="9" t="s">
        <v>84</v>
      </c>
      <c r="K234" s="9" t="s">
        <v>39</v>
      </c>
      <c r="L234" s="9" t="s">
        <v>40</v>
      </c>
      <c r="M234" s="9" t="s">
        <v>39</v>
      </c>
      <c r="O234" s="9" t="s">
        <v>1939</v>
      </c>
      <c r="P234" s="9" t="s">
        <v>1940</v>
      </c>
      <c r="Q234" s="9" t="s">
        <v>42</v>
      </c>
      <c r="R234" s="9">
        <v>7600.0</v>
      </c>
      <c r="S234" s="9" t="s">
        <v>2811</v>
      </c>
      <c r="T234" s="9">
        <v>0.0</v>
      </c>
      <c r="U234" s="9">
        <v>20.0</v>
      </c>
      <c r="V234" s="9" t="s">
        <v>1941</v>
      </c>
      <c r="W234" s="9" t="s">
        <v>1942</v>
      </c>
      <c r="X234" s="9" t="s">
        <v>122</v>
      </c>
      <c r="Y234" s="9" t="s">
        <v>347</v>
      </c>
      <c r="Z234" s="9" t="s">
        <v>60</v>
      </c>
      <c r="AA234" s="9" t="s">
        <v>61</v>
      </c>
      <c r="AC234" s="9">
        <v>4.0</v>
      </c>
      <c r="AD234" s="9">
        <v>4.0</v>
      </c>
      <c r="AE234" s="9">
        <v>2.0</v>
      </c>
      <c r="AF234" s="9">
        <v>3700.0</v>
      </c>
      <c r="AG234" s="33"/>
    </row>
    <row r="235">
      <c r="A235" s="7">
        <v>44403.99346354167</v>
      </c>
      <c r="B235" s="9" t="s">
        <v>49</v>
      </c>
      <c r="C235" s="9">
        <v>28.0</v>
      </c>
      <c r="D235" s="9" t="s">
        <v>35</v>
      </c>
      <c r="E235" s="9" t="s">
        <v>36</v>
      </c>
      <c r="F235" s="9" t="s">
        <v>50</v>
      </c>
      <c r="G235" s="9" t="s">
        <v>2812</v>
      </c>
      <c r="H235" s="9" t="s">
        <v>38</v>
      </c>
      <c r="I235" s="9" t="s">
        <v>2813</v>
      </c>
      <c r="J235" s="9" t="s">
        <v>2781</v>
      </c>
      <c r="K235" s="9" t="s">
        <v>39</v>
      </c>
      <c r="L235" s="9" t="s">
        <v>40</v>
      </c>
      <c r="M235" s="9" t="s">
        <v>40</v>
      </c>
      <c r="P235" s="9" t="s">
        <v>2814</v>
      </c>
      <c r="Q235" s="9" t="s">
        <v>42</v>
      </c>
      <c r="R235" s="9">
        <v>4300.0</v>
      </c>
      <c r="S235" s="9" t="s">
        <v>2815</v>
      </c>
      <c r="U235" s="9">
        <v>14.0</v>
      </c>
      <c r="V235" s="9" t="s">
        <v>102</v>
      </c>
      <c r="W235" s="9" t="s">
        <v>103</v>
      </c>
      <c r="X235" s="9" t="s">
        <v>104</v>
      </c>
      <c r="Y235" s="9" t="s">
        <v>105</v>
      </c>
      <c r="Z235" s="9" t="s">
        <v>47</v>
      </c>
      <c r="AA235" s="9" t="s">
        <v>61</v>
      </c>
      <c r="AC235" s="9">
        <v>8.0</v>
      </c>
      <c r="AD235" s="9">
        <v>1.5</v>
      </c>
      <c r="AE235" s="9">
        <v>4.0</v>
      </c>
      <c r="AF235" s="9">
        <v>3.5</v>
      </c>
      <c r="AG235" s="33"/>
    </row>
    <row r="236">
      <c r="A236" s="7">
        <v>44403.99548388889</v>
      </c>
      <c r="B236" s="9" t="s">
        <v>73</v>
      </c>
      <c r="C236" s="9">
        <v>33.0</v>
      </c>
      <c r="D236" s="9" t="s">
        <v>35</v>
      </c>
      <c r="E236" s="9" t="s">
        <v>36</v>
      </c>
      <c r="F236" s="9" t="s">
        <v>2816</v>
      </c>
      <c r="G236" s="9" t="s">
        <v>349</v>
      </c>
      <c r="H236" s="9" t="s">
        <v>38</v>
      </c>
      <c r="I236" s="9" t="s">
        <v>2817</v>
      </c>
      <c r="J236" s="9" t="s">
        <v>2631</v>
      </c>
      <c r="K236" s="9" t="s">
        <v>39</v>
      </c>
      <c r="L236" s="9" t="s">
        <v>40</v>
      </c>
      <c r="M236" s="9" t="s">
        <v>40</v>
      </c>
      <c r="P236" s="9" t="s">
        <v>2818</v>
      </c>
      <c r="Q236" s="9" t="s">
        <v>42</v>
      </c>
      <c r="R236" s="9">
        <v>5800.0</v>
      </c>
      <c r="S236" s="9" t="s">
        <v>2819</v>
      </c>
      <c r="T236" s="9">
        <v>0.0</v>
      </c>
      <c r="U236" s="9">
        <v>15.0</v>
      </c>
      <c r="V236" s="9" t="s">
        <v>903</v>
      </c>
      <c r="W236" s="9" t="s">
        <v>904</v>
      </c>
      <c r="X236" s="9" t="s">
        <v>131</v>
      </c>
      <c r="Y236" s="9" t="s">
        <v>896</v>
      </c>
      <c r="Z236" s="9" t="s">
        <v>132</v>
      </c>
      <c r="AA236" s="9" t="s">
        <v>61</v>
      </c>
      <c r="AC236" s="9">
        <v>6.0</v>
      </c>
      <c r="AD236" s="9">
        <v>8.0</v>
      </c>
      <c r="AE236" s="9" t="s">
        <v>2820</v>
      </c>
      <c r="AF236" s="9">
        <v>2500.0</v>
      </c>
      <c r="AG236" s="33"/>
    </row>
    <row r="237">
      <c r="A237" s="7">
        <v>44403.99670517361</v>
      </c>
      <c r="B237" s="9" t="s">
        <v>73</v>
      </c>
      <c r="C237" s="9">
        <v>28.0</v>
      </c>
      <c r="D237" s="9" t="s">
        <v>35</v>
      </c>
      <c r="E237" s="9" t="s">
        <v>36</v>
      </c>
      <c r="F237" s="9" t="s">
        <v>2544</v>
      </c>
      <c r="G237" s="9" t="s">
        <v>2544</v>
      </c>
      <c r="H237" s="9" t="s">
        <v>38</v>
      </c>
      <c r="I237" s="9" t="s">
        <v>2821</v>
      </c>
      <c r="J237" s="9" t="s">
        <v>2822</v>
      </c>
      <c r="K237" s="9" t="s">
        <v>40</v>
      </c>
      <c r="L237" s="9" t="s">
        <v>39</v>
      </c>
      <c r="M237" s="9" t="s">
        <v>39</v>
      </c>
      <c r="N237" s="9" t="s">
        <v>717</v>
      </c>
      <c r="O237" s="9" t="s">
        <v>2823</v>
      </c>
      <c r="P237" s="9" t="s">
        <v>2824</v>
      </c>
      <c r="Q237" s="9" t="s">
        <v>2521</v>
      </c>
      <c r="R237" s="9">
        <v>6000.0</v>
      </c>
      <c r="S237" s="9">
        <v>0.0</v>
      </c>
      <c r="T237" s="9">
        <v>0.0</v>
      </c>
      <c r="U237" s="9">
        <v>20.0</v>
      </c>
      <c r="V237" s="9" t="s">
        <v>1186</v>
      </c>
      <c r="W237" s="9" t="s">
        <v>2825</v>
      </c>
      <c r="X237" s="9" t="s">
        <v>2826</v>
      </c>
      <c r="Y237" s="9" t="s">
        <v>59</v>
      </c>
      <c r="Z237" s="9" t="s">
        <v>60</v>
      </c>
      <c r="AA237" s="9" t="s">
        <v>91</v>
      </c>
      <c r="AB237" s="9" t="s">
        <v>2827</v>
      </c>
      <c r="AC237" s="9">
        <v>9.0</v>
      </c>
      <c r="AD237" s="9">
        <v>4.0</v>
      </c>
      <c r="AE237" s="9">
        <v>3.0</v>
      </c>
      <c r="AF237" s="9">
        <v>2800.0</v>
      </c>
      <c r="AG237" s="33"/>
    </row>
    <row r="238">
      <c r="A238" s="7">
        <v>44404.005612928246</v>
      </c>
      <c r="B238" s="9" t="s">
        <v>49</v>
      </c>
      <c r="C238" s="9">
        <v>28.0</v>
      </c>
      <c r="D238" s="9" t="s">
        <v>35</v>
      </c>
      <c r="E238" s="9" t="s">
        <v>246</v>
      </c>
      <c r="F238" s="9" t="s">
        <v>2828</v>
      </c>
      <c r="G238" s="9" t="s">
        <v>246</v>
      </c>
      <c r="H238" s="9" t="s">
        <v>38</v>
      </c>
      <c r="I238" s="9" t="s">
        <v>2829</v>
      </c>
      <c r="J238" s="9" t="s">
        <v>2830</v>
      </c>
      <c r="K238" s="9" t="s">
        <v>39</v>
      </c>
      <c r="L238" s="9" t="s">
        <v>40</v>
      </c>
      <c r="M238" s="9" t="s">
        <v>40</v>
      </c>
      <c r="P238" s="9" t="s">
        <v>2831</v>
      </c>
      <c r="Q238" s="9" t="s">
        <v>250</v>
      </c>
      <c r="R238" s="9">
        <v>4700.0</v>
      </c>
      <c r="S238" s="9">
        <v>4700.0</v>
      </c>
      <c r="U238" s="9">
        <v>18.0</v>
      </c>
      <c r="V238" s="9" t="s">
        <v>1486</v>
      </c>
      <c r="W238" s="9" t="s">
        <v>1487</v>
      </c>
      <c r="X238" s="9" t="s">
        <v>139</v>
      </c>
      <c r="Y238" s="9" t="s">
        <v>1488</v>
      </c>
      <c r="Z238" s="9" t="s">
        <v>81</v>
      </c>
      <c r="AA238" s="9" t="s">
        <v>91</v>
      </c>
      <c r="AB238" s="9" t="s">
        <v>1489</v>
      </c>
      <c r="AC238" s="9">
        <v>8.0</v>
      </c>
      <c r="AD238" s="9">
        <v>3.0</v>
      </c>
      <c r="AE238" s="9">
        <v>1.0</v>
      </c>
      <c r="AF238" s="9">
        <v>3000.0</v>
      </c>
      <c r="AG238" s="33"/>
    </row>
    <row r="239">
      <c r="A239" s="7">
        <v>44404.00743416666</v>
      </c>
      <c r="B239" s="9" t="s">
        <v>49</v>
      </c>
      <c r="C239" s="9">
        <v>27.0</v>
      </c>
      <c r="D239" s="9" t="s">
        <v>35</v>
      </c>
      <c r="E239" s="9" t="s">
        <v>36</v>
      </c>
      <c r="F239" s="9" t="s">
        <v>617</v>
      </c>
      <c r="G239" s="9" t="s">
        <v>618</v>
      </c>
      <c r="H239" s="9" t="s">
        <v>38</v>
      </c>
      <c r="I239" s="9" t="s">
        <v>2471</v>
      </c>
      <c r="J239" s="9" t="s">
        <v>2832</v>
      </c>
      <c r="K239" s="9" t="s">
        <v>39</v>
      </c>
      <c r="L239" s="9" t="s">
        <v>40</v>
      </c>
      <c r="M239" s="9" t="s">
        <v>40</v>
      </c>
      <c r="P239" s="9" t="s">
        <v>2833</v>
      </c>
      <c r="Q239" s="9" t="s">
        <v>42</v>
      </c>
      <c r="R239" s="9">
        <v>1300.0</v>
      </c>
      <c r="S239" s="9">
        <v>0.0</v>
      </c>
      <c r="T239" s="9">
        <v>150.0</v>
      </c>
      <c r="U239" s="9">
        <v>8.0</v>
      </c>
      <c r="V239" s="9" t="s">
        <v>619</v>
      </c>
      <c r="W239" s="9" t="s">
        <v>44</v>
      </c>
      <c r="X239" s="9" t="s">
        <v>620</v>
      </c>
      <c r="Y239" s="9" t="s">
        <v>185</v>
      </c>
      <c r="Z239" s="9" t="s">
        <v>47</v>
      </c>
      <c r="AA239" s="9" t="s">
        <v>61</v>
      </c>
      <c r="AC239" s="9">
        <v>1.0</v>
      </c>
      <c r="AD239" s="9">
        <v>3.0</v>
      </c>
      <c r="AE239" s="9">
        <v>2.0</v>
      </c>
      <c r="AF239" s="9">
        <v>2000.0</v>
      </c>
      <c r="AG239" s="33"/>
    </row>
    <row r="240">
      <c r="A240" s="7">
        <v>44404.01290890046</v>
      </c>
      <c r="B240" s="9" t="s">
        <v>73</v>
      </c>
      <c r="C240" s="9">
        <v>24.0</v>
      </c>
      <c r="D240" s="9" t="s">
        <v>35</v>
      </c>
      <c r="E240" s="9" t="s">
        <v>36</v>
      </c>
      <c r="F240" s="9" t="s">
        <v>50</v>
      </c>
      <c r="G240" s="9" t="s">
        <v>82</v>
      </c>
      <c r="H240" s="9" t="s">
        <v>38</v>
      </c>
      <c r="I240" s="9" t="s">
        <v>2626</v>
      </c>
      <c r="J240" s="9" t="s">
        <v>2737</v>
      </c>
      <c r="K240" s="9" t="s">
        <v>39</v>
      </c>
      <c r="L240" s="9" t="s">
        <v>40</v>
      </c>
      <c r="M240" s="9" t="s">
        <v>40</v>
      </c>
      <c r="P240" s="9" t="s">
        <v>584</v>
      </c>
      <c r="Q240" s="9" t="s">
        <v>2521</v>
      </c>
      <c r="R240" s="9">
        <v>3960.0</v>
      </c>
      <c r="S240" s="9">
        <v>0.0</v>
      </c>
      <c r="T240" s="9">
        <v>0.0</v>
      </c>
      <c r="U240" s="9">
        <v>15.0</v>
      </c>
      <c r="V240" s="9" t="s">
        <v>1989</v>
      </c>
      <c r="W240" s="9" t="s">
        <v>1990</v>
      </c>
      <c r="X240" s="9" t="s">
        <v>2466</v>
      </c>
      <c r="Y240" s="9" t="s">
        <v>89</v>
      </c>
      <c r="Z240" s="9" t="s">
        <v>71</v>
      </c>
      <c r="AA240" s="9" t="s">
        <v>61</v>
      </c>
      <c r="AC240" s="9">
        <v>7.0</v>
      </c>
      <c r="AD240" s="9">
        <v>0.0</v>
      </c>
      <c r="AE240" s="9">
        <v>0.0</v>
      </c>
      <c r="AF240" s="9">
        <v>3960.0</v>
      </c>
      <c r="AG240" s="33"/>
    </row>
    <row r="241">
      <c r="A241" s="7">
        <v>44404.01344519676</v>
      </c>
      <c r="B241" s="9" t="s">
        <v>49</v>
      </c>
      <c r="C241" s="9">
        <v>27.0</v>
      </c>
      <c r="D241" s="9" t="s">
        <v>35</v>
      </c>
      <c r="E241" s="9" t="s">
        <v>36</v>
      </c>
      <c r="F241" s="9" t="s">
        <v>2430</v>
      </c>
      <c r="G241" s="9" t="s">
        <v>2834</v>
      </c>
      <c r="H241" s="9" t="s">
        <v>38</v>
      </c>
      <c r="I241" s="9" t="s">
        <v>2835</v>
      </c>
      <c r="J241" s="9" t="s">
        <v>2444</v>
      </c>
      <c r="K241" s="9" t="s">
        <v>40</v>
      </c>
      <c r="L241" s="9" t="s">
        <v>40</v>
      </c>
      <c r="M241" s="9" t="s">
        <v>40</v>
      </c>
      <c r="P241" s="9" t="s">
        <v>2836</v>
      </c>
      <c r="Q241" s="9" t="s">
        <v>42</v>
      </c>
      <c r="R241" s="9">
        <v>4000.0</v>
      </c>
      <c r="S241" s="9">
        <v>0.0</v>
      </c>
      <c r="T241" s="9">
        <v>0.0</v>
      </c>
      <c r="U241" s="9">
        <v>14.0</v>
      </c>
      <c r="V241" s="9" t="s">
        <v>320</v>
      </c>
      <c r="W241" s="9" t="s">
        <v>2837</v>
      </c>
      <c r="X241" s="9" t="s">
        <v>1858</v>
      </c>
      <c r="Y241" s="9" t="s">
        <v>89</v>
      </c>
      <c r="Z241" s="9" t="s">
        <v>71</v>
      </c>
      <c r="AA241" s="9" t="s">
        <v>61</v>
      </c>
      <c r="AC241" s="9">
        <v>7.0</v>
      </c>
      <c r="AD241" s="9">
        <v>2.0</v>
      </c>
      <c r="AE241" s="9">
        <v>1.0</v>
      </c>
      <c r="AF241" s="9">
        <v>3500.0</v>
      </c>
      <c r="AG241" s="33"/>
    </row>
    <row r="242">
      <c r="A242" s="7">
        <v>44404.013732604166</v>
      </c>
      <c r="B242" s="9" t="s">
        <v>49</v>
      </c>
      <c r="C242" s="9">
        <v>25.0</v>
      </c>
      <c r="D242" s="9" t="s">
        <v>35</v>
      </c>
      <c r="E242" s="9" t="s">
        <v>36</v>
      </c>
      <c r="F242" s="9" t="s">
        <v>50</v>
      </c>
      <c r="G242" s="9" t="s">
        <v>106</v>
      </c>
      <c r="H242" s="9" t="s">
        <v>38</v>
      </c>
      <c r="I242" s="9" t="s">
        <v>2368</v>
      </c>
      <c r="J242" s="9" t="s">
        <v>2666</v>
      </c>
      <c r="K242" s="9" t="s">
        <v>39</v>
      </c>
      <c r="L242" s="9" t="s">
        <v>40</v>
      </c>
      <c r="M242" s="9" t="s">
        <v>39</v>
      </c>
      <c r="O242" s="9" t="s">
        <v>398</v>
      </c>
      <c r="P242" s="9" t="s">
        <v>128</v>
      </c>
      <c r="Q242" s="9" t="s">
        <v>42</v>
      </c>
      <c r="R242" s="9">
        <v>3500.0</v>
      </c>
      <c r="S242" s="9">
        <v>0.0</v>
      </c>
      <c r="T242" s="9">
        <v>0.0</v>
      </c>
      <c r="U242" s="9">
        <v>20.0</v>
      </c>
      <c r="V242" s="9" t="s">
        <v>1893</v>
      </c>
      <c r="W242" s="9" t="s">
        <v>1894</v>
      </c>
      <c r="X242" s="9" t="s">
        <v>122</v>
      </c>
      <c r="Y242" s="9" t="s">
        <v>423</v>
      </c>
      <c r="Z242" s="9" t="s">
        <v>60</v>
      </c>
      <c r="AA242" s="9" t="s">
        <v>61</v>
      </c>
      <c r="AC242" s="9">
        <v>5.0</v>
      </c>
      <c r="AD242" s="9">
        <v>1.0</v>
      </c>
      <c r="AE242" s="9">
        <v>0.0</v>
      </c>
      <c r="AF242" s="9">
        <v>3500.0</v>
      </c>
      <c r="AG242" s="33"/>
    </row>
    <row r="243">
      <c r="A243" s="7">
        <v>44404.01888923611</v>
      </c>
      <c r="B243" s="9" t="s">
        <v>49</v>
      </c>
      <c r="C243" s="9">
        <v>27.0</v>
      </c>
      <c r="D243" s="9" t="s">
        <v>35</v>
      </c>
      <c r="E243" s="9" t="s">
        <v>36</v>
      </c>
      <c r="F243" s="9" t="s">
        <v>50</v>
      </c>
      <c r="G243" s="9" t="s">
        <v>349</v>
      </c>
      <c r="H243" s="9" t="s">
        <v>38</v>
      </c>
      <c r="I243" s="9" t="s">
        <v>342</v>
      </c>
      <c r="J243" s="9" t="s">
        <v>2675</v>
      </c>
      <c r="K243" s="9" t="s">
        <v>39</v>
      </c>
      <c r="L243" s="9" t="s">
        <v>39</v>
      </c>
      <c r="M243" s="9" t="s">
        <v>40</v>
      </c>
      <c r="N243" s="9" t="s">
        <v>94</v>
      </c>
      <c r="P243" s="9" t="s">
        <v>2838</v>
      </c>
      <c r="Q243" s="9" t="s">
        <v>42</v>
      </c>
      <c r="R243" s="9">
        <v>5500.0</v>
      </c>
      <c r="S243" s="9">
        <v>0.0</v>
      </c>
      <c r="U243" s="9">
        <v>12.0</v>
      </c>
      <c r="V243" s="9" t="s">
        <v>157</v>
      </c>
      <c r="W243" s="9" t="s">
        <v>1393</v>
      </c>
      <c r="X243" s="9" t="s">
        <v>349</v>
      </c>
      <c r="Y243" s="9" t="s">
        <v>105</v>
      </c>
      <c r="Z243" s="9" t="s">
        <v>71</v>
      </c>
      <c r="AA243" s="9" t="s">
        <v>48</v>
      </c>
      <c r="AC243" s="9">
        <v>8.0</v>
      </c>
      <c r="AD243" s="9">
        <v>5.0</v>
      </c>
      <c r="AE243" s="9">
        <v>1.0</v>
      </c>
      <c r="AF243" s="9">
        <v>3000.0</v>
      </c>
      <c r="AG243" s="33"/>
    </row>
    <row r="244">
      <c r="A244" s="7">
        <v>44404.02439056713</v>
      </c>
      <c r="B244" s="9" t="s">
        <v>49</v>
      </c>
      <c r="C244" s="9">
        <v>23.0</v>
      </c>
      <c r="D244" s="9" t="s">
        <v>35</v>
      </c>
      <c r="E244" s="9" t="s">
        <v>36</v>
      </c>
      <c r="F244" s="9" t="s">
        <v>2430</v>
      </c>
      <c r="G244" s="9" t="s">
        <v>2839</v>
      </c>
      <c r="H244" s="9" t="s">
        <v>38</v>
      </c>
      <c r="I244" s="9" t="s">
        <v>2604</v>
      </c>
      <c r="J244" s="9" t="s">
        <v>2627</v>
      </c>
      <c r="K244" s="9" t="s">
        <v>39</v>
      </c>
      <c r="L244" s="9" t="s">
        <v>40</v>
      </c>
      <c r="M244" s="9" t="s">
        <v>39</v>
      </c>
      <c r="O244" s="9" t="s">
        <v>2840</v>
      </c>
      <c r="P244" s="9" t="s">
        <v>1795</v>
      </c>
      <c r="Q244" s="9" t="s">
        <v>42</v>
      </c>
      <c r="R244" s="9">
        <v>3600.0</v>
      </c>
      <c r="S244" s="9">
        <v>0.0</v>
      </c>
      <c r="T244" s="9">
        <v>0.0</v>
      </c>
      <c r="U244" s="9">
        <v>12.0</v>
      </c>
      <c r="V244" s="9" t="s">
        <v>1919</v>
      </c>
      <c r="W244" s="9" t="s">
        <v>1698</v>
      </c>
      <c r="X244" s="9" t="s">
        <v>2466</v>
      </c>
      <c r="Y244" s="9" t="s">
        <v>155</v>
      </c>
      <c r="Z244" s="9" t="s">
        <v>60</v>
      </c>
      <c r="AA244" s="9" t="s">
        <v>61</v>
      </c>
      <c r="AC244" s="9">
        <v>8.0</v>
      </c>
      <c r="AD244" s="9">
        <v>0.0</v>
      </c>
      <c r="AE244" s="9">
        <v>0.0</v>
      </c>
      <c r="AF244" s="9">
        <v>3600.0</v>
      </c>
      <c r="AG244" s="33"/>
    </row>
    <row r="245">
      <c r="A245" s="7">
        <v>44404.02458336805</v>
      </c>
      <c r="B245" s="9" t="s">
        <v>49</v>
      </c>
      <c r="C245" s="9">
        <v>27.0</v>
      </c>
      <c r="D245" s="9" t="s">
        <v>35</v>
      </c>
      <c r="E245" s="9" t="s">
        <v>735</v>
      </c>
      <c r="H245" s="9" t="s">
        <v>38</v>
      </c>
      <c r="I245" s="9" t="s">
        <v>2841</v>
      </c>
      <c r="J245" s="9" t="s">
        <v>2842</v>
      </c>
      <c r="K245" s="9" t="s">
        <v>39</v>
      </c>
      <c r="L245" s="9" t="s">
        <v>40</v>
      </c>
      <c r="M245" s="9" t="s">
        <v>40</v>
      </c>
      <c r="P245" s="9" t="s">
        <v>2843</v>
      </c>
      <c r="Q245" s="9" t="s">
        <v>42</v>
      </c>
      <c r="R245" s="9">
        <v>2400.0</v>
      </c>
      <c r="S245" s="9">
        <v>0.0</v>
      </c>
      <c r="U245" s="9">
        <v>0.0</v>
      </c>
      <c r="V245" s="9" t="s">
        <v>737</v>
      </c>
      <c r="W245" s="9" t="s">
        <v>738</v>
      </c>
      <c r="X245" s="9" t="s">
        <v>349</v>
      </c>
      <c r="Y245" s="9" t="s">
        <v>80</v>
      </c>
      <c r="Z245" s="9" t="s">
        <v>47</v>
      </c>
      <c r="AA245" s="9" t="s">
        <v>61</v>
      </c>
      <c r="AC245" s="9">
        <v>10.0</v>
      </c>
      <c r="AD245" s="9">
        <v>3.0</v>
      </c>
      <c r="AE245" s="9">
        <v>0.0</v>
      </c>
      <c r="AF245" s="9">
        <v>2400.0</v>
      </c>
      <c r="AG245" s="33"/>
    </row>
    <row r="246">
      <c r="A246" s="7">
        <v>44404.028223657406</v>
      </c>
      <c r="B246" s="9" t="s">
        <v>49</v>
      </c>
      <c r="C246" s="9">
        <v>25.0</v>
      </c>
      <c r="D246" s="9" t="s">
        <v>35</v>
      </c>
      <c r="E246" s="9" t="s">
        <v>36</v>
      </c>
      <c r="F246" s="9" t="s">
        <v>515</v>
      </c>
      <c r="G246" s="9" t="s">
        <v>516</v>
      </c>
      <c r="H246" s="9" t="s">
        <v>38</v>
      </c>
      <c r="I246" s="9" t="s">
        <v>2844</v>
      </c>
      <c r="J246" s="9" t="s">
        <v>2379</v>
      </c>
      <c r="K246" s="9" t="s">
        <v>39</v>
      </c>
      <c r="L246" s="9" t="s">
        <v>40</v>
      </c>
      <c r="M246" s="9" t="s">
        <v>40</v>
      </c>
      <c r="P246" s="9" t="s">
        <v>146</v>
      </c>
      <c r="Q246" s="9" t="s">
        <v>42</v>
      </c>
      <c r="R246" s="9">
        <v>2500.0</v>
      </c>
      <c r="S246" s="9">
        <v>0.0</v>
      </c>
      <c r="T246" s="9">
        <v>0.0</v>
      </c>
      <c r="U246" s="9">
        <v>28.0</v>
      </c>
      <c r="V246" s="9" t="s">
        <v>517</v>
      </c>
      <c r="W246" s="9" t="s">
        <v>518</v>
      </c>
      <c r="X246" s="9" t="s">
        <v>519</v>
      </c>
      <c r="Y246" s="9" t="s">
        <v>350</v>
      </c>
      <c r="Z246" s="9" t="s">
        <v>71</v>
      </c>
      <c r="AA246" s="9" t="s">
        <v>91</v>
      </c>
      <c r="AB246" s="9" t="s">
        <v>520</v>
      </c>
      <c r="AC246" s="9">
        <v>5.0</v>
      </c>
      <c r="AD246" s="9">
        <v>2.0</v>
      </c>
      <c r="AE246" s="9">
        <v>1.0</v>
      </c>
      <c r="AF246" s="9">
        <v>1800.0</v>
      </c>
      <c r="AG246" s="33"/>
    </row>
    <row r="247">
      <c r="A247" s="7">
        <v>44404.0288840162</v>
      </c>
      <c r="B247" s="9" t="s">
        <v>49</v>
      </c>
      <c r="C247" s="9">
        <v>35.0</v>
      </c>
      <c r="D247" s="9" t="s">
        <v>35</v>
      </c>
      <c r="E247" s="9" t="s">
        <v>36</v>
      </c>
      <c r="F247" s="9" t="s">
        <v>50</v>
      </c>
      <c r="G247" s="9" t="s">
        <v>82</v>
      </c>
      <c r="H247" s="9" t="s">
        <v>38</v>
      </c>
      <c r="I247" s="9" t="s">
        <v>2582</v>
      </c>
      <c r="J247" s="9" t="s">
        <v>2845</v>
      </c>
      <c r="K247" s="9" t="s">
        <v>39</v>
      </c>
      <c r="L247" s="9" t="s">
        <v>40</v>
      </c>
      <c r="M247" s="9" t="s">
        <v>40</v>
      </c>
      <c r="P247" s="9" t="s">
        <v>466</v>
      </c>
      <c r="Q247" s="9" t="s">
        <v>42</v>
      </c>
      <c r="R247" s="9">
        <v>4800.0</v>
      </c>
      <c r="S247" s="9">
        <v>4800.0</v>
      </c>
      <c r="T247" s="9">
        <v>0.0</v>
      </c>
      <c r="U247" s="9">
        <v>14.0</v>
      </c>
      <c r="V247" s="9" t="s">
        <v>497</v>
      </c>
      <c r="W247" s="9" t="s">
        <v>498</v>
      </c>
      <c r="X247" s="9" t="s">
        <v>58</v>
      </c>
      <c r="Y247" s="9" t="s">
        <v>70</v>
      </c>
      <c r="Z247" s="9" t="s">
        <v>60</v>
      </c>
      <c r="AA247" s="9" t="s">
        <v>61</v>
      </c>
      <c r="AC247" s="9">
        <v>7.0</v>
      </c>
      <c r="AD247" s="9">
        <v>10.0</v>
      </c>
      <c r="AE247" s="9">
        <v>1.0</v>
      </c>
      <c r="AF247" s="9">
        <v>1800.0</v>
      </c>
      <c r="AG247" s="33"/>
    </row>
    <row r="248">
      <c r="A248" s="7">
        <v>44404.03227447916</v>
      </c>
      <c r="B248" s="9" t="s">
        <v>49</v>
      </c>
      <c r="C248" s="9">
        <v>30.0</v>
      </c>
      <c r="D248" s="9" t="s">
        <v>35</v>
      </c>
      <c r="E248" s="9" t="s">
        <v>36</v>
      </c>
      <c r="F248" s="9" t="s">
        <v>50</v>
      </c>
      <c r="G248" s="9" t="s">
        <v>331</v>
      </c>
      <c r="H248" s="9" t="s">
        <v>38</v>
      </c>
      <c r="I248" s="9" t="s">
        <v>2846</v>
      </c>
      <c r="J248" s="9" t="s">
        <v>2847</v>
      </c>
      <c r="K248" s="9" t="s">
        <v>39</v>
      </c>
      <c r="L248" s="9" t="s">
        <v>40</v>
      </c>
      <c r="M248" s="9" t="s">
        <v>40</v>
      </c>
      <c r="P248" s="9" t="s">
        <v>2848</v>
      </c>
      <c r="Q248" s="9" t="s">
        <v>42</v>
      </c>
      <c r="R248" s="9">
        <v>11000.0</v>
      </c>
      <c r="U248" s="9">
        <v>14.0</v>
      </c>
      <c r="V248" s="9" t="s">
        <v>2313</v>
      </c>
      <c r="W248" s="9" t="s">
        <v>224</v>
      </c>
      <c r="X248" s="9" t="s">
        <v>349</v>
      </c>
      <c r="Y248" s="9" t="s">
        <v>59</v>
      </c>
      <c r="Z248" s="9" t="s">
        <v>71</v>
      </c>
      <c r="AA248" s="9" t="s">
        <v>61</v>
      </c>
      <c r="AC248" s="9">
        <v>6.0</v>
      </c>
      <c r="AD248" s="9">
        <v>6.0</v>
      </c>
      <c r="AE248" s="9">
        <v>3.0</v>
      </c>
      <c r="AF248" s="9">
        <v>11000.0</v>
      </c>
      <c r="AG248" s="33"/>
    </row>
    <row r="249">
      <c r="A249" s="7">
        <v>44404.03463490741</v>
      </c>
      <c r="B249" s="9" t="s">
        <v>49</v>
      </c>
      <c r="C249" s="9">
        <v>31.0</v>
      </c>
      <c r="D249" s="9" t="s">
        <v>35</v>
      </c>
      <c r="E249" s="9" t="s">
        <v>36</v>
      </c>
      <c r="F249" s="9" t="s">
        <v>50</v>
      </c>
      <c r="G249" s="9" t="s">
        <v>106</v>
      </c>
      <c r="H249" s="9" t="s">
        <v>38</v>
      </c>
      <c r="I249" s="9" t="s">
        <v>2849</v>
      </c>
      <c r="K249" s="9" t="s">
        <v>40</v>
      </c>
      <c r="L249" s="9" t="s">
        <v>39</v>
      </c>
      <c r="M249" s="9" t="s">
        <v>40</v>
      </c>
      <c r="N249" s="9" t="s">
        <v>1425</v>
      </c>
      <c r="P249" s="9" t="s">
        <v>2850</v>
      </c>
      <c r="Q249" s="9" t="s">
        <v>42</v>
      </c>
      <c r="R249" s="9">
        <v>3800.0</v>
      </c>
      <c r="S249" s="9">
        <v>0.0</v>
      </c>
      <c r="T249" s="9">
        <v>0.0</v>
      </c>
      <c r="U249" s="9">
        <v>14.0</v>
      </c>
      <c r="V249" s="9" t="s">
        <v>1426</v>
      </c>
      <c r="W249" s="9" t="s">
        <v>1427</v>
      </c>
      <c r="X249" s="9" t="s">
        <v>122</v>
      </c>
      <c r="Y249" s="9" t="s">
        <v>70</v>
      </c>
      <c r="Z249" s="9" t="s">
        <v>71</v>
      </c>
      <c r="AA249" s="9" t="s">
        <v>61</v>
      </c>
      <c r="AC249" s="9">
        <v>7.0</v>
      </c>
      <c r="AD249" s="9">
        <v>2.0</v>
      </c>
      <c r="AE249" s="9">
        <v>1.0</v>
      </c>
      <c r="AF249" s="9">
        <v>3000.0</v>
      </c>
      <c r="AG249" s="33"/>
    </row>
    <row r="250">
      <c r="A250" s="7">
        <v>44404.040786446756</v>
      </c>
      <c r="B250" s="9" t="s">
        <v>49</v>
      </c>
      <c r="C250" s="9">
        <v>33.0</v>
      </c>
      <c r="D250" s="9" t="s">
        <v>35</v>
      </c>
      <c r="E250" s="9" t="s">
        <v>36</v>
      </c>
      <c r="F250" s="9" t="s">
        <v>124</v>
      </c>
      <c r="G250" s="9" t="s">
        <v>124</v>
      </c>
      <c r="H250" s="9" t="s">
        <v>93</v>
      </c>
      <c r="I250" s="9" t="s">
        <v>2715</v>
      </c>
      <c r="J250" s="9" t="s">
        <v>2722</v>
      </c>
      <c r="K250" s="9" t="s">
        <v>39</v>
      </c>
      <c r="L250" s="9" t="s">
        <v>40</v>
      </c>
      <c r="M250" s="9" t="s">
        <v>40</v>
      </c>
      <c r="P250" s="9" t="s">
        <v>403</v>
      </c>
      <c r="Q250" s="9" t="s">
        <v>42</v>
      </c>
      <c r="R250" s="9">
        <v>10500.0</v>
      </c>
      <c r="S250" s="9">
        <v>10500.0</v>
      </c>
      <c r="T250" s="9">
        <v>0.0</v>
      </c>
      <c r="U250" s="9">
        <v>18.0</v>
      </c>
      <c r="V250" s="9" t="s">
        <v>404</v>
      </c>
      <c r="W250" s="9" t="s">
        <v>405</v>
      </c>
      <c r="X250" s="9" t="s">
        <v>124</v>
      </c>
      <c r="Y250" s="9" t="s">
        <v>406</v>
      </c>
      <c r="Z250" s="9" t="s">
        <v>81</v>
      </c>
      <c r="AA250" s="9" t="s">
        <v>91</v>
      </c>
      <c r="AC250" s="9">
        <v>9.0</v>
      </c>
      <c r="AD250" s="9">
        <v>11.0</v>
      </c>
      <c r="AE250" s="9">
        <v>5.0</v>
      </c>
      <c r="AF250" s="9">
        <v>1600.0</v>
      </c>
      <c r="AG250" s="33"/>
    </row>
    <row r="251">
      <c r="A251" s="7">
        <v>44404.04627938657</v>
      </c>
      <c r="B251" s="9" t="s">
        <v>73</v>
      </c>
      <c r="C251" s="9">
        <v>24.0</v>
      </c>
      <c r="D251" s="9" t="s">
        <v>35</v>
      </c>
      <c r="E251" s="9" t="s">
        <v>36</v>
      </c>
      <c r="F251" s="9" t="s">
        <v>124</v>
      </c>
      <c r="G251" s="9" t="s">
        <v>124</v>
      </c>
      <c r="H251" s="9" t="s">
        <v>38</v>
      </c>
      <c r="I251" s="9" t="s">
        <v>2413</v>
      </c>
      <c r="J251" s="9" t="s">
        <v>100</v>
      </c>
      <c r="K251" s="9" t="s">
        <v>39</v>
      </c>
      <c r="L251" s="9" t="s">
        <v>40</v>
      </c>
      <c r="M251" s="9" t="s">
        <v>40</v>
      </c>
      <c r="P251" s="9" t="s">
        <v>2851</v>
      </c>
      <c r="Q251" s="9" t="s">
        <v>42</v>
      </c>
      <c r="R251" s="9">
        <v>3500.0</v>
      </c>
      <c r="S251" s="9">
        <v>0.0</v>
      </c>
      <c r="T251" s="9">
        <v>0.0</v>
      </c>
      <c r="U251" s="9">
        <v>15.0</v>
      </c>
      <c r="V251" s="9" t="s">
        <v>1451</v>
      </c>
      <c r="W251" s="9" t="s">
        <v>1452</v>
      </c>
      <c r="X251" s="9" t="s">
        <v>1453</v>
      </c>
      <c r="Y251" s="9" t="s">
        <v>159</v>
      </c>
      <c r="Z251" s="9" t="s">
        <v>132</v>
      </c>
      <c r="AA251" s="9" t="s">
        <v>61</v>
      </c>
      <c r="AC251" s="9">
        <v>6.0</v>
      </c>
      <c r="AD251" s="9">
        <v>1.0</v>
      </c>
      <c r="AE251" s="9">
        <v>1.0</v>
      </c>
      <c r="AF251" s="9">
        <v>3000.0</v>
      </c>
      <c r="AG251" s="33"/>
    </row>
    <row r="252">
      <c r="A252" s="7">
        <v>44404.04706508102</v>
      </c>
      <c r="B252" s="9" t="s">
        <v>49</v>
      </c>
      <c r="C252" s="9">
        <v>27.0</v>
      </c>
      <c r="D252" s="9" t="s">
        <v>35</v>
      </c>
      <c r="E252" s="9" t="s">
        <v>36</v>
      </c>
      <c r="F252" s="9" t="s">
        <v>124</v>
      </c>
      <c r="G252" s="9" t="s">
        <v>2839</v>
      </c>
      <c r="H252" s="9" t="s">
        <v>247</v>
      </c>
      <c r="I252" s="9" t="s">
        <v>2852</v>
      </c>
      <c r="J252" s="9" t="s">
        <v>2464</v>
      </c>
      <c r="K252" s="9" t="s">
        <v>39</v>
      </c>
      <c r="L252" s="9" t="s">
        <v>40</v>
      </c>
      <c r="M252" s="9" t="s">
        <v>39</v>
      </c>
      <c r="P252" s="9" t="s">
        <v>128</v>
      </c>
      <c r="Q252" s="9" t="s">
        <v>42</v>
      </c>
      <c r="R252" s="9">
        <v>1400.0</v>
      </c>
      <c r="S252" s="9">
        <v>700.0</v>
      </c>
      <c r="U252" s="9">
        <v>10.0</v>
      </c>
      <c r="V252" s="9" t="s">
        <v>67</v>
      </c>
      <c r="W252" s="9" t="s">
        <v>299</v>
      </c>
      <c r="X252" s="9" t="s">
        <v>300</v>
      </c>
      <c r="Y252" s="9" t="s">
        <v>59</v>
      </c>
      <c r="Z252" s="9" t="s">
        <v>132</v>
      </c>
      <c r="AA252" s="9" t="s">
        <v>91</v>
      </c>
      <c r="AC252" s="9">
        <v>7.0</v>
      </c>
      <c r="AD252" s="9">
        <v>4.0</v>
      </c>
      <c r="AE252" s="9">
        <v>2.0</v>
      </c>
      <c r="AF252" s="9">
        <v>1200.0</v>
      </c>
      <c r="AG252" s="33"/>
    </row>
    <row r="253">
      <c r="A253" s="7">
        <v>44404.04881224537</v>
      </c>
      <c r="B253" s="9" t="s">
        <v>49</v>
      </c>
      <c r="C253" s="9">
        <v>28.0</v>
      </c>
      <c r="D253" s="9" t="s">
        <v>35</v>
      </c>
      <c r="E253" s="9" t="s">
        <v>36</v>
      </c>
      <c r="F253" s="9" t="s">
        <v>349</v>
      </c>
      <c r="G253" s="9" t="s">
        <v>349</v>
      </c>
      <c r="H253" s="9" t="s">
        <v>38</v>
      </c>
      <c r="I253" s="9" t="s">
        <v>2368</v>
      </c>
      <c r="J253" s="9" t="s">
        <v>2389</v>
      </c>
      <c r="K253" s="9" t="s">
        <v>39</v>
      </c>
      <c r="L253" s="9" t="s">
        <v>40</v>
      </c>
      <c r="M253" s="9" t="s">
        <v>40</v>
      </c>
      <c r="P253" s="9" t="s">
        <v>2853</v>
      </c>
      <c r="Q253" s="9" t="s">
        <v>42</v>
      </c>
      <c r="R253" s="9">
        <v>6700.0</v>
      </c>
      <c r="S253" s="9">
        <v>6700.0</v>
      </c>
      <c r="T253" s="9">
        <v>0.0</v>
      </c>
      <c r="U253" s="9">
        <v>21.0</v>
      </c>
      <c r="V253" s="9" t="s">
        <v>1514</v>
      </c>
      <c r="W253" s="9" t="s">
        <v>1515</v>
      </c>
      <c r="X253" s="9" t="s">
        <v>50</v>
      </c>
      <c r="Y253" s="9" t="s">
        <v>1516</v>
      </c>
      <c r="Z253" s="9" t="s">
        <v>90</v>
      </c>
      <c r="AA253" s="9" t="s">
        <v>91</v>
      </c>
      <c r="AC253" s="9">
        <v>7.0</v>
      </c>
      <c r="AD253" s="9">
        <v>4.0</v>
      </c>
      <c r="AE253" s="9">
        <v>1.0</v>
      </c>
      <c r="AF253" s="9">
        <v>3000.0</v>
      </c>
      <c r="AG253" s="33"/>
    </row>
    <row r="254">
      <c r="A254" s="7">
        <v>44404.051533252314</v>
      </c>
      <c r="B254" s="9" t="s">
        <v>49</v>
      </c>
      <c r="C254" s="9">
        <v>26.0</v>
      </c>
      <c r="D254" s="9" t="s">
        <v>35</v>
      </c>
      <c r="E254" s="9" t="s">
        <v>36</v>
      </c>
      <c r="F254" s="9" t="s">
        <v>50</v>
      </c>
      <c r="G254" s="9" t="s">
        <v>1639</v>
      </c>
      <c r="H254" s="9" t="s">
        <v>38</v>
      </c>
      <c r="I254" s="9" t="s">
        <v>2854</v>
      </c>
      <c r="J254" s="9" t="s">
        <v>2389</v>
      </c>
      <c r="K254" s="9" t="s">
        <v>39</v>
      </c>
      <c r="L254" s="9" t="s">
        <v>40</v>
      </c>
      <c r="M254" s="9" t="s">
        <v>40</v>
      </c>
      <c r="P254" s="9" t="s">
        <v>2855</v>
      </c>
      <c r="Q254" s="9" t="s">
        <v>42</v>
      </c>
      <c r="R254" s="9">
        <v>7200.0</v>
      </c>
      <c r="S254" s="9">
        <v>4000.0</v>
      </c>
      <c r="T254" s="9">
        <v>0.0</v>
      </c>
      <c r="U254" s="9">
        <v>20.0</v>
      </c>
      <c r="V254" s="9" t="s">
        <v>1640</v>
      </c>
      <c r="W254" s="9" t="s">
        <v>1641</v>
      </c>
      <c r="X254" s="9" t="s">
        <v>124</v>
      </c>
      <c r="Y254" s="9" t="s">
        <v>59</v>
      </c>
      <c r="Z254" s="9" t="s">
        <v>81</v>
      </c>
      <c r="AA254" s="9" t="s">
        <v>133</v>
      </c>
      <c r="AC254" s="9">
        <v>8.0</v>
      </c>
      <c r="AD254" s="9">
        <v>4.0</v>
      </c>
      <c r="AE254" s="9">
        <v>2.0</v>
      </c>
      <c r="AF254" s="9">
        <v>3200.0</v>
      </c>
      <c r="AG254" s="33"/>
    </row>
    <row r="255">
      <c r="A255" s="7">
        <v>44404.05505734954</v>
      </c>
      <c r="B255" s="9" t="s">
        <v>49</v>
      </c>
      <c r="C255" s="9">
        <v>33.0</v>
      </c>
      <c r="D255" s="9" t="s">
        <v>2254</v>
      </c>
      <c r="E255" s="9" t="s">
        <v>36</v>
      </c>
      <c r="F255" s="9" t="s">
        <v>2856</v>
      </c>
      <c r="G255" s="9" t="s">
        <v>124</v>
      </c>
      <c r="H255" s="9" t="s">
        <v>38</v>
      </c>
      <c r="I255" s="9" t="s">
        <v>2857</v>
      </c>
      <c r="J255" s="9" t="s">
        <v>959</v>
      </c>
      <c r="K255" s="9" t="s">
        <v>40</v>
      </c>
      <c r="L255" s="9" t="s">
        <v>40</v>
      </c>
      <c r="M255" s="9" t="s">
        <v>40</v>
      </c>
      <c r="P255" s="9" t="s">
        <v>2858</v>
      </c>
      <c r="Q255" s="9" t="s">
        <v>42</v>
      </c>
      <c r="R255" s="9">
        <v>19000.0</v>
      </c>
      <c r="S255" s="9" t="s">
        <v>2859</v>
      </c>
      <c r="U255" s="9">
        <v>20.0</v>
      </c>
      <c r="V255" s="9" t="s">
        <v>2256</v>
      </c>
      <c r="W255" s="9" t="s">
        <v>2257</v>
      </c>
      <c r="X255" s="9" t="s">
        <v>2258</v>
      </c>
      <c r="Y255" s="9" t="s">
        <v>97</v>
      </c>
      <c r="Z255" s="9" t="s">
        <v>60</v>
      </c>
      <c r="AA255" s="9" t="s">
        <v>133</v>
      </c>
      <c r="AB255" s="9" t="s">
        <v>2259</v>
      </c>
      <c r="AC255" s="9">
        <v>5.0</v>
      </c>
      <c r="AD255" s="9">
        <v>6.0</v>
      </c>
      <c r="AE255" s="9">
        <v>3.0</v>
      </c>
      <c r="AF255" s="9">
        <v>7000.0</v>
      </c>
      <c r="AG255" s="33"/>
    </row>
    <row r="256">
      <c r="A256" s="7">
        <v>44404.05529175926</v>
      </c>
      <c r="B256" s="9" t="s">
        <v>49</v>
      </c>
      <c r="C256" s="9">
        <v>26.0</v>
      </c>
      <c r="D256" s="9" t="s">
        <v>35</v>
      </c>
      <c r="E256" s="9" t="s">
        <v>36</v>
      </c>
      <c r="F256" s="9" t="s">
        <v>50</v>
      </c>
      <c r="G256" s="9" t="s">
        <v>82</v>
      </c>
      <c r="H256" s="9" t="s">
        <v>38</v>
      </c>
      <c r="I256" s="9" t="s">
        <v>2860</v>
      </c>
      <c r="J256" s="9" t="s">
        <v>100</v>
      </c>
      <c r="K256" s="9" t="s">
        <v>40</v>
      </c>
      <c r="L256" s="9" t="s">
        <v>40</v>
      </c>
      <c r="M256" s="9" t="s">
        <v>40</v>
      </c>
      <c r="P256" s="9" t="s">
        <v>448</v>
      </c>
      <c r="Q256" s="9" t="s">
        <v>42</v>
      </c>
      <c r="R256" s="9">
        <v>12000.0</v>
      </c>
      <c r="S256" s="9">
        <v>12000.0</v>
      </c>
      <c r="T256" s="9" t="s">
        <v>986</v>
      </c>
      <c r="U256" s="9">
        <v>15.0</v>
      </c>
      <c r="V256" s="9" t="s">
        <v>987</v>
      </c>
      <c r="W256" s="9" t="s">
        <v>865</v>
      </c>
      <c r="X256" s="9" t="s">
        <v>122</v>
      </c>
      <c r="Y256" s="9" t="s">
        <v>70</v>
      </c>
      <c r="Z256" s="9" t="s">
        <v>81</v>
      </c>
      <c r="AA256" s="9" t="s">
        <v>91</v>
      </c>
      <c r="AC256" s="9">
        <v>8.0</v>
      </c>
      <c r="AD256" s="9">
        <v>4.0</v>
      </c>
      <c r="AE256" s="9">
        <v>2.0</v>
      </c>
      <c r="AF256" s="9">
        <v>2600.0</v>
      </c>
      <c r="AG256" s="33"/>
    </row>
    <row r="257">
      <c r="A257" s="7">
        <v>44404.05732788194</v>
      </c>
      <c r="B257" s="9" t="s">
        <v>49</v>
      </c>
      <c r="C257" s="9">
        <v>23.0</v>
      </c>
      <c r="D257" s="9" t="s">
        <v>35</v>
      </c>
      <c r="E257" s="9" t="s">
        <v>36</v>
      </c>
      <c r="F257" s="9" t="s">
        <v>124</v>
      </c>
      <c r="G257" s="9" t="s">
        <v>606</v>
      </c>
      <c r="H257" s="9" t="s">
        <v>38</v>
      </c>
      <c r="I257" s="9" t="s">
        <v>2368</v>
      </c>
      <c r="J257" s="9" t="s">
        <v>2389</v>
      </c>
      <c r="K257" s="9" t="s">
        <v>39</v>
      </c>
      <c r="L257" s="9" t="s">
        <v>40</v>
      </c>
      <c r="M257" s="9" t="s">
        <v>40</v>
      </c>
      <c r="P257" s="9" t="s">
        <v>293</v>
      </c>
      <c r="Q257" s="9" t="s">
        <v>42</v>
      </c>
      <c r="R257" s="9">
        <v>5000.0</v>
      </c>
      <c r="S257" s="9">
        <v>5000.0</v>
      </c>
      <c r="T257" s="9">
        <v>0.0</v>
      </c>
      <c r="U257" s="9">
        <v>13.0</v>
      </c>
      <c r="V257" s="9" t="s">
        <v>1850</v>
      </c>
      <c r="W257" s="9" t="s">
        <v>87</v>
      </c>
      <c r="X257" s="9" t="s">
        <v>122</v>
      </c>
      <c r="Y257" s="9" t="s">
        <v>59</v>
      </c>
      <c r="Z257" s="9" t="s">
        <v>60</v>
      </c>
      <c r="AA257" s="9" t="s">
        <v>61</v>
      </c>
      <c r="AC257" s="9">
        <v>8.0</v>
      </c>
      <c r="AD257" s="9">
        <v>1.0</v>
      </c>
      <c r="AE257" s="9">
        <v>2.0</v>
      </c>
      <c r="AF257" s="9">
        <v>3500.0</v>
      </c>
      <c r="AG257" s="33"/>
    </row>
    <row r="258">
      <c r="A258" s="7">
        <v>44404.061555520835</v>
      </c>
      <c r="B258" s="9" t="s">
        <v>49</v>
      </c>
      <c r="C258" s="9">
        <v>23.0</v>
      </c>
      <c r="D258" s="9" t="s">
        <v>35</v>
      </c>
      <c r="E258" s="9" t="s">
        <v>36</v>
      </c>
      <c r="F258" s="9" t="s">
        <v>2559</v>
      </c>
      <c r="G258" s="9" t="s">
        <v>124</v>
      </c>
      <c r="H258" s="9" t="s">
        <v>38</v>
      </c>
      <c r="I258" s="9" t="s">
        <v>2582</v>
      </c>
      <c r="J258" s="9" t="s">
        <v>2381</v>
      </c>
      <c r="K258" s="9" t="s">
        <v>39</v>
      </c>
      <c r="L258" s="9" t="s">
        <v>40</v>
      </c>
      <c r="M258" s="9" t="s">
        <v>40</v>
      </c>
      <c r="P258" s="9" t="s">
        <v>128</v>
      </c>
      <c r="Q258" s="9" t="s">
        <v>42</v>
      </c>
      <c r="R258" s="9">
        <v>3000.0</v>
      </c>
      <c r="U258" s="9">
        <v>2.0</v>
      </c>
      <c r="V258" s="9" t="s">
        <v>1398</v>
      </c>
      <c r="W258" s="9" t="s">
        <v>1399</v>
      </c>
      <c r="X258" s="9" t="s">
        <v>1192</v>
      </c>
      <c r="Y258" s="9" t="s">
        <v>59</v>
      </c>
      <c r="Z258" s="9" t="s">
        <v>132</v>
      </c>
      <c r="AA258" s="9" t="s">
        <v>91</v>
      </c>
      <c r="AC258" s="9">
        <v>9.0</v>
      </c>
      <c r="AD258" s="9" t="s">
        <v>1400</v>
      </c>
      <c r="AE258" s="9" t="s">
        <v>367</v>
      </c>
      <c r="AF258" s="9">
        <v>3000.0</v>
      </c>
      <c r="AG258" s="33"/>
    </row>
    <row r="259">
      <c r="A259" s="7">
        <v>44404.061679074075</v>
      </c>
      <c r="B259" s="9" t="s">
        <v>49</v>
      </c>
      <c r="C259" s="9">
        <v>24.0</v>
      </c>
      <c r="D259" s="9" t="s">
        <v>35</v>
      </c>
      <c r="E259" s="9" t="s">
        <v>36</v>
      </c>
      <c r="F259" s="9" t="s">
        <v>349</v>
      </c>
      <c r="G259" s="9" t="s">
        <v>349</v>
      </c>
      <c r="H259" s="9" t="s">
        <v>38</v>
      </c>
      <c r="I259" s="9" t="s">
        <v>2861</v>
      </c>
      <c r="J259" s="9" t="s">
        <v>2862</v>
      </c>
      <c r="K259" s="9" t="s">
        <v>39</v>
      </c>
      <c r="L259" s="9" t="s">
        <v>40</v>
      </c>
      <c r="M259" s="9" t="s">
        <v>40</v>
      </c>
      <c r="P259" s="9" t="s">
        <v>2863</v>
      </c>
      <c r="Q259" s="9" t="s">
        <v>42</v>
      </c>
      <c r="R259" s="9">
        <v>3300.0</v>
      </c>
      <c r="U259" s="9">
        <v>20.0</v>
      </c>
      <c r="V259" s="9" t="s">
        <v>1506</v>
      </c>
      <c r="W259" s="9" t="s">
        <v>384</v>
      </c>
      <c r="X259" s="9" t="s">
        <v>390</v>
      </c>
      <c r="Y259" s="9" t="s">
        <v>159</v>
      </c>
      <c r="Z259" s="9" t="s">
        <v>60</v>
      </c>
      <c r="AA259" s="9" t="s">
        <v>61</v>
      </c>
      <c r="AC259" s="9">
        <v>7.0</v>
      </c>
      <c r="AD259" s="9">
        <v>0.0</v>
      </c>
      <c r="AE259" s="9">
        <v>0.0</v>
      </c>
      <c r="AF259" s="9">
        <v>3000.0</v>
      </c>
      <c r="AG259" s="33"/>
    </row>
    <row r="260">
      <c r="A260" s="7">
        <v>44404.06292516204</v>
      </c>
      <c r="B260" s="9" t="s">
        <v>49</v>
      </c>
      <c r="C260" s="9">
        <v>27.0</v>
      </c>
      <c r="D260" s="9" t="s">
        <v>35</v>
      </c>
      <c r="E260" s="9" t="s">
        <v>36</v>
      </c>
      <c r="F260" s="9" t="s">
        <v>50</v>
      </c>
      <c r="G260" s="9" t="s">
        <v>331</v>
      </c>
      <c r="H260" s="9" t="s">
        <v>38</v>
      </c>
      <c r="I260" s="9" t="s">
        <v>2864</v>
      </c>
      <c r="J260" s="9" t="s">
        <v>2389</v>
      </c>
      <c r="K260" s="9" t="s">
        <v>39</v>
      </c>
      <c r="L260" s="9" t="s">
        <v>40</v>
      </c>
      <c r="M260" s="9" t="s">
        <v>39</v>
      </c>
      <c r="O260" s="9" t="s">
        <v>1050</v>
      </c>
      <c r="P260" s="9" t="s">
        <v>2865</v>
      </c>
      <c r="Q260" s="9" t="s">
        <v>42</v>
      </c>
      <c r="R260" s="9">
        <v>5300.0</v>
      </c>
      <c r="S260" s="9">
        <v>0.0</v>
      </c>
      <c r="T260" s="9">
        <v>0.0</v>
      </c>
      <c r="U260" s="9">
        <v>16.0</v>
      </c>
      <c r="V260" s="9" t="s">
        <v>1051</v>
      </c>
      <c r="W260" s="9" t="s">
        <v>1052</v>
      </c>
      <c r="X260" s="9" t="s">
        <v>1053</v>
      </c>
      <c r="Y260" s="9" t="s">
        <v>350</v>
      </c>
      <c r="Z260" s="9" t="s">
        <v>47</v>
      </c>
      <c r="AA260" s="9" t="s">
        <v>61</v>
      </c>
      <c r="AC260" s="9">
        <v>8.0</v>
      </c>
      <c r="AD260" s="9">
        <v>4.0</v>
      </c>
      <c r="AE260" s="9">
        <v>1.0</v>
      </c>
      <c r="AF260" s="9">
        <v>2700.0</v>
      </c>
      <c r="AG260" s="33"/>
    </row>
    <row r="261">
      <c r="A261" s="7">
        <v>44404.06586083333</v>
      </c>
      <c r="B261" s="9" t="s">
        <v>49</v>
      </c>
      <c r="C261" s="9">
        <v>23.0</v>
      </c>
      <c r="D261" s="9" t="s">
        <v>35</v>
      </c>
      <c r="E261" s="9" t="s">
        <v>36</v>
      </c>
      <c r="F261" s="9" t="s">
        <v>2559</v>
      </c>
      <c r="G261" s="9" t="s">
        <v>124</v>
      </c>
      <c r="H261" s="9" t="s">
        <v>38</v>
      </c>
      <c r="I261" s="9" t="s">
        <v>2582</v>
      </c>
      <c r="J261" s="9" t="s">
        <v>2381</v>
      </c>
      <c r="K261" s="9" t="s">
        <v>39</v>
      </c>
      <c r="L261" s="9" t="s">
        <v>40</v>
      </c>
      <c r="M261" s="9" t="s">
        <v>40</v>
      </c>
      <c r="P261" s="9" t="s">
        <v>128</v>
      </c>
      <c r="Q261" s="9" t="s">
        <v>42</v>
      </c>
      <c r="R261" s="9">
        <v>3000.0</v>
      </c>
      <c r="U261" s="9">
        <v>2.0</v>
      </c>
      <c r="V261" s="9" t="s">
        <v>1398</v>
      </c>
      <c r="W261" s="9" t="s">
        <v>1399</v>
      </c>
      <c r="X261" s="9" t="s">
        <v>1192</v>
      </c>
      <c r="Y261" s="9" t="s">
        <v>59</v>
      </c>
      <c r="Z261" s="9" t="s">
        <v>132</v>
      </c>
      <c r="AA261" s="9" t="s">
        <v>91</v>
      </c>
      <c r="AC261" s="9">
        <v>9.0</v>
      </c>
      <c r="AD261" s="9" t="s">
        <v>1400</v>
      </c>
      <c r="AE261" s="9" t="s">
        <v>367</v>
      </c>
      <c r="AF261" s="9">
        <v>3000.0</v>
      </c>
      <c r="AG261" s="33"/>
    </row>
    <row r="262">
      <c r="A262" s="7">
        <v>44404.069587986116</v>
      </c>
      <c r="B262" s="9" t="s">
        <v>49</v>
      </c>
      <c r="C262" s="9">
        <v>34.0</v>
      </c>
      <c r="D262" s="9" t="s">
        <v>35</v>
      </c>
      <c r="E262" s="9" t="s">
        <v>36</v>
      </c>
      <c r="F262" s="9" t="s">
        <v>349</v>
      </c>
      <c r="G262" s="9" t="s">
        <v>2866</v>
      </c>
      <c r="H262" s="9" t="s">
        <v>38</v>
      </c>
      <c r="I262" s="9" t="s">
        <v>2867</v>
      </c>
      <c r="J262" s="9" t="s">
        <v>2868</v>
      </c>
      <c r="K262" s="9" t="s">
        <v>39</v>
      </c>
      <c r="L262" s="9" t="s">
        <v>40</v>
      </c>
      <c r="M262" s="9" t="s">
        <v>40</v>
      </c>
      <c r="P262" s="9" t="s">
        <v>2869</v>
      </c>
      <c r="Q262" s="9" t="s">
        <v>42</v>
      </c>
      <c r="R262" s="9">
        <v>8800.0</v>
      </c>
      <c r="S262" s="9">
        <v>60000.0</v>
      </c>
      <c r="T262" s="9">
        <v>0.0</v>
      </c>
      <c r="U262" s="9">
        <v>18.0</v>
      </c>
      <c r="V262" s="9" t="s">
        <v>661</v>
      </c>
      <c r="W262" s="9" t="s">
        <v>2870</v>
      </c>
      <c r="X262" s="9" t="s">
        <v>2548</v>
      </c>
      <c r="Y262" s="9" t="s">
        <v>80</v>
      </c>
      <c r="Z262" s="9" t="s">
        <v>90</v>
      </c>
      <c r="AA262" s="9" t="s">
        <v>61</v>
      </c>
      <c r="AC262" s="9">
        <v>7.0</v>
      </c>
      <c r="AD262" s="9">
        <v>10.0</v>
      </c>
      <c r="AE262" s="9">
        <v>2.0</v>
      </c>
      <c r="AF262" s="9">
        <v>2100.0</v>
      </c>
      <c r="AG262" s="33"/>
    </row>
    <row r="263">
      <c r="A263" s="7">
        <v>44404.07714145833</v>
      </c>
      <c r="B263" s="9" t="s">
        <v>73</v>
      </c>
      <c r="C263" s="9">
        <v>26.0</v>
      </c>
      <c r="D263" s="9" t="s">
        <v>35</v>
      </c>
      <c r="E263" s="9" t="s">
        <v>36</v>
      </c>
      <c r="F263" s="9" t="s">
        <v>50</v>
      </c>
      <c r="G263" s="9" t="s">
        <v>106</v>
      </c>
      <c r="H263" s="9" t="s">
        <v>38</v>
      </c>
      <c r="I263" s="9" t="s">
        <v>651</v>
      </c>
      <c r="J263" s="9" t="s">
        <v>2566</v>
      </c>
      <c r="K263" s="9" t="s">
        <v>39</v>
      </c>
      <c r="L263" s="9" t="s">
        <v>40</v>
      </c>
      <c r="M263" s="9" t="s">
        <v>40</v>
      </c>
      <c r="N263" s="9" t="s">
        <v>72</v>
      </c>
      <c r="O263" s="9" t="s">
        <v>72</v>
      </c>
      <c r="P263" s="9" t="s">
        <v>2871</v>
      </c>
      <c r="Q263" s="9" t="s">
        <v>42</v>
      </c>
      <c r="R263" s="9">
        <v>5000.0</v>
      </c>
      <c r="S263" s="9">
        <v>0.0</v>
      </c>
      <c r="T263" s="9">
        <v>0.0</v>
      </c>
      <c r="U263" s="9">
        <v>18.0</v>
      </c>
      <c r="V263" s="9" t="s">
        <v>383</v>
      </c>
      <c r="W263" s="9" t="s">
        <v>2872</v>
      </c>
      <c r="X263" s="9" t="s">
        <v>296</v>
      </c>
      <c r="Y263" s="9" t="s">
        <v>89</v>
      </c>
      <c r="Z263" s="9" t="s">
        <v>60</v>
      </c>
      <c r="AA263" s="9" t="s">
        <v>61</v>
      </c>
      <c r="AC263" s="9">
        <v>6.0</v>
      </c>
      <c r="AD263" s="9" t="s">
        <v>385</v>
      </c>
      <c r="AE263" s="9">
        <v>3.0</v>
      </c>
      <c r="AF263" s="9">
        <v>1500.0</v>
      </c>
      <c r="AG263" s="33"/>
    </row>
    <row r="264">
      <c r="A264" s="7">
        <v>44404.08483439815</v>
      </c>
      <c r="B264" s="9" t="s">
        <v>49</v>
      </c>
      <c r="C264" s="9">
        <v>34.0</v>
      </c>
      <c r="D264" s="9" t="s">
        <v>35</v>
      </c>
      <c r="E264" s="9" t="s">
        <v>36</v>
      </c>
      <c r="F264" s="9" t="s">
        <v>2649</v>
      </c>
      <c r="G264" s="9" t="s">
        <v>124</v>
      </c>
      <c r="H264" s="9" t="s">
        <v>247</v>
      </c>
      <c r="I264" s="9" t="s">
        <v>2873</v>
      </c>
      <c r="J264" s="9" t="s">
        <v>1734</v>
      </c>
      <c r="K264" s="9" t="s">
        <v>40</v>
      </c>
      <c r="L264" s="9" t="s">
        <v>40</v>
      </c>
      <c r="M264" s="9" t="s">
        <v>40</v>
      </c>
      <c r="P264" s="9" t="s">
        <v>128</v>
      </c>
      <c r="Q264" s="9" t="s">
        <v>42</v>
      </c>
      <c r="R264" s="9">
        <v>13000.0</v>
      </c>
      <c r="S264" s="9">
        <v>1.0</v>
      </c>
      <c r="T264" s="9">
        <v>0.0</v>
      </c>
      <c r="U264" s="9">
        <v>15.0</v>
      </c>
      <c r="V264" s="9" t="s">
        <v>1735</v>
      </c>
      <c r="W264" s="9" t="s">
        <v>1736</v>
      </c>
      <c r="X264" s="9" t="s">
        <v>122</v>
      </c>
      <c r="Y264" s="9" t="s">
        <v>59</v>
      </c>
      <c r="Z264" s="9" t="s">
        <v>60</v>
      </c>
      <c r="AA264" s="9" t="s">
        <v>91</v>
      </c>
      <c r="AC264" s="9">
        <v>8.0</v>
      </c>
      <c r="AD264" s="9">
        <v>8.0</v>
      </c>
      <c r="AE264" s="9">
        <v>4.0</v>
      </c>
      <c r="AF264" s="9">
        <v>3300.0</v>
      </c>
      <c r="AG264" s="33"/>
    </row>
    <row r="265">
      <c r="A265" s="7">
        <v>44404.08864199074</v>
      </c>
      <c r="B265" s="9" t="s">
        <v>49</v>
      </c>
      <c r="C265" s="9">
        <v>27.0</v>
      </c>
      <c r="D265" s="9" t="s">
        <v>35</v>
      </c>
      <c r="E265" s="9" t="s">
        <v>425</v>
      </c>
      <c r="F265" s="9" t="s">
        <v>2874</v>
      </c>
      <c r="G265" s="9" t="s">
        <v>2222</v>
      </c>
      <c r="H265" s="9" t="s">
        <v>38</v>
      </c>
      <c r="I265" s="9" t="s">
        <v>75</v>
      </c>
      <c r="J265" s="9" t="s">
        <v>2223</v>
      </c>
      <c r="K265" s="9" t="s">
        <v>39</v>
      </c>
      <c r="L265" s="9" t="s">
        <v>40</v>
      </c>
      <c r="M265" s="9" t="s">
        <v>40</v>
      </c>
      <c r="P265" s="9" t="s">
        <v>128</v>
      </c>
      <c r="Q265" s="9" t="s">
        <v>112</v>
      </c>
      <c r="R265" s="9">
        <v>10800.0</v>
      </c>
      <c r="S265" s="9">
        <v>40000.0</v>
      </c>
      <c r="T265" s="9">
        <v>7000.0</v>
      </c>
      <c r="U265" s="9">
        <v>14.0</v>
      </c>
      <c r="V265" s="9" t="s">
        <v>2224</v>
      </c>
      <c r="W265" s="9" t="s">
        <v>224</v>
      </c>
      <c r="X265" s="9" t="s">
        <v>2225</v>
      </c>
      <c r="Y265" s="9" t="s">
        <v>350</v>
      </c>
      <c r="Z265" s="9" t="s">
        <v>90</v>
      </c>
      <c r="AA265" s="9" t="s">
        <v>91</v>
      </c>
      <c r="AC265" s="9">
        <v>5.0</v>
      </c>
      <c r="AD265" s="9">
        <v>4.0</v>
      </c>
      <c r="AE265" s="9">
        <v>1.0</v>
      </c>
      <c r="AF265" s="9">
        <v>6250.0</v>
      </c>
      <c r="AG265" s="33"/>
    </row>
    <row r="266">
      <c r="A266" s="7">
        <v>44404.090124849536</v>
      </c>
      <c r="B266" s="9" t="s">
        <v>49</v>
      </c>
      <c r="C266" s="9">
        <v>32.0</v>
      </c>
      <c r="D266" s="9" t="s">
        <v>35</v>
      </c>
      <c r="E266" s="9" t="s">
        <v>36</v>
      </c>
      <c r="F266" s="9" t="s">
        <v>50</v>
      </c>
      <c r="G266" s="9" t="s">
        <v>106</v>
      </c>
      <c r="H266" s="9" t="s">
        <v>302</v>
      </c>
      <c r="K266" s="9" t="s">
        <v>890</v>
      </c>
      <c r="L266" s="9" t="s">
        <v>39</v>
      </c>
      <c r="M266" s="9" t="s">
        <v>40</v>
      </c>
      <c r="N266" s="9" t="s">
        <v>1181</v>
      </c>
      <c r="P266" s="9" t="s">
        <v>128</v>
      </c>
      <c r="Q266" s="9" t="s">
        <v>42</v>
      </c>
      <c r="R266" s="9">
        <v>6500.0</v>
      </c>
      <c r="T266" s="9">
        <v>8000.0</v>
      </c>
      <c r="U266" s="9">
        <v>18.0</v>
      </c>
      <c r="V266" s="9" t="s">
        <v>1182</v>
      </c>
      <c r="W266" s="9" t="s">
        <v>358</v>
      </c>
      <c r="X266" s="9" t="s">
        <v>124</v>
      </c>
      <c r="Y266" s="9" t="s">
        <v>59</v>
      </c>
      <c r="Z266" s="9" t="s">
        <v>60</v>
      </c>
      <c r="AA266" s="9" t="s">
        <v>133</v>
      </c>
      <c r="AC266" s="9">
        <v>10.0</v>
      </c>
      <c r="AD266" s="9">
        <v>3.0</v>
      </c>
      <c r="AE266" s="9">
        <v>1.0</v>
      </c>
      <c r="AF266" s="9">
        <v>2800.0</v>
      </c>
      <c r="AG266" s="33"/>
    </row>
    <row r="267">
      <c r="A267" s="7">
        <v>44404.093346319445</v>
      </c>
      <c r="B267" s="9" t="s">
        <v>49</v>
      </c>
      <c r="C267" s="9">
        <v>26.0</v>
      </c>
      <c r="D267" s="9" t="s">
        <v>35</v>
      </c>
      <c r="E267" s="9" t="s">
        <v>36</v>
      </c>
      <c r="F267" s="9" t="s">
        <v>50</v>
      </c>
      <c r="G267" s="9" t="s">
        <v>2781</v>
      </c>
      <c r="H267" s="9" t="s">
        <v>38</v>
      </c>
      <c r="I267" s="9" t="s">
        <v>2875</v>
      </c>
      <c r="J267" s="9" t="s">
        <v>2876</v>
      </c>
      <c r="K267" s="9" t="s">
        <v>39</v>
      </c>
      <c r="L267" s="9" t="s">
        <v>40</v>
      </c>
      <c r="M267" s="9" t="s">
        <v>40</v>
      </c>
      <c r="P267" s="9" t="s">
        <v>2479</v>
      </c>
      <c r="Q267" s="9" t="s">
        <v>42</v>
      </c>
      <c r="R267" s="9">
        <v>6000.0</v>
      </c>
      <c r="S267" s="9">
        <v>0.0</v>
      </c>
      <c r="T267" s="9">
        <v>0.0</v>
      </c>
      <c r="U267" s="9">
        <v>21.0</v>
      </c>
      <c r="V267" s="9" t="s">
        <v>2202</v>
      </c>
      <c r="W267" s="9" t="s">
        <v>87</v>
      </c>
      <c r="X267" s="9" t="s">
        <v>349</v>
      </c>
      <c r="Y267" s="9" t="s">
        <v>59</v>
      </c>
      <c r="Z267" s="9" t="s">
        <v>81</v>
      </c>
      <c r="AA267" s="9" t="s">
        <v>91</v>
      </c>
      <c r="AC267" s="9">
        <v>10.0</v>
      </c>
      <c r="AD267" s="9">
        <v>2.0</v>
      </c>
      <c r="AE267" s="9">
        <v>2.0</v>
      </c>
      <c r="AF267" s="9">
        <v>5400.0</v>
      </c>
      <c r="AG267" s="33"/>
    </row>
    <row r="268">
      <c r="A268" s="7">
        <v>44404.10044327546</v>
      </c>
      <c r="B268" s="9" t="s">
        <v>49</v>
      </c>
      <c r="C268" s="9">
        <v>27.0</v>
      </c>
      <c r="D268" s="9" t="s">
        <v>35</v>
      </c>
      <c r="E268" s="9" t="s">
        <v>36</v>
      </c>
      <c r="F268" s="9" t="s">
        <v>50</v>
      </c>
      <c r="G268" s="9" t="s">
        <v>493</v>
      </c>
      <c r="H268" s="9" t="s">
        <v>38</v>
      </c>
      <c r="I268" s="9" t="s">
        <v>2877</v>
      </c>
      <c r="J268" s="9" t="s">
        <v>100</v>
      </c>
      <c r="K268" s="9" t="s">
        <v>39</v>
      </c>
      <c r="L268" s="9" t="s">
        <v>40</v>
      </c>
      <c r="M268" s="9" t="s">
        <v>40</v>
      </c>
      <c r="P268" s="9" t="s">
        <v>727</v>
      </c>
      <c r="Q268" s="9" t="s">
        <v>42</v>
      </c>
      <c r="R268" s="9">
        <v>6250.0</v>
      </c>
      <c r="S268" s="9">
        <v>6250.0</v>
      </c>
      <c r="T268" s="9">
        <v>0.0</v>
      </c>
      <c r="U268" s="9">
        <v>18.0</v>
      </c>
      <c r="V268" s="9" t="s">
        <v>728</v>
      </c>
      <c r="W268" s="9" t="s">
        <v>729</v>
      </c>
      <c r="X268" s="9" t="s">
        <v>122</v>
      </c>
      <c r="Y268" s="9" t="s">
        <v>105</v>
      </c>
      <c r="Z268" s="9" t="s">
        <v>132</v>
      </c>
      <c r="AA268" s="9" t="s">
        <v>91</v>
      </c>
      <c r="AC268" s="9">
        <v>8.0</v>
      </c>
      <c r="AD268" s="9">
        <v>4.0</v>
      </c>
      <c r="AE268" s="9">
        <v>1.0</v>
      </c>
      <c r="AF268" s="9">
        <v>2350.0</v>
      </c>
      <c r="AG268" s="33"/>
    </row>
    <row r="269">
      <c r="A269" s="7">
        <v>44404.1153974537</v>
      </c>
      <c r="B269" s="9" t="s">
        <v>49</v>
      </c>
      <c r="C269" s="9">
        <v>28.0</v>
      </c>
      <c r="D269" s="9" t="s">
        <v>35</v>
      </c>
      <c r="E269" s="9" t="s">
        <v>36</v>
      </c>
      <c r="F269" s="9" t="s">
        <v>50</v>
      </c>
      <c r="G269" s="9" t="s">
        <v>82</v>
      </c>
      <c r="H269" s="9" t="s">
        <v>93</v>
      </c>
      <c r="J269" s="9" t="s">
        <v>2878</v>
      </c>
      <c r="K269" s="9" t="s">
        <v>890</v>
      </c>
      <c r="L269" s="9" t="s">
        <v>40</v>
      </c>
      <c r="M269" s="9" t="s">
        <v>40</v>
      </c>
      <c r="P269" s="9" t="s">
        <v>101</v>
      </c>
      <c r="Q269" s="9" t="s">
        <v>42</v>
      </c>
      <c r="R269" s="9">
        <v>5000.0</v>
      </c>
      <c r="S269" s="9">
        <v>0.0</v>
      </c>
      <c r="T269" s="9">
        <v>0.0</v>
      </c>
      <c r="U269" s="9">
        <v>12.0</v>
      </c>
      <c r="V269" s="9" t="s">
        <v>459</v>
      </c>
      <c r="W269" s="9" t="s">
        <v>44</v>
      </c>
      <c r="X269" s="9" t="s">
        <v>58</v>
      </c>
      <c r="Y269" s="9" t="s">
        <v>97</v>
      </c>
      <c r="Z269" s="9" t="s">
        <v>47</v>
      </c>
      <c r="AA269" s="9" t="s">
        <v>61</v>
      </c>
      <c r="AC269" s="9">
        <v>8.0</v>
      </c>
      <c r="AD269" s="9">
        <v>4.0</v>
      </c>
      <c r="AE269" s="9">
        <v>4.0</v>
      </c>
      <c r="AF269" s="9">
        <v>1800.0</v>
      </c>
      <c r="AG269" s="33"/>
    </row>
    <row r="270">
      <c r="A270" s="7">
        <v>44404.12932085648</v>
      </c>
      <c r="B270" s="9" t="s">
        <v>49</v>
      </c>
      <c r="C270" s="9">
        <v>31.0</v>
      </c>
      <c r="D270" s="9" t="s">
        <v>35</v>
      </c>
      <c r="E270" s="9" t="s">
        <v>36</v>
      </c>
      <c r="F270" s="9" t="s">
        <v>2070</v>
      </c>
      <c r="G270" s="9" t="s">
        <v>2879</v>
      </c>
      <c r="H270" s="9" t="s">
        <v>38</v>
      </c>
      <c r="K270" s="9" t="s">
        <v>39</v>
      </c>
      <c r="L270" s="9" t="s">
        <v>40</v>
      </c>
      <c r="M270" s="9" t="s">
        <v>40</v>
      </c>
      <c r="P270" s="9" t="s">
        <v>2880</v>
      </c>
      <c r="Q270" s="9" t="s">
        <v>42</v>
      </c>
      <c r="R270" s="9">
        <v>5500.0</v>
      </c>
      <c r="U270" s="9">
        <v>11.0</v>
      </c>
      <c r="V270" s="9" t="s">
        <v>157</v>
      </c>
      <c r="W270" s="9" t="s">
        <v>1403</v>
      </c>
      <c r="X270" s="9" t="s">
        <v>1404</v>
      </c>
      <c r="Y270" s="9" t="s">
        <v>80</v>
      </c>
      <c r="Z270" s="9" t="s">
        <v>132</v>
      </c>
      <c r="AA270" s="9" t="s">
        <v>61</v>
      </c>
      <c r="AC270" s="9">
        <v>5.0</v>
      </c>
      <c r="AD270" s="9">
        <v>4.0</v>
      </c>
      <c r="AE270" s="9">
        <v>2.0</v>
      </c>
      <c r="AF270" s="9">
        <v>3000.0</v>
      </c>
      <c r="AG270" s="33"/>
    </row>
    <row r="271">
      <c r="A271" s="7">
        <v>44404.15398134259</v>
      </c>
      <c r="B271" s="9" t="s">
        <v>49</v>
      </c>
      <c r="C271" s="9">
        <v>26.0</v>
      </c>
      <c r="D271" s="9" t="s">
        <v>35</v>
      </c>
      <c r="E271" s="9" t="s">
        <v>36</v>
      </c>
      <c r="F271" s="9" t="s">
        <v>50</v>
      </c>
      <c r="G271" s="9" t="s">
        <v>1704</v>
      </c>
      <c r="H271" s="9" t="s">
        <v>38</v>
      </c>
      <c r="I271" s="9" t="s">
        <v>2881</v>
      </c>
      <c r="J271" s="9" t="s">
        <v>2882</v>
      </c>
      <c r="K271" s="9" t="s">
        <v>39</v>
      </c>
      <c r="L271" s="9" t="s">
        <v>40</v>
      </c>
      <c r="M271" s="9" t="s">
        <v>40</v>
      </c>
      <c r="P271" s="9" t="s">
        <v>2883</v>
      </c>
      <c r="Q271" s="9" t="s">
        <v>42</v>
      </c>
      <c r="R271" s="9">
        <v>4300.0</v>
      </c>
      <c r="S271" s="9">
        <v>4300.0</v>
      </c>
      <c r="T271" s="9">
        <v>0.0</v>
      </c>
      <c r="U271" s="9">
        <v>14.0</v>
      </c>
      <c r="V271" s="9" t="s">
        <v>1435</v>
      </c>
      <c r="W271" s="9" t="s">
        <v>1436</v>
      </c>
      <c r="X271" s="9" t="s">
        <v>1437</v>
      </c>
      <c r="Y271" s="9" t="s">
        <v>159</v>
      </c>
      <c r="Z271" s="9" t="s">
        <v>60</v>
      </c>
      <c r="AA271" s="9" t="s">
        <v>61</v>
      </c>
      <c r="AC271" s="9">
        <v>7.0</v>
      </c>
      <c r="AD271" s="9">
        <v>2.0</v>
      </c>
      <c r="AE271" s="9">
        <v>1.0</v>
      </c>
      <c r="AF271" s="9">
        <v>3000.0</v>
      </c>
      <c r="AG271" s="33"/>
    </row>
    <row r="272">
      <c r="A272" s="7">
        <v>44404.18533340278</v>
      </c>
      <c r="B272" s="9" t="s">
        <v>49</v>
      </c>
      <c r="C272" s="9">
        <v>25.0</v>
      </c>
      <c r="D272" s="9" t="s">
        <v>35</v>
      </c>
      <c r="E272" s="9" t="s">
        <v>36</v>
      </c>
      <c r="F272" s="9" t="s">
        <v>50</v>
      </c>
      <c r="G272" s="9" t="s">
        <v>206</v>
      </c>
      <c r="H272" s="9" t="s">
        <v>38</v>
      </c>
      <c r="I272" s="9" t="s">
        <v>2413</v>
      </c>
      <c r="J272" s="9" t="s">
        <v>2566</v>
      </c>
      <c r="K272" s="9" t="s">
        <v>39</v>
      </c>
      <c r="L272" s="9" t="s">
        <v>40</v>
      </c>
      <c r="M272" s="9" t="s">
        <v>40</v>
      </c>
      <c r="P272" s="9" t="s">
        <v>128</v>
      </c>
      <c r="Q272" s="9" t="s">
        <v>42</v>
      </c>
      <c r="R272" s="9">
        <v>3800.0</v>
      </c>
      <c r="S272" s="9">
        <v>0.0</v>
      </c>
      <c r="T272" s="9">
        <v>0.0</v>
      </c>
      <c r="U272" s="9">
        <v>18.0</v>
      </c>
      <c r="V272" s="9" t="s">
        <v>1479</v>
      </c>
      <c r="W272" s="9" t="s">
        <v>1480</v>
      </c>
      <c r="X272" s="9" t="s">
        <v>131</v>
      </c>
      <c r="Y272" s="9" t="s">
        <v>59</v>
      </c>
      <c r="Z272" s="9" t="s">
        <v>60</v>
      </c>
      <c r="AA272" s="9" t="s">
        <v>61</v>
      </c>
      <c r="AC272" s="9">
        <v>10.0</v>
      </c>
      <c r="AD272" s="9">
        <v>1.0</v>
      </c>
      <c r="AE272" s="9">
        <v>2.0</v>
      </c>
      <c r="AF272" s="9">
        <v>3000.0</v>
      </c>
      <c r="AG272" s="33"/>
    </row>
    <row r="273">
      <c r="A273" s="7">
        <v>44404.19057460648</v>
      </c>
      <c r="B273" s="9" t="s">
        <v>49</v>
      </c>
      <c r="C273" s="9">
        <v>31.0</v>
      </c>
      <c r="D273" s="9" t="s">
        <v>35</v>
      </c>
      <c r="E273" s="9" t="s">
        <v>36</v>
      </c>
      <c r="F273" s="9" t="s">
        <v>124</v>
      </c>
      <c r="G273" s="9" t="s">
        <v>125</v>
      </c>
      <c r="H273" s="9" t="s">
        <v>38</v>
      </c>
      <c r="I273" s="9" t="s">
        <v>2884</v>
      </c>
      <c r="J273" s="9" t="s">
        <v>2885</v>
      </c>
      <c r="K273" s="9" t="s">
        <v>40</v>
      </c>
      <c r="L273" s="9" t="s">
        <v>40</v>
      </c>
      <c r="M273" s="9" t="s">
        <v>40</v>
      </c>
      <c r="P273" s="9" t="s">
        <v>466</v>
      </c>
      <c r="Q273" s="9" t="s">
        <v>42</v>
      </c>
      <c r="R273" s="9">
        <v>7500.0</v>
      </c>
      <c r="S273" s="9">
        <v>0.0</v>
      </c>
      <c r="T273" s="9">
        <v>0.0</v>
      </c>
      <c r="U273" s="9">
        <v>14.0</v>
      </c>
      <c r="V273" s="9" t="s">
        <v>1149</v>
      </c>
      <c r="W273" s="9" t="s">
        <v>1150</v>
      </c>
      <c r="X273" s="9" t="s">
        <v>58</v>
      </c>
      <c r="Y273" s="9" t="s">
        <v>70</v>
      </c>
      <c r="Z273" s="9" t="s">
        <v>71</v>
      </c>
      <c r="AA273" s="9" t="s">
        <v>61</v>
      </c>
      <c r="AC273" s="9">
        <v>7.0</v>
      </c>
      <c r="AD273" s="9">
        <v>6.0</v>
      </c>
      <c r="AE273" s="9">
        <v>4.0</v>
      </c>
      <c r="AF273" s="9">
        <v>2800.0</v>
      </c>
      <c r="AG273" s="33"/>
    </row>
    <row r="274">
      <c r="A274" s="7">
        <v>44404.20479903935</v>
      </c>
      <c r="B274" s="9" t="s">
        <v>49</v>
      </c>
      <c r="C274" s="9">
        <v>24.0</v>
      </c>
      <c r="D274" s="9" t="s">
        <v>35</v>
      </c>
      <c r="E274" s="9" t="s">
        <v>36</v>
      </c>
      <c r="F274" s="9" t="s">
        <v>349</v>
      </c>
      <c r="G274" s="9" t="s">
        <v>206</v>
      </c>
      <c r="H274" s="9" t="s">
        <v>118</v>
      </c>
      <c r="J274" s="9" t="s">
        <v>614</v>
      </c>
      <c r="K274" s="9" t="s">
        <v>40</v>
      </c>
      <c r="L274" s="9" t="s">
        <v>39</v>
      </c>
      <c r="M274" s="9" t="s">
        <v>40</v>
      </c>
      <c r="P274" s="9" t="s">
        <v>2886</v>
      </c>
      <c r="Q274" s="9" t="s">
        <v>42</v>
      </c>
      <c r="R274" s="9">
        <v>4000.0</v>
      </c>
      <c r="S274" s="9">
        <v>0.0</v>
      </c>
      <c r="T274" s="9">
        <v>0.0</v>
      </c>
      <c r="U274" s="9">
        <v>0.0</v>
      </c>
      <c r="V274" s="9" t="s">
        <v>615</v>
      </c>
      <c r="W274" s="9" t="s">
        <v>616</v>
      </c>
      <c r="X274" s="9" t="s">
        <v>131</v>
      </c>
      <c r="Y274" s="9" t="s">
        <v>59</v>
      </c>
      <c r="Z274" s="9" t="s">
        <v>47</v>
      </c>
      <c r="AA274" s="9" t="s">
        <v>48</v>
      </c>
      <c r="AC274" s="9">
        <v>10.0</v>
      </c>
      <c r="AD274" s="9">
        <v>3.0</v>
      </c>
      <c r="AE274" s="9">
        <v>2.0</v>
      </c>
      <c r="AF274" s="9">
        <v>2000.0</v>
      </c>
      <c r="AG274" s="33"/>
    </row>
    <row r="275">
      <c r="A275" s="7">
        <v>44404.20817949074</v>
      </c>
      <c r="B275" s="9" t="s">
        <v>49</v>
      </c>
      <c r="C275" s="9">
        <v>25.0</v>
      </c>
      <c r="D275" s="9" t="s">
        <v>35</v>
      </c>
      <c r="E275" s="9" t="s">
        <v>36</v>
      </c>
      <c r="F275" s="9" t="s">
        <v>50</v>
      </c>
      <c r="G275" s="9" t="s">
        <v>99</v>
      </c>
      <c r="H275" s="9" t="s">
        <v>118</v>
      </c>
      <c r="J275" s="9" t="s">
        <v>2887</v>
      </c>
      <c r="K275" s="9" t="s">
        <v>40</v>
      </c>
      <c r="L275" s="9" t="s">
        <v>40</v>
      </c>
      <c r="M275" s="9" t="s">
        <v>40</v>
      </c>
      <c r="P275" s="9" t="s">
        <v>746</v>
      </c>
      <c r="Q275" s="9" t="s">
        <v>42</v>
      </c>
      <c r="R275" s="9">
        <v>9000.0</v>
      </c>
      <c r="S275" s="9">
        <v>0.0</v>
      </c>
      <c r="T275" s="9">
        <v>0.0</v>
      </c>
      <c r="U275" s="9">
        <v>20.0</v>
      </c>
      <c r="V275" s="9" t="s">
        <v>1051</v>
      </c>
      <c r="W275" s="9" t="s">
        <v>2276</v>
      </c>
      <c r="X275" s="9" t="s">
        <v>122</v>
      </c>
      <c r="Y275" s="9" t="s">
        <v>70</v>
      </c>
      <c r="Z275" s="9" t="s">
        <v>132</v>
      </c>
      <c r="AA275" s="9" t="s">
        <v>61</v>
      </c>
      <c r="AB275" s="9" t="s">
        <v>2277</v>
      </c>
      <c r="AC275" s="9">
        <v>7.0</v>
      </c>
      <c r="AD275" s="9">
        <v>5.0</v>
      </c>
      <c r="AE275" s="9">
        <v>5.0</v>
      </c>
      <c r="AF275" s="9">
        <v>8000.0</v>
      </c>
      <c r="AG275" s="33"/>
    </row>
    <row r="276">
      <c r="A276" s="7">
        <v>44404.21070458333</v>
      </c>
      <c r="B276" s="9" t="s">
        <v>49</v>
      </c>
      <c r="C276" s="9">
        <v>34.0</v>
      </c>
      <c r="D276" s="9" t="s">
        <v>35</v>
      </c>
      <c r="E276" s="9" t="s">
        <v>36</v>
      </c>
      <c r="F276" s="9" t="s">
        <v>164</v>
      </c>
      <c r="G276" s="9" t="s">
        <v>1446</v>
      </c>
      <c r="H276" s="9" t="s">
        <v>38</v>
      </c>
      <c r="I276" s="9" t="s">
        <v>2888</v>
      </c>
      <c r="J276" s="9" t="s">
        <v>166</v>
      </c>
      <c r="K276" s="9" t="s">
        <v>40</v>
      </c>
      <c r="L276" s="9" t="s">
        <v>40</v>
      </c>
      <c r="M276" s="9" t="s">
        <v>40</v>
      </c>
      <c r="P276" s="9" t="s">
        <v>128</v>
      </c>
      <c r="Q276" s="9" t="s">
        <v>42</v>
      </c>
      <c r="R276" s="9">
        <v>14500.0</v>
      </c>
      <c r="S276" s="9">
        <v>16000.0</v>
      </c>
      <c r="U276" s="9">
        <v>14.0</v>
      </c>
      <c r="V276" s="9" t="s">
        <v>1447</v>
      </c>
      <c r="W276" s="9" t="s">
        <v>1448</v>
      </c>
      <c r="X276" s="9" t="s">
        <v>36</v>
      </c>
      <c r="Y276" s="9" t="s">
        <v>116</v>
      </c>
      <c r="Z276" s="9" t="s">
        <v>90</v>
      </c>
      <c r="AA276" s="9" t="s">
        <v>61</v>
      </c>
      <c r="AC276" s="9">
        <v>6.0</v>
      </c>
      <c r="AD276" s="9">
        <v>10.0</v>
      </c>
      <c r="AE276" s="9">
        <v>6.0</v>
      </c>
      <c r="AF276" s="9">
        <v>3000.0</v>
      </c>
      <c r="AG276" s="33"/>
    </row>
    <row r="277">
      <c r="A277" s="7">
        <v>44404.216555555555</v>
      </c>
      <c r="B277" s="9" t="s">
        <v>49</v>
      </c>
      <c r="C277" s="9">
        <v>38.0</v>
      </c>
      <c r="D277" s="9" t="s">
        <v>35</v>
      </c>
      <c r="E277" s="9" t="s">
        <v>36</v>
      </c>
      <c r="F277" s="9" t="s">
        <v>50</v>
      </c>
      <c r="G277" s="9" t="s">
        <v>82</v>
      </c>
      <c r="H277" s="9" t="s">
        <v>38</v>
      </c>
      <c r="I277" s="9" t="s">
        <v>2889</v>
      </c>
      <c r="J277" s="9" t="s">
        <v>2796</v>
      </c>
      <c r="K277" s="9" t="s">
        <v>39</v>
      </c>
      <c r="L277" s="9" t="s">
        <v>39</v>
      </c>
      <c r="M277" s="9" t="s">
        <v>40</v>
      </c>
      <c r="N277" s="9" t="s">
        <v>2890</v>
      </c>
      <c r="P277" s="9" t="s">
        <v>2891</v>
      </c>
      <c r="Q277" s="9" t="s">
        <v>42</v>
      </c>
      <c r="R277" s="9">
        <v>7700.0</v>
      </c>
      <c r="S277" s="9">
        <v>14750.0</v>
      </c>
      <c r="U277" s="9">
        <v>20.0</v>
      </c>
      <c r="V277" s="9" t="s">
        <v>409</v>
      </c>
      <c r="W277" s="9" t="s">
        <v>410</v>
      </c>
      <c r="X277" s="9" t="s">
        <v>122</v>
      </c>
      <c r="Y277" s="9" t="s">
        <v>411</v>
      </c>
      <c r="Z277" s="9" t="s">
        <v>90</v>
      </c>
      <c r="AA277" s="9" t="s">
        <v>91</v>
      </c>
      <c r="AC277" s="9">
        <v>7.0</v>
      </c>
      <c r="AD277" s="9">
        <v>11.0</v>
      </c>
      <c r="AE277" s="9">
        <v>5.0</v>
      </c>
      <c r="AF277" s="9">
        <v>1600.0</v>
      </c>
      <c r="AG277" s="33"/>
    </row>
    <row r="278">
      <c r="A278" s="7">
        <v>44404.29986452546</v>
      </c>
      <c r="B278" s="9" t="s">
        <v>49</v>
      </c>
      <c r="C278" s="9">
        <v>35.0</v>
      </c>
      <c r="D278" s="9" t="s">
        <v>35</v>
      </c>
      <c r="E278" s="9" t="s">
        <v>36</v>
      </c>
      <c r="F278" s="9" t="s">
        <v>2430</v>
      </c>
      <c r="G278" s="9" t="s">
        <v>298</v>
      </c>
      <c r="H278" s="9" t="s">
        <v>38</v>
      </c>
      <c r="I278" s="9" t="s">
        <v>2892</v>
      </c>
      <c r="J278" s="9" t="s">
        <v>2490</v>
      </c>
      <c r="K278" s="9" t="s">
        <v>39</v>
      </c>
      <c r="L278" s="9" t="s">
        <v>40</v>
      </c>
      <c r="M278" s="9" t="s">
        <v>40</v>
      </c>
      <c r="P278" s="9" t="s">
        <v>511</v>
      </c>
      <c r="Q278" s="9" t="s">
        <v>42</v>
      </c>
      <c r="R278" s="9">
        <v>13000.0</v>
      </c>
      <c r="S278" s="9">
        <v>20000.0</v>
      </c>
      <c r="U278" s="9">
        <v>24.0</v>
      </c>
      <c r="V278" s="9" t="s">
        <v>512</v>
      </c>
      <c r="W278" s="9" t="s">
        <v>513</v>
      </c>
      <c r="X278" s="9" t="s">
        <v>122</v>
      </c>
      <c r="Y278" s="9" t="s">
        <v>59</v>
      </c>
      <c r="Z278" s="9" t="s">
        <v>90</v>
      </c>
      <c r="AA278" s="9" t="s">
        <v>61</v>
      </c>
      <c r="AB278" s="9" t="s">
        <v>514</v>
      </c>
      <c r="AC278" s="9">
        <v>8.0</v>
      </c>
      <c r="AD278" s="9">
        <v>12.0</v>
      </c>
      <c r="AE278" s="9">
        <v>4.0</v>
      </c>
      <c r="AF278" s="9">
        <v>1800.0</v>
      </c>
      <c r="AG278" s="33"/>
    </row>
    <row r="279">
      <c r="A279" s="7">
        <v>44404.31166153935</v>
      </c>
      <c r="B279" s="9" t="s">
        <v>49</v>
      </c>
      <c r="C279" s="9">
        <v>29.0</v>
      </c>
      <c r="D279" s="9" t="s">
        <v>35</v>
      </c>
      <c r="E279" s="9" t="s">
        <v>36</v>
      </c>
      <c r="F279" s="9" t="s">
        <v>171</v>
      </c>
      <c r="G279" s="9" t="s">
        <v>2544</v>
      </c>
      <c r="H279" s="9" t="s">
        <v>38</v>
      </c>
      <c r="I279" s="9" t="s">
        <v>2893</v>
      </c>
      <c r="J279" s="9" t="s">
        <v>2894</v>
      </c>
      <c r="K279" s="9" t="s">
        <v>40</v>
      </c>
      <c r="L279" s="9" t="s">
        <v>40</v>
      </c>
      <c r="M279" s="9" t="s">
        <v>40</v>
      </c>
      <c r="P279" s="9" t="s">
        <v>2895</v>
      </c>
      <c r="Q279" s="9" t="s">
        <v>42</v>
      </c>
      <c r="R279" s="9">
        <v>7800.0</v>
      </c>
      <c r="S279" s="9">
        <v>0.0</v>
      </c>
      <c r="T279" s="9">
        <v>0.0</v>
      </c>
      <c r="U279" s="9">
        <v>14.0</v>
      </c>
      <c r="V279" s="9" t="s">
        <v>1432</v>
      </c>
      <c r="W279" s="9" t="s">
        <v>740</v>
      </c>
      <c r="X279" s="9" t="s">
        <v>2548</v>
      </c>
      <c r="Y279" s="9" t="s">
        <v>89</v>
      </c>
      <c r="Z279" s="9" t="s">
        <v>71</v>
      </c>
      <c r="AA279" s="9" t="s">
        <v>61</v>
      </c>
      <c r="AC279" s="9">
        <v>7.0</v>
      </c>
      <c r="AD279" s="9">
        <v>4.0</v>
      </c>
      <c r="AE279" s="9">
        <v>5.0</v>
      </c>
      <c r="AF279" s="9">
        <v>3000.0</v>
      </c>
      <c r="AG279" s="33"/>
    </row>
    <row r="280">
      <c r="A280" s="7">
        <v>44404.311825069446</v>
      </c>
      <c r="B280" s="9" t="s">
        <v>49</v>
      </c>
      <c r="C280" s="9">
        <v>23.0</v>
      </c>
      <c r="D280" s="9" t="s">
        <v>35</v>
      </c>
      <c r="E280" s="9" t="s">
        <v>36</v>
      </c>
      <c r="F280" s="9" t="s">
        <v>63</v>
      </c>
      <c r="G280" s="9" t="s">
        <v>259</v>
      </c>
      <c r="H280" s="9" t="s">
        <v>38</v>
      </c>
      <c r="I280" s="9" t="s">
        <v>2368</v>
      </c>
      <c r="J280" s="9" t="s">
        <v>2472</v>
      </c>
      <c r="K280" s="9" t="s">
        <v>39</v>
      </c>
      <c r="L280" s="9" t="s">
        <v>40</v>
      </c>
      <c r="M280" s="9" t="s">
        <v>40</v>
      </c>
      <c r="P280" s="9" t="s">
        <v>2896</v>
      </c>
      <c r="Q280" s="9" t="s">
        <v>42</v>
      </c>
      <c r="R280" s="9">
        <v>1500.0</v>
      </c>
      <c r="S280" s="9">
        <v>0.0</v>
      </c>
      <c r="T280" s="9">
        <v>0.0</v>
      </c>
      <c r="U280" s="9">
        <v>60.0</v>
      </c>
      <c r="V280" s="9" t="s">
        <v>260</v>
      </c>
      <c r="W280" s="9" t="s">
        <v>261</v>
      </c>
      <c r="X280" s="9" t="s">
        <v>58</v>
      </c>
      <c r="Y280" s="9" t="s">
        <v>155</v>
      </c>
      <c r="Z280" s="9" t="s">
        <v>47</v>
      </c>
      <c r="AA280" s="9" t="s">
        <v>61</v>
      </c>
      <c r="AC280" s="9">
        <v>8.0</v>
      </c>
      <c r="AD280" s="9">
        <v>3.0</v>
      </c>
      <c r="AE280" s="9">
        <v>1.0</v>
      </c>
      <c r="AF280" s="9">
        <v>1000.0</v>
      </c>
      <c r="AG280" s="33"/>
    </row>
    <row r="281">
      <c r="A281" s="7">
        <v>44404.32445480324</v>
      </c>
      <c r="B281" s="9" t="s">
        <v>49</v>
      </c>
      <c r="C281" s="9">
        <v>29.0</v>
      </c>
      <c r="D281" s="9" t="s">
        <v>35</v>
      </c>
      <c r="E281" s="9" t="s">
        <v>36</v>
      </c>
      <c r="F281" s="9" t="s">
        <v>50</v>
      </c>
      <c r="G281" s="9" t="s">
        <v>125</v>
      </c>
      <c r="H281" s="9" t="s">
        <v>38</v>
      </c>
      <c r="I281" s="9" t="s">
        <v>2467</v>
      </c>
      <c r="J281" s="9" t="s">
        <v>2897</v>
      </c>
      <c r="K281" s="9" t="s">
        <v>39</v>
      </c>
      <c r="L281" s="9" t="s">
        <v>40</v>
      </c>
      <c r="M281" s="9" t="s">
        <v>39</v>
      </c>
      <c r="O281" s="9" t="s">
        <v>851</v>
      </c>
      <c r="P281" s="9" t="s">
        <v>146</v>
      </c>
      <c r="Q281" s="9" t="s">
        <v>42</v>
      </c>
      <c r="R281" s="9">
        <v>4750.0</v>
      </c>
      <c r="S281" s="9">
        <v>0.0</v>
      </c>
      <c r="T281" s="9">
        <v>0.0</v>
      </c>
      <c r="U281" s="9">
        <v>12.0</v>
      </c>
      <c r="V281" s="9" t="s">
        <v>638</v>
      </c>
      <c r="W281" s="9" t="s">
        <v>852</v>
      </c>
      <c r="X281" s="9" t="s">
        <v>853</v>
      </c>
      <c r="Y281" s="9" t="s">
        <v>481</v>
      </c>
      <c r="Z281" s="9" t="s">
        <v>81</v>
      </c>
      <c r="AA281" s="9" t="s">
        <v>91</v>
      </c>
      <c r="AB281" s="9" t="s">
        <v>854</v>
      </c>
      <c r="AC281" s="9">
        <v>3.0</v>
      </c>
      <c r="AD281" s="9">
        <v>5.0</v>
      </c>
      <c r="AE281" s="9">
        <v>3.0</v>
      </c>
      <c r="AF281" s="9">
        <v>2500.0</v>
      </c>
      <c r="AG281" s="33"/>
    </row>
    <row r="282">
      <c r="A282" s="7">
        <v>44404.332200046294</v>
      </c>
      <c r="B282" s="9" t="s">
        <v>49</v>
      </c>
      <c r="C282" s="9">
        <v>23.0</v>
      </c>
      <c r="D282" s="9" t="s">
        <v>35</v>
      </c>
      <c r="E282" s="9" t="s">
        <v>36</v>
      </c>
      <c r="F282" s="9" t="s">
        <v>349</v>
      </c>
      <c r="G282" s="9" t="s">
        <v>349</v>
      </c>
      <c r="H282" s="9" t="s">
        <v>38</v>
      </c>
      <c r="I282" s="9" t="s">
        <v>2898</v>
      </c>
      <c r="J282" s="9" t="s">
        <v>2899</v>
      </c>
      <c r="K282" s="9" t="s">
        <v>39</v>
      </c>
      <c r="L282" s="9" t="s">
        <v>39</v>
      </c>
      <c r="M282" s="9" t="s">
        <v>40</v>
      </c>
      <c r="P282" s="9" t="s">
        <v>2900</v>
      </c>
      <c r="Q282" s="9" t="s">
        <v>42</v>
      </c>
      <c r="R282" s="9">
        <v>3000.0</v>
      </c>
      <c r="U282" s="9">
        <v>19.0</v>
      </c>
      <c r="V282" s="9" t="s">
        <v>1491</v>
      </c>
      <c r="W282" s="9" t="s">
        <v>1492</v>
      </c>
      <c r="X282" s="9" t="s">
        <v>1493</v>
      </c>
      <c r="Y282" s="9" t="s">
        <v>59</v>
      </c>
      <c r="Z282" s="9" t="s">
        <v>81</v>
      </c>
      <c r="AA282" s="9" t="s">
        <v>61</v>
      </c>
      <c r="AC282" s="9">
        <v>6.0</v>
      </c>
      <c r="AD282" s="9">
        <v>0.0</v>
      </c>
      <c r="AE282" s="9">
        <v>6.0</v>
      </c>
      <c r="AF282" s="9">
        <v>3000.0</v>
      </c>
      <c r="AG282" s="33"/>
    </row>
    <row r="283">
      <c r="A283" s="7">
        <v>44404.34301440972</v>
      </c>
      <c r="B283" s="9" t="s">
        <v>49</v>
      </c>
      <c r="C283" s="9">
        <v>29.0</v>
      </c>
      <c r="D283" s="9" t="s">
        <v>35</v>
      </c>
      <c r="E283" s="9" t="s">
        <v>36</v>
      </c>
      <c r="F283" s="9" t="s">
        <v>2430</v>
      </c>
      <c r="G283" s="9" t="s">
        <v>2834</v>
      </c>
      <c r="H283" s="9" t="s">
        <v>2901</v>
      </c>
      <c r="I283" s="9" t="s">
        <v>2902</v>
      </c>
      <c r="J283" s="9" t="s">
        <v>2903</v>
      </c>
      <c r="K283" s="9" t="s">
        <v>39</v>
      </c>
      <c r="L283" s="9" t="s">
        <v>40</v>
      </c>
      <c r="M283" s="9" t="s">
        <v>40</v>
      </c>
      <c r="P283" s="9" t="s">
        <v>2904</v>
      </c>
      <c r="Q283" s="9" t="s">
        <v>42</v>
      </c>
      <c r="R283" s="9">
        <v>6500.0</v>
      </c>
      <c r="S283" s="9">
        <v>0.0</v>
      </c>
      <c r="T283" s="9">
        <v>0.0</v>
      </c>
      <c r="U283" s="9">
        <v>15.0</v>
      </c>
      <c r="V283" s="9" t="s">
        <v>223</v>
      </c>
      <c r="W283" s="9" t="s">
        <v>1462</v>
      </c>
      <c r="X283" s="9" t="s">
        <v>58</v>
      </c>
      <c r="Y283" s="9" t="s">
        <v>80</v>
      </c>
      <c r="Z283" s="9" t="s">
        <v>71</v>
      </c>
      <c r="AA283" s="9" t="s">
        <v>48</v>
      </c>
      <c r="AC283" s="9">
        <v>1.0</v>
      </c>
      <c r="AD283" s="9">
        <v>3.0</v>
      </c>
      <c r="AE283" s="9">
        <v>2.0</v>
      </c>
      <c r="AF283" s="9">
        <v>3000.0</v>
      </c>
      <c r="AG283" s="33"/>
    </row>
    <row r="284">
      <c r="A284" s="7">
        <v>44404.360610081014</v>
      </c>
      <c r="B284" s="9" t="s">
        <v>73</v>
      </c>
      <c r="C284" s="9">
        <v>24.0</v>
      </c>
      <c r="D284" s="9" t="s">
        <v>35</v>
      </c>
      <c r="E284" s="9" t="s">
        <v>36</v>
      </c>
      <c r="F284" s="9" t="s">
        <v>2905</v>
      </c>
      <c r="G284" s="9" t="s">
        <v>2906</v>
      </c>
      <c r="H284" s="9" t="s">
        <v>38</v>
      </c>
      <c r="I284" s="9" t="s">
        <v>2907</v>
      </c>
      <c r="J284" s="9" t="s">
        <v>2908</v>
      </c>
      <c r="K284" s="9" t="s">
        <v>39</v>
      </c>
      <c r="L284" s="9" t="s">
        <v>40</v>
      </c>
      <c r="M284" s="9" t="s">
        <v>40</v>
      </c>
      <c r="P284" s="9" t="s">
        <v>2909</v>
      </c>
      <c r="Q284" s="9" t="s">
        <v>42</v>
      </c>
      <c r="R284" s="9">
        <v>3200.0</v>
      </c>
      <c r="S284" s="9">
        <v>0.0</v>
      </c>
      <c r="U284" s="9">
        <v>38400.0</v>
      </c>
      <c r="V284" s="9" t="s">
        <v>1656</v>
      </c>
      <c r="W284" s="9" t="s">
        <v>2910</v>
      </c>
      <c r="X284" s="9" t="s">
        <v>2544</v>
      </c>
      <c r="Y284" s="9" t="s">
        <v>89</v>
      </c>
      <c r="Z284" s="9" t="s">
        <v>60</v>
      </c>
      <c r="AA284" s="9" t="s">
        <v>611</v>
      </c>
      <c r="AC284" s="9">
        <v>7.0</v>
      </c>
      <c r="AD284" s="9" t="s">
        <v>1657</v>
      </c>
      <c r="AE284" s="9">
        <v>0.0</v>
      </c>
      <c r="AF284" s="9">
        <v>3200.0</v>
      </c>
      <c r="AG284" s="33"/>
    </row>
    <row r="285">
      <c r="A285" s="7">
        <v>44404.36686940972</v>
      </c>
      <c r="B285" s="9" t="s">
        <v>49</v>
      </c>
      <c r="C285" s="9">
        <v>30.0</v>
      </c>
      <c r="D285" s="9" t="s">
        <v>35</v>
      </c>
      <c r="E285" s="9" t="s">
        <v>36</v>
      </c>
      <c r="F285" s="9" t="s">
        <v>2544</v>
      </c>
      <c r="G285" s="9" t="s">
        <v>124</v>
      </c>
      <c r="H285" s="9" t="s">
        <v>38</v>
      </c>
      <c r="I285" s="9" t="s">
        <v>2725</v>
      </c>
      <c r="J285" s="9" t="s">
        <v>161</v>
      </c>
      <c r="K285" s="9" t="s">
        <v>39</v>
      </c>
      <c r="L285" s="9" t="s">
        <v>40</v>
      </c>
      <c r="M285" s="9" t="s">
        <v>40</v>
      </c>
      <c r="P285" s="9" t="s">
        <v>466</v>
      </c>
      <c r="Q285" s="9" t="s">
        <v>42</v>
      </c>
      <c r="R285" s="9">
        <v>6000.0</v>
      </c>
      <c r="S285" s="9">
        <v>18000.0</v>
      </c>
      <c r="T285" s="9">
        <v>0.0</v>
      </c>
      <c r="U285" s="9">
        <v>20.0</v>
      </c>
      <c r="V285" s="9" t="s">
        <v>1501</v>
      </c>
      <c r="W285" s="9" t="s">
        <v>1502</v>
      </c>
      <c r="X285" s="9" t="s">
        <v>122</v>
      </c>
      <c r="Y285" s="9" t="s">
        <v>347</v>
      </c>
      <c r="Z285" s="9" t="s">
        <v>81</v>
      </c>
      <c r="AA285" s="9" t="s">
        <v>133</v>
      </c>
      <c r="AC285" s="9">
        <v>10.0</v>
      </c>
      <c r="AD285" s="9">
        <v>2.0</v>
      </c>
      <c r="AE285" s="9">
        <v>3.0</v>
      </c>
      <c r="AF285" s="9">
        <v>3000.0</v>
      </c>
      <c r="AG285" s="33"/>
    </row>
    <row r="286">
      <c r="A286" s="7">
        <v>44404.37060542824</v>
      </c>
      <c r="B286" s="9" t="s">
        <v>49</v>
      </c>
      <c r="C286" s="9">
        <v>27.0</v>
      </c>
      <c r="D286" s="9" t="s">
        <v>35</v>
      </c>
      <c r="E286" s="9" t="s">
        <v>36</v>
      </c>
      <c r="F286" s="9" t="s">
        <v>124</v>
      </c>
      <c r="G286" s="9" t="s">
        <v>124</v>
      </c>
      <c r="H286" s="9" t="s">
        <v>38</v>
      </c>
      <c r="I286" s="9" t="s">
        <v>2368</v>
      </c>
      <c r="J286" s="9" t="s">
        <v>2389</v>
      </c>
      <c r="K286" s="9" t="s">
        <v>39</v>
      </c>
      <c r="L286" s="9" t="s">
        <v>40</v>
      </c>
      <c r="M286" s="9" t="s">
        <v>40</v>
      </c>
      <c r="P286" s="9" t="s">
        <v>2911</v>
      </c>
      <c r="Q286" s="9" t="s">
        <v>42</v>
      </c>
      <c r="R286" s="9">
        <v>10400.0</v>
      </c>
      <c r="S286" s="9">
        <v>0.0</v>
      </c>
      <c r="T286" s="9">
        <v>0.0</v>
      </c>
      <c r="U286" s="9">
        <v>15.0</v>
      </c>
      <c r="V286" s="9" t="s">
        <v>523</v>
      </c>
      <c r="W286" s="9" t="s">
        <v>1470</v>
      </c>
      <c r="X286" s="9" t="s">
        <v>58</v>
      </c>
      <c r="Y286" s="9" t="s">
        <v>350</v>
      </c>
      <c r="Z286" s="9" t="s">
        <v>132</v>
      </c>
      <c r="AA286" s="9" t="s">
        <v>91</v>
      </c>
      <c r="AC286" s="9">
        <v>7.0</v>
      </c>
      <c r="AD286" s="9">
        <v>5.5</v>
      </c>
      <c r="AE286" s="9">
        <v>0.0</v>
      </c>
      <c r="AF286" s="9">
        <v>3000.0</v>
      </c>
      <c r="AG286" s="33"/>
    </row>
    <row r="287">
      <c r="A287" s="7">
        <v>44404.37562841435</v>
      </c>
      <c r="B287" s="9" t="s">
        <v>49</v>
      </c>
      <c r="C287" s="9">
        <v>24.0</v>
      </c>
      <c r="D287" s="9" t="s">
        <v>35</v>
      </c>
      <c r="E287" s="9" t="s">
        <v>36</v>
      </c>
      <c r="F287" s="9" t="s">
        <v>50</v>
      </c>
      <c r="G287" s="9" t="s">
        <v>106</v>
      </c>
      <c r="H287" s="9" t="s">
        <v>38</v>
      </c>
      <c r="I287" s="9" t="s">
        <v>2368</v>
      </c>
      <c r="J287" s="9" t="s">
        <v>988</v>
      </c>
      <c r="K287" s="9" t="s">
        <v>39</v>
      </c>
      <c r="L287" s="9" t="s">
        <v>40</v>
      </c>
      <c r="M287" s="9" t="s">
        <v>40</v>
      </c>
      <c r="P287" s="9" t="s">
        <v>2912</v>
      </c>
      <c r="Q287" s="9" t="s">
        <v>42</v>
      </c>
      <c r="R287" s="9">
        <v>3500.0</v>
      </c>
      <c r="S287" s="9">
        <v>0.0</v>
      </c>
      <c r="T287" s="9">
        <v>0.0</v>
      </c>
      <c r="U287" s="9">
        <v>16.0</v>
      </c>
      <c r="V287" s="9" t="s">
        <v>989</v>
      </c>
      <c r="W287" s="9" t="s">
        <v>990</v>
      </c>
      <c r="X287" s="9" t="s">
        <v>58</v>
      </c>
      <c r="Y287" s="9" t="s">
        <v>116</v>
      </c>
      <c r="Z287" s="9" t="s">
        <v>47</v>
      </c>
      <c r="AA287" s="9" t="s">
        <v>48</v>
      </c>
      <c r="AC287" s="9">
        <v>10.0</v>
      </c>
      <c r="AD287" s="9" t="s">
        <v>991</v>
      </c>
      <c r="AE287" s="9">
        <v>1.0</v>
      </c>
      <c r="AF287" s="9">
        <v>2600.0</v>
      </c>
      <c r="AG287" s="33"/>
    </row>
    <row r="288">
      <c r="A288" s="7">
        <v>44404.38012673611</v>
      </c>
      <c r="B288" s="9" t="s">
        <v>49</v>
      </c>
      <c r="C288" s="9">
        <v>34.0</v>
      </c>
      <c r="D288" s="9" t="s">
        <v>35</v>
      </c>
      <c r="E288" s="9" t="s">
        <v>36</v>
      </c>
      <c r="F288" s="9" t="s">
        <v>2913</v>
      </c>
      <c r="G288" s="9" t="s">
        <v>2913</v>
      </c>
      <c r="H288" s="9" t="s">
        <v>247</v>
      </c>
      <c r="I288" s="9" t="s">
        <v>2914</v>
      </c>
      <c r="J288" s="9" t="s">
        <v>2675</v>
      </c>
      <c r="K288" s="9" t="s">
        <v>39</v>
      </c>
      <c r="L288" s="9" t="s">
        <v>40</v>
      </c>
      <c r="M288" s="9" t="s">
        <v>40</v>
      </c>
      <c r="P288" s="9" t="s">
        <v>377</v>
      </c>
      <c r="Q288" s="9" t="s">
        <v>2915</v>
      </c>
      <c r="R288" s="9">
        <v>13500.0</v>
      </c>
      <c r="S288" s="9">
        <v>15000.0</v>
      </c>
      <c r="U288" s="9">
        <v>18.0</v>
      </c>
      <c r="V288" s="9" t="s">
        <v>929</v>
      </c>
      <c r="W288" s="9" t="s">
        <v>930</v>
      </c>
      <c r="X288" s="9" t="s">
        <v>931</v>
      </c>
      <c r="Y288" s="9" t="s">
        <v>350</v>
      </c>
      <c r="Z288" s="9" t="s">
        <v>81</v>
      </c>
      <c r="AA288" s="9" t="s">
        <v>61</v>
      </c>
      <c r="AC288" s="9">
        <v>8.0</v>
      </c>
      <c r="AD288" s="9">
        <v>10.0</v>
      </c>
      <c r="AE288" s="9">
        <v>3.0</v>
      </c>
      <c r="AF288" s="9">
        <v>2500.0</v>
      </c>
      <c r="AG288" s="33"/>
    </row>
    <row r="289">
      <c r="A289" s="7">
        <v>44404.384602986116</v>
      </c>
      <c r="B289" s="9" t="s">
        <v>49</v>
      </c>
      <c r="C289" s="9">
        <v>24.0</v>
      </c>
      <c r="D289" s="9" t="s">
        <v>35</v>
      </c>
      <c r="E289" s="9" t="s">
        <v>36</v>
      </c>
      <c r="F289" s="9" t="s">
        <v>412</v>
      </c>
      <c r="G289" s="9" t="s">
        <v>633</v>
      </c>
      <c r="H289" s="9" t="s">
        <v>38</v>
      </c>
      <c r="I289" s="9" t="s">
        <v>2368</v>
      </c>
      <c r="J289" s="9" t="s">
        <v>2916</v>
      </c>
      <c r="K289" s="9" t="s">
        <v>39</v>
      </c>
      <c r="L289" s="9" t="s">
        <v>40</v>
      </c>
      <c r="M289" s="9" t="s">
        <v>40</v>
      </c>
      <c r="P289" s="9" t="s">
        <v>128</v>
      </c>
      <c r="Q289" s="9" t="s">
        <v>42</v>
      </c>
      <c r="R289" s="9">
        <v>2700.0</v>
      </c>
      <c r="S289" s="9">
        <v>0.0</v>
      </c>
      <c r="T289" s="9">
        <v>0.0</v>
      </c>
      <c r="U289" s="9">
        <v>12.0</v>
      </c>
      <c r="V289" s="9" t="s">
        <v>223</v>
      </c>
      <c r="W289" s="9" t="s">
        <v>224</v>
      </c>
      <c r="X289" s="9" t="s">
        <v>683</v>
      </c>
      <c r="Y289" s="9" t="s">
        <v>481</v>
      </c>
      <c r="Z289" s="9" t="s">
        <v>60</v>
      </c>
      <c r="AA289" s="9" t="s">
        <v>61</v>
      </c>
      <c r="AC289" s="9">
        <v>5.0</v>
      </c>
      <c r="AD289" s="9">
        <v>0.0</v>
      </c>
      <c r="AE289" s="9">
        <v>0.0</v>
      </c>
      <c r="AF289" s="9">
        <v>2700.0</v>
      </c>
      <c r="AG289" s="33"/>
    </row>
    <row r="290">
      <c r="A290" s="7">
        <v>44404.385308032404</v>
      </c>
      <c r="B290" s="9" t="s">
        <v>49</v>
      </c>
      <c r="C290" s="9">
        <v>32.0</v>
      </c>
      <c r="D290" s="9" t="s">
        <v>35</v>
      </c>
      <c r="E290" s="9" t="s">
        <v>36</v>
      </c>
      <c r="F290" s="9" t="s">
        <v>50</v>
      </c>
      <c r="G290" s="9" t="s">
        <v>2917</v>
      </c>
      <c r="H290" s="9" t="s">
        <v>247</v>
      </c>
      <c r="I290" s="9" t="s">
        <v>2918</v>
      </c>
      <c r="J290" s="9" t="s">
        <v>2919</v>
      </c>
      <c r="K290" s="9" t="s">
        <v>40</v>
      </c>
      <c r="L290" s="9" t="s">
        <v>39</v>
      </c>
      <c r="M290" s="9" t="s">
        <v>40</v>
      </c>
      <c r="N290" s="9" t="s">
        <v>1508</v>
      </c>
      <c r="P290" s="9" t="s">
        <v>2403</v>
      </c>
      <c r="Q290" s="9" t="s">
        <v>42</v>
      </c>
      <c r="R290" s="9">
        <v>6000.0</v>
      </c>
      <c r="U290" s="9">
        <v>20.0</v>
      </c>
      <c r="V290" s="9" t="s">
        <v>433</v>
      </c>
      <c r="W290" s="9" t="s">
        <v>1509</v>
      </c>
      <c r="X290" s="9" t="s">
        <v>1510</v>
      </c>
      <c r="Y290" s="9" t="s">
        <v>350</v>
      </c>
      <c r="Z290" s="9" t="s">
        <v>71</v>
      </c>
      <c r="AA290" s="9" t="s">
        <v>61</v>
      </c>
      <c r="AC290" s="9">
        <v>8.0</v>
      </c>
      <c r="AD290" s="9">
        <v>7.0</v>
      </c>
      <c r="AE290" s="9">
        <v>7.0</v>
      </c>
      <c r="AF290" s="9">
        <v>3000.0</v>
      </c>
      <c r="AG290" s="33"/>
    </row>
    <row r="291">
      <c r="A291" s="7">
        <v>44404.38649429398</v>
      </c>
      <c r="B291" s="9" t="s">
        <v>49</v>
      </c>
      <c r="C291" s="9">
        <v>26.0</v>
      </c>
      <c r="D291" s="9" t="s">
        <v>35</v>
      </c>
      <c r="E291" s="9" t="s">
        <v>36</v>
      </c>
      <c r="F291" s="9" t="s">
        <v>124</v>
      </c>
      <c r="G291" s="9" t="s">
        <v>124</v>
      </c>
      <c r="H291" s="9" t="s">
        <v>302</v>
      </c>
      <c r="I291" s="9" t="s">
        <v>2920</v>
      </c>
      <c r="J291" s="9" t="s">
        <v>2921</v>
      </c>
      <c r="K291" s="9" t="s">
        <v>40</v>
      </c>
      <c r="L291" s="9" t="s">
        <v>39</v>
      </c>
      <c r="M291" s="9" t="s">
        <v>40</v>
      </c>
      <c r="N291" s="9" t="s">
        <v>642</v>
      </c>
      <c r="P291" s="9" t="s">
        <v>2479</v>
      </c>
      <c r="Q291" s="9" t="s">
        <v>42</v>
      </c>
      <c r="R291" s="9">
        <v>4725.0</v>
      </c>
      <c r="S291" s="9">
        <v>0.0</v>
      </c>
      <c r="U291" s="9">
        <v>17.0</v>
      </c>
      <c r="V291" s="9" t="s">
        <v>265</v>
      </c>
      <c r="W291" s="9" t="s">
        <v>643</v>
      </c>
      <c r="X291" s="9" t="s">
        <v>2466</v>
      </c>
      <c r="Y291" s="9" t="s">
        <v>116</v>
      </c>
      <c r="Z291" s="9" t="s">
        <v>132</v>
      </c>
      <c r="AA291" s="9" t="s">
        <v>61</v>
      </c>
      <c r="AC291" s="9">
        <v>9.0</v>
      </c>
      <c r="AD291" s="9">
        <v>4.0</v>
      </c>
      <c r="AE291" s="9">
        <v>0.0</v>
      </c>
      <c r="AF291" s="9">
        <v>2000.0</v>
      </c>
      <c r="AG291" s="33"/>
    </row>
    <row r="292">
      <c r="A292" s="7">
        <v>44404.392980289354</v>
      </c>
      <c r="B292" s="9" t="s">
        <v>73</v>
      </c>
      <c r="C292" s="9">
        <v>15.0</v>
      </c>
      <c r="D292" s="9" t="s">
        <v>35</v>
      </c>
      <c r="E292" s="9" t="s">
        <v>36</v>
      </c>
      <c r="F292" s="9" t="s">
        <v>349</v>
      </c>
      <c r="G292" s="9" t="s">
        <v>349</v>
      </c>
      <c r="H292" s="9" t="s">
        <v>2300</v>
      </c>
      <c r="K292" s="9" t="s">
        <v>40</v>
      </c>
      <c r="L292" s="9" t="s">
        <v>40</v>
      </c>
      <c r="M292" s="9" t="s">
        <v>40</v>
      </c>
      <c r="P292" s="9" t="s">
        <v>2922</v>
      </c>
      <c r="Q292" s="9" t="s">
        <v>42</v>
      </c>
      <c r="R292" s="9">
        <v>9200000.0</v>
      </c>
      <c r="U292" s="9">
        <v>12.0</v>
      </c>
      <c r="V292" s="9" t="s">
        <v>2301</v>
      </c>
      <c r="W292" s="9" t="s">
        <v>1219</v>
      </c>
      <c r="X292" s="9" t="s">
        <v>1093</v>
      </c>
      <c r="Y292" s="9" t="s">
        <v>228</v>
      </c>
      <c r="Z292" s="9" t="s">
        <v>71</v>
      </c>
      <c r="AA292" s="9" t="s">
        <v>91</v>
      </c>
      <c r="AC292" s="9">
        <v>10.0</v>
      </c>
      <c r="AD292" s="9">
        <v>2.0</v>
      </c>
      <c r="AE292" s="9">
        <v>0.0</v>
      </c>
      <c r="AF292" s="9">
        <v>10000.0</v>
      </c>
      <c r="AG292" s="33"/>
    </row>
    <row r="293">
      <c r="A293" s="7">
        <v>44404.39360471065</v>
      </c>
      <c r="B293" s="9" t="s">
        <v>49</v>
      </c>
      <c r="C293" s="9">
        <v>28.0</v>
      </c>
      <c r="D293" s="9" t="s">
        <v>35</v>
      </c>
      <c r="E293" s="9" t="s">
        <v>36</v>
      </c>
      <c r="F293" s="9" t="s">
        <v>2923</v>
      </c>
      <c r="G293" s="9" t="s">
        <v>2923</v>
      </c>
      <c r="H293" s="9" t="s">
        <v>38</v>
      </c>
      <c r="I293" s="9" t="s">
        <v>2368</v>
      </c>
      <c r="J293" s="9" t="s">
        <v>2583</v>
      </c>
      <c r="K293" s="9" t="s">
        <v>39</v>
      </c>
      <c r="L293" s="9" t="s">
        <v>40</v>
      </c>
      <c r="M293" s="9" t="s">
        <v>40</v>
      </c>
      <c r="P293" s="9" t="s">
        <v>1977</v>
      </c>
      <c r="Q293" s="9" t="s">
        <v>42</v>
      </c>
      <c r="R293" s="9">
        <v>12000.0</v>
      </c>
      <c r="S293" s="9">
        <v>0.0</v>
      </c>
      <c r="T293" s="9">
        <v>0.0</v>
      </c>
      <c r="U293" s="9">
        <v>20.0</v>
      </c>
      <c r="V293" s="9" t="s">
        <v>1978</v>
      </c>
      <c r="W293" s="9" t="s">
        <v>1979</v>
      </c>
      <c r="X293" s="9" t="s">
        <v>99</v>
      </c>
      <c r="Y293" s="9" t="s">
        <v>197</v>
      </c>
      <c r="Z293" s="9" t="s">
        <v>132</v>
      </c>
      <c r="AA293" s="9" t="s">
        <v>91</v>
      </c>
      <c r="AC293" s="9">
        <v>7.0</v>
      </c>
      <c r="AD293" s="9">
        <v>5.0</v>
      </c>
      <c r="AE293" s="9">
        <v>4.0</v>
      </c>
      <c r="AF293" s="9">
        <v>3800.0</v>
      </c>
      <c r="AG293" s="33"/>
    </row>
    <row r="294">
      <c r="A294" s="7">
        <v>44404.39564315972</v>
      </c>
      <c r="B294" s="9" t="s">
        <v>49</v>
      </c>
      <c r="C294" s="9">
        <v>33.0</v>
      </c>
      <c r="D294" s="9" t="s">
        <v>35</v>
      </c>
      <c r="E294" s="9" t="s">
        <v>36</v>
      </c>
      <c r="F294" s="9" t="s">
        <v>37</v>
      </c>
      <c r="G294" s="9" t="s">
        <v>37</v>
      </c>
      <c r="H294" s="9" t="s">
        <v>38</v>
      </c>
      <c r="I294" s="9" t="s">
        <v>2336</v>
      </c>
      <c r="J294" s="9" t="s">
        <v>2143</v>
      </c>
      <c r="K294" s="9" t="s">
        <v>40</v>
      </c>
      <c r="L294" s="9" t="s">
        <v>40</v>
      </c>
      <c r="M294" s="9" t="s">
        <v>40</v>
      </c>
      <c r="P294" s="9" t="s">
        <v>128</v>
      </c>
      <c r="Q294" s="9" t="s">
        <v>42</v>
      </c>
      <c r="R294" s="9">
        <v>30000.0</v>
      </c>
      <c r="S294" s="9">
        <v>20000.0</v>
      </c>
      <c r="T294" s="9">
        <v>0.0</v>
      </c>
      <c r="U294" s="9">
        <v>30.0</v>
      </c>
      <c r="V294" s="9" t="s">
        <v>2337</v>
      </c>
      <c r="W294" s="9" t="s">
        <v>2338</v>
      </c>
      <c r="X294" s="9" t="s">
        <v>2339</v>
      </c>
      <c r="Y294" s="9" t="s">
        <v>423</v>
      </c>
      <c r="Z294" s="9" t="s">
        <v>132</v>
      </c>
      <c r="AA294" s="9" t="s">
        <v>91</v>
      </c>
      <c r="AC294" s="9">
        <v>9.0</v>
      </c>
      <c r="AD294" s="9">
        <v>8.0</v>
      </c>
      <c r="AE294" s="9">
        <v>1.0</v>
      </c>
      <c r="AF294" s="9">
        <v>20000.0</v>
      </c>
      <c r="AG294" s="33"/>
    </row>
    <row r="295">
      <c r="A295" s="7">
        <v>44404.39964428241</v>
      </c>
      <c r="B295" s="9" t="s">
        <v>49</v>
      </c>
      <c r="C295" s="9">
        <v>24.0</v>
      </c>
      <c r="D295" s="9" t="s">
        <v>35</v>
      </c>
      <c r="E295" s="9" t="s">
        <v>36</v>
      </c>
      <c r="F295" s="9" t="s">
        <v>50</v>
      </c>
      <c r="G295" s="9" t="s">
        <v>106</v>
      </c>
      <c r="H295" s="9" t="s">
        <v>38</v>
      </c>
      <c r="I295" s="9" t="s">
        <v>2388</v>
      </c>
      <c r="J295" s="9" t="s">
        <v>322</v>
      </c>
      <c r="K295" s="9" t="s">
        <v>39</v>
      </c>
      <c r="L295" s="9" t="s">
        <v>40</v>
      </c>
      <c r="M295" s="9" t="s">
        <v>40</v>
      </c>
      <c r="P295" s="9" t="s">
        <v>128</v>
      </c>
      <c r="Q295" s="9" t="s">
        <v>42</v>
      </c>
      <c r="R295" s="9">
        <v>1300.0</v>
      </c>
      <c r="S295" s="9">
        <v>0.0</v>
      </c>
      <c r="T295" s="9">
        <v>0.0</v>
      </c>
      <c r="U295" s="9">
        <v>4.0</v>
      </c>
      <c r="V295" s="9" t="s">
        <v>323</v>
      </c>
      <c r="W295" s="9" t="s">
        <v>2924</v>
      </c>
      <c r="X295" s="9" t="s">
        <v>2925</v>
      </c>
      <c r="Y295" s="9" t="s">
        <v>59</v>
      </c>
      <c r="Z295" s="9" t="s">
        <v>60</v>
      </c>
      <c r="AA295" s="9" t="s">
        <v>61</v>
      </c>
      <c r="AC295" s="9">
        <v>5.0</v>
      </c>
      <c r="AD295" s="9">
        <v>0.5</v>
      </c>
      <c r="AE295" s="9">
        <v>0.0</v>
      </c>
      <c r="AF295" s="9">
        <v>1300.0</v>
      </c>
      <c r="AG295" s="33"/>
    </row>
    <row r="296">
      <c r="A296" s="7">
        <v>44404.405199664354</v>
      </c>
      <c r="B296" s="9" t="s">
        <v>73</v>
      </c>
      <c r="C296" s="9">
        <v>24.0</v>
      </c>
      <c r="D296" s="9" t="s">
        <v>35</v>
      </c>
      <c r="E296" s="9" t="s">
        <v>36</v>
      </c>
      <c r="F296" s="9" t="s">
        <v>50</v>
      </c>
      <c r="G296" s="9" t="s">
        <v>106</v>
      </c>
      <c r="H296" s="9" t="s">
        <v>38</v>
      </c>
      <c r="I296" s="9" t="s">
        <v>2368</v>
      </c>
      <c r="J296" s="9" t="s">
        <v>2926</v>
      </c>
      <c r="K296" s="9" t="s">
        <v>39</v>
      </c>
      <c r="L296" s="9" t="s">
        <v>40</v>
      </c>
      <c r="M296" s="9" t="s">
        <v>40</v>
      </c>
      <c r="P296" s="9" t="s">
        <v>2538</v>
      </c>
      <c r="Q296" s="9" t="s">
        <v>42</v>
      </c>
      <c r="R296" s="9">
        <v>3700.0</v>
      </c>
      <c r="S296" s="9">
        <v>0.0</v>
      </c>
      <c r="T296" s="9">
        <v>0.0</v>
      </c>
      <c r="U296" s="9">
        <v>14.0</v>
      </c>
      <c r="V296" s="9" t="s">
        <v>1055</v>
      </c>
      <c r="W296" s="9" t="s">
        <v>1056</v>
      </c>
      <c r="X296" s="9" t="s">
        <v>58</v>
      </c>
      <c r="Y296" s="9" t="s">
        <v>1057</v>
      </c>
      <c r="Z296" s="9" t="s">
        <v>71</v>
      </c>
      <c r="AA296" s="9" t="s">
        <v>61</v>
      </c>
      <c r="AC296" s="9">
        <v>6.0</v>
      </c>
      <c r="AD296" s="9">
        <v>2.0</v>
      </c>
      <c r="AE296" s="9">
        <v>1.0</v>
      </c>
      <c r="AF296" s="9">
        <v>2750.0</v>
      </c>
      <c r="AG296" s="33"/>
    </row>
    <row r="297">
      <c r="A297" s="7">
        <v>44404.40723725695</v>
      </c>
      <c r="B297" s="9" t="s">
        <v>73</v>
      </c>
      <c r="C297" s="9">
        <v>31.0</v>
      </c>
      <c r="D297" s="9" t="s">
        <v>35</v>
      </c>
      <c r="E297" s="9" t="s">
        <v>36</v>
      </c>
      <c r="F297" s="9" t="s">
        <v>50</v>
      </c>
      <c r="G297" s="9" t="s">
        <v>106</v>
      </c>
      <c r="H297" s="9" t="s">
        <v>247</v>
      </c>
      <c r="I297" s="9" t="s">
        <v>2927</v>
      </c>
      <c r="J297" s="9" t="s">
        <v>2149</v>
      </c>
      <c r="K297" s="9" t="s">
        <v>40</v>
      </c>
      <c r="L297" s="9" t="s">
        <v>39</v>
      </c>
      <c r="M297" s="9" t="s">
        <v>40</v>
      </c>
      <c r="N297" s="9" t="s">
        <v>2150</v>
      </c>
      <c r="P297" s="9" t="s">
        <v>2928</v>
      </c>
      <c r="Q297" s="9" t="s">
        <v>42</v>
      </c>
      <c r="R297" s="9">
        <v>13000.0</v>
      </c>
      <c r="S297" s="9">
        <v>0.0</v>
      </c>
      <c r="T297" s="9">
        <v>0.0</v>
      </c>
      <c r="U297" s="9">
        <v>100.0</v>
      </c>
      <c r="V297" s="9" t="s">
        <v>2151</v>
      </c>
      <c r="W297" s="9" t="s">
        <v>549</v>
      </c>
      <c r="X297" s="9" t="s">
        <v>122</v>
      </c>
      <c r="Y297" s="9" t="s">
        <v>59</v>
      </c>
      <c r="Z297" s="9" t="s">
        <v>60</v>
      </c>
      <c r="AA297" s="9" t="s">
        <v>133</v>
      </c>
      <c r="AB297" s="9" t="s">
        <v>588</v>
      </c>
      <c r="AC297" s="9">
        <v>7.0</v>
      </c>
      <c r="AD297" s="9">
        <v>6.0</v>
      </c>
      <c r="AE297" s="9">
        <v>4.0</v>
      </c>
      <c r="AF297" s="9">
        <v>4800.0</v>
      </c>
      <c r="AG297" s="33"/>
    </row>
    <row r="298">
      <c r="A298" s="7">
        <v>44404.416745486116</v>
      </c>
      <c r="B298" s="9" t="s">
        <v>49</v>
      </c>
      <c r="C298" s="9">
        <v>24.0</v>
      </c>
      <c r="D298" s="9" t="s">
        <v>35</v>
      </c>
      <c r="E298" s="9" t="s">
        <v>36</v>
      </c>
      <c r="F298" s="9" t="s">
        <v>124</v>
      </c>
      <c r="G298" s="9" t="s">
        <v>124</v>
      </c>
      <c r="H298" s="9" t="s">
        <v>38</v>
      </c>
      <c r="I298" s="9" t="s">
        <v>2368</v>
      </c>
      <c r="J298" s="9" t="s">
        <v>2381</v>
      </c>
      <c r="K298" s="9" t="s">
        <v>39</v>
      </c>
      <c r="L298" s="9" t="s">
        <v>40</v>
      </c>
      <c r="M298" s="9" t="s">
        <v>40</v>
      </c>
      <c r="P298" s="9" t="s">
        <v>2265</v>
      </c>
      <c r="Q298" s="9" t="s">
        <v>42</v>
      </c>
      <c r="R298" s="9">
        <v>7200.0</v>
      </c>
      <c r="S298" s="9">
        <v>0.0</v>
      </c>
      <c r="T298" s="9">
        <v>0.0</v>
      </c>
      <c r="U298" s="9">
        <v>12.0</v>
      </c>
      <c r="V298" s="9" t="s">
        <v>2266</v>
      </c>
      <c r="W298" s="9" t="s">
        <v>2267</v>
      </c>
      <c r="X298" s="9" t="s">
        <v>2163</v>
      </c>
      <c r="Y298" s="9" t="s">
        <v>59</v>
      </c>
      <c r="Z298" s="9" t="s">
        <v>60</v>
      </c>
      <c r="AA298" s="9" t="s">
        <v>133</v>
      </c>
      <c r="AC298" s="9">
        <v>7.0</v>
      </c>
      <c r="AD298" s="9">
        <v>2.0</v>
      </c>
      <c r="AE298" s="9">
        <v>1.0</v>
      </c>
      <c r="AF298" s="9">
        <v>7200.0</v>
      </c>
      <c r="AG298" s="33"/>
    </row>
    <row r="299">
      <c r="A299" s="7">
        <v>44404.4244090625</v>
      </c>
      <c r="B299" s="9" t="s">
        <v>49</v>
      </c>
      <c r="C299" s="9">
        <v>38.0</v>
      </c>
      <c r="D299" s="9" t="s">
        <v>35</v>
      </c>
      <c r="E299" s="9" t="s">
        <v>36</v>
      </c>
      <c r="F299" s="9" t="s">
        <v>50</v>
      </c>
      <c r="G299" s="9" t="s">
        <v>539</v>
      </c>
      <c r="H299" s="9" t="s">
        <v>247</v>
      </c>
      <c r="I299" s="9" t="s">
        <v>2929</v>
      </c>
      <c r="J299" s="9" t="s">
        <v>134</v>
      </c>
      <c r="K299" s="9" t="s">
        <v>39</v>
      </c>
      <c r="L299" s="9" t="s">
        <v>40</v>
      </c>
      <c r="M299" s="9" t="s">
        <v>40</v>
      </c>
      <c r="P299" s="9" t="s">
        <v>2930</v>
      </c>
      <c r="Q299" s="9" t="s">
        <v>42</v>
      </c>
      <c r="R299" s="9">
        <v>26500.0</v>
      </c>
      <c r="S299" s="9">
        <v>70000.0</v>
      </c>
      <c r="U299" s="9">
        <v>24.0</v>
      </c>
      <c r="V299" s="9" t="s">
        <v>757</v>
      </c>
      <c r="W299" s="9" t="s">
        <v>758</v>
      </c>
      <c r="X299" s="9" t="s">
        <v>759</v>
      </c>
      <c r="Y299" s="9" t="s">
        <v>59</v>
      </c>
      <c r="Z299" s="9" t="s">
        <v>81</v>
      </c>
      <c r="AA299" s="9" t="s">
        <v>61</v>
      </c>
      <c r="AB299" s="9" t="s">
        <v>760</v>
      </c>
      <c r="AC299" s="9">
        <v>7.0</v>
      </c>
      <c r="AD299" s="9">
        <v>13.0</v>
      </c>
      <c r="AE299" s="9">
        <v>4.0</v>
      </c>
      <c r="AF299" s="9">
        <v>2400.0</v>
      </c>
      <c r="AG299" s="33"/>
    </row>
    <row r="300">
      <c r="A300" s="7">
        <v>44404.42671783565</v>
      </c>
      <c r="B300" s="9" t="s">
        <v>49</v>
      </c>
      <c r="C300" s="9">
        <v>26.0</v>
      </c>
      <c r="D300" s="9" t="s">
        <v>35</v>
      </c>
      <c r="E300" s="9" t="s">
        <v>36</v>
      </c>
      <c r="F300" s="9" t="s">
        <v>363</v>
      </c>
      <c r="G300" s="9" t="s">
        <v>527</v>
      </c>
      <c r="H300" s="9" t="s">
        <v>38</v>
      </c>
      <c r="I300" s="9" t="s">
        <v>2931</v>
      </c>
      <c r="J300" s="9" t="s">
        <v>2385</v>
      </c>
      <c r="K300" s="9" t="s">
        <v>39</v>
      </c>
      <c r="L300" s="9" t="s">
        <v>40</v>
      </c>
      <c r="M300" s="9" t="s">
        <v>40</v>
      </c>
      <c r="P300" s="9" t="s">
        <v>128</v>
      </c>
      <c r="Q300" s="9" t="s">
        <v>2521</v>
      </c>
      <c r="R300" s="9">
        <v>3750.0</v>
      </c>
      <c r="S300" s="9">
        <v>5500.0</v>
      </c>
      <c r="T300" s="9">
        <v>0.0</v>
      </c>
      <c r="U300" s="9">
        <v>15.0</v>
      </c>
      <c r="V300" s="9" t="s">
        <v>1732</v>
      </c>
      <c r="W300" s="9" t="s">
        <v>1733</v>
      </c>
      <c r="X300" s="9" t="s">
        <v>79</v>
      </c>
      <c r="Y300" s="9" t="s">
        <v>2932</v>
      </c>
      <c r="Z300" s="9" t="s">
        <v>60</v>
      </c>
      <c r="AA300" s="9" t="s">
        <v>61</v>
      </c>
      <c r="AC300" s="9">
        <v>6.0</v>
      </c>
      <c r="AD300" s="9">
        <v>2.0</v>
      </c>
      <c r="AE300" s="9">
        <v>0.0</v>
      </c>
      <c r="AF300" s="9">
        <v>3300.0</v>
      </c>
      <c r="AG300" s="33"/>
    </row>
    <row r="301">
      <c r="A301" s="7">
        <v>44404.444760196755</v>
      </c>
      <c r="B301" s="9" t="s">
        <v>49</v>
      </c>
      <c r="C301" s="9">
        <v>36.0</v>
      </c>
      <c r="D301" s="9" t="s">
        <v>35</v>
      </c>
      <c r="E301" s="9" t="s">
        <v>36</v>
      </c>
      <c r="F301" s="9" t="s">
        <v>474</v>
      </c>
      <c r="G301" s="9" t="s">
        <v>474</v>
      </c>
      <c r="H301" s="9" t="s">
        <v>38</v>
      </c>
      <c r="K301" s="9" t="s">
        <v>39</v>
      </c>
      <c r="L301" s="9" t="s">
        <v>40</v>
      </c>
      <c r="M301" s="9" t="s">
        <v>40</v>
      </c>
      <c r="P301" s="9" t="s">
        <v>2933</v>
      </c>
      <c r="Q301" s="9" t="s">
        <v>2934</v>
      </c>
      <c r="R301" s="9">
        <v>12000.0</v>
      </c>
      <c r="U301" s="9">
        <v>14.0</v>
      </c>
      <c r="V301" s="9" t="s">
        <v>751</v>
      </c>
      <c r="W301" s="9" t="s">
        <v>752</v>
      </c>
      <c r="X301" s="9" t="s">
        <v>474</v>
      </c>
      <c r="Y301" s="9" t="s">
        <v>155</v>
      </c>
      <c r="Z301" s="9" t="s">
        <v>60</v>
      </c>
      <c r="AA301" s="9" t="s">
        <v>61</v>
      </c>
      <c r="AC301" s="9">
        <v>10.0</v>
      </c>
      <c r="AD301" s="9">
        <v>8.0</v>
      </c>
      <c r="AE301" s="9">
        <v>3.0</v>
      </c>
      <c r="AF301" s="9">
        <v>2400.0</v>
      </c>
      <c r="AG301" s="33"/>
    </row>
    <row r="302">
      <c r="A302" s="7">
        <v>44404.44738989584</v>
      </c>
      <c r="B302" s="9" t="s">
        <v>49</v>
      </c>
      <c r="C302" s="9">
        <v>25.0</v>
      </c>
      <c r="D302" s="9" t="s">
        <v>35</v>
      </c>
      <c r="E302" s="9" t="s">
        <v>36</v>
      </c>
      <c r="F302" s="9" t="s">
        <v>2935</v>
      </c>
      <c r="G302" s="9" t="s">
        <v>2936</v>
      </c>
      <c r="H302" s="9" t="s">
        <v>38</v>
      </c>
      <c r="I302" s="9" t="s">
        <v>2689</v>
      </c>
      <c r="J302" s="9" t="s">
        <v>2937</v>
      </c>
      <c r="K302" s="9" t="s">
        <v>39</v>
      </c>
      <c r="L302" s="9" t="s">
        <v>40</v>
      </c>
      <c r="M302" s="9" t="s">
        <v>39</v>
      </c>
      <c r="O302" s="9" t="s">
        <v>398</v>
      </c>
      <c r="P302" s="9" t="s">
        <v>2938</v>
      </c>
      <c r="Q302" s="9" t="s">
        <v>42</v>
      </c>
      <c r="R302" s="9">
        <v>4200.0</v>
      </c>
      <c r="S302" s="9">
        <v>0.0</v>
      </c>
      <c r="T302" s="9">
        <v>0.0</v>
      </c>
      <c r="U302" s="9">
        <v>14.0</v>
      </c>
      <c r="V302" s="9" t="s">
        <v>1578</v>
      </c>
      <c r="W302" s="9" t="s">
        <v>1579</v>
      </c>
      <c r="X302" s="9" t="s">
        <v>1129</v>
      </c>
      <c r="Y302" s="9" t="s">
        <v>159</v>
      </c>
      <c r="Z302" s="9" t="s">
        <v>60</v>
      </c>
      <c r="AA302" s="9" t="s">
        <v>91</v>
      </c>
      <c r="AB302" s="9" t="s">
        <v>1580</v>
      </c>
      <c r="AC302" s="9">
        <v>7.0</v>
      </c>
      <c r="AD302" s="9">
        <v>1.0</v>
      </c>
      <c r="AE302" s="9">
        <v>0.0</v>
      </c>
      <c r="AF302" s="9">
        <v>3150.0</v>
      </c>
      <c r="AG302" s="33"/>
    </row>
    <row r="303">
      <c r="A303" s="7">
        <v>44404.44910563657</v>
      </c>
      <c r="B303" s="9" t="s">
        <v>49</v>
      </c>
      <c r="C303" s="9">
        <v>21.0</v>
      </c>
      <c r="D303" s="9" t="s">
        <v>35</v>
      </c>
      <c r="E303" s="9" t="s">
        <v>36</v>
      </c>
      <c r="H303" s="9" t="s">
        <v>38</v>
      </c>
      <c r="K303" s="9" t="s">
        <v>39</v>
      </c>
      <c r="L303" s="9" t="s">
        <v>40</v>
      </c>
      <c r="M303" s="9" t="s">
        <v>40</v>
      </c>
      <c r="P303" s="9" t="s">
        <v>2939</v>
      </c>
      <c r="Q303" s="9" t="s">
        <v>42</v>
      </c>
      <c r="R303" s="9">
        <v>500.0</v>
      </c>
      <c r="S303" s="9">
        <v>0.0</v>
      </c>
      <c r="U303" s="9">
        <v>0.0</v>
      </c>
      <c r="V303" s="9" t="s">
        <v>67</v>
      </c>
      <c r="W303" s="9" t="s">
        <v>373</v>
      </c>
      <c r="X303" s="9" t="s">
        <v>122</v>
      </c>
      <c r="Y303" s="9" t="s">
        <v>59</v>
      </c>
      <c r="Z303" s="9" t="s">
        <v>132</v>
      </c>
      <c r="AA303" s="9" t="s">
        <v>91</v>
      </c>
      <c r="AB303" s="9" t="s">
        <v>374</v>
      </c>
      <c r="AC303" s="9">
        <v>5.0</v>
      </c>
      <c r="AD303" s="9">
        <v>0.0</v>
      </c>
      <c r="AE303" s="9">
        <v>2.0</v>
      </c>
      <c r="AF303" s="9">
        <v>1500.0</v>
      </c>
      <c r="AG303" s="33"/>
    </row>
    <row r="304">
      <c r="A304" s="7">
        <v>44404.45557056713</v>
      </c>
      <c r="B304" s="9" t="s">
        <v>49</v>
      </c>
      <c r="C304" s="9">
        <v>23.0</v>
      </c>
      <c r="D304" s="9" t="s">
        <v>35</v>
      </c>
      <c r="E304" s="9" t="s">
        <v>36</v>
      </c>
      <c r="F304" s="9" t="s">
        <v>2940</v>
      </c>
      <c r="G304" s="9" t="s">
        <v>2941</v>
      </c>
      <c r="H304" s="9" t="s">
        <v>247</v>
      </c>
      <c r="I304" s="9" t="s">
        <v>2942</v>
      </c>
      <c r="J304" s="9" t="s">
        <v>2366</v>
      </c>
      <c r="K304" s="9" t="s">
        <v>39</v>
      </c>
      <c r="L304" s="9" t="s">
        <v>40</v>
      </c>
      <c r="M304" s="9" t="s">
        <v>40</v>
      </c>
      <c r="P304" s="9" t="s">
        <v>2943</v>
      </c>
      <c r="Q304" s="9" t="s">
        <v>42</v>
      </c>
      <c r="R304" s="9">
        <v>3400.0</v>
      </c>
      <c r="S304" s="9">
        <v>500.0</v>
      </c>
      <c r="U304" s="9">
        <v>20.0</v>
      </c>
      <c r="V304" s="9" t="s">
        <v>1644</v>
      </c>
      <c r="W304" s="9" t="s">
        <v>224</v>
      </c>
      <c r="X304" s="9" t="s">
        <v>58</v>
      </c>
      <c r="Y304" s="9" t="s">
        <v>59</v>
      </c>
      <c r="Z304" s="9" t="s">
        <v>132</v>
      </c>
      <c r="AA304" s="9" t="s">
        <v>91</v>
      </c>
      <c r="AC304" s="9">
        <v>7.0</v>
      </c>
      <c r="AD304" s="9">
        <v>1.5</v>
      </c>
      <c r="AE304" s="9">
        <v>1.0</v>
      </c>
      <c r="AF304" s="9">
        <v>3200.0</v>
      </c>
      <c r="AG304" s="33"/>
    </row>
    <row r="305">
      <c r="A305" s="7">
        <v>44404.456817893515</v>
      </c>
      <c r="B305" s="9" t="s">
        <v>73</v>
      </c>
      <c r="C305" s="9">
        <v>25.0</v>
      </c>
      <c r="D305" s="9" t="s">
        <v>35</v>
      </c>
      <c r="E305" s="9" t="s">
        <v>36</v>
      </c>
      <c r="F305" s="9" t="s">
        <v>186</v>
      </c>
      <c r="G305" s="9" t="s">
        <v>1036</v>
      </c>
      <c r="H305" s="9" t="s">
        <v>38</v>
      </c>
      <c r="I305" s="9" t="s">
        <v>2944</v>
      </c>
      <c r="J305" s="9" t="s">
        <v>2421</v>
      </c>
      <c r="K305" s="9" t="s">
        <v>39</v>
      </c>
      <c r="L305" s="9" t="s">
        <v>40</v>
      </c>
      <c r="M305" s="9" t="s">
        <v>40</v>
      </c>
      <c r="P305" s="9" t="s">
        <v>2438</v>
      </c>
      <c r="Q305" s="9" t="s">
        <v>42</v>
      </c>
      <c r="R305" s="9">
        <v>2700.0</v>
      </c>
      <c r="S305" s="9">
        <v>0.0</v>
      </c>
      <c r="T305" s="9">
        <v>0.0</v>
      </c>
      <c r="U305" s="9">
        <v>15.0</v>
      </c>
      <c r="V305" s="9" t="s">
        <v>1037</v>
      </c>
      <c r="W305" s="9" t="s">
        <v>1038</v>
      </c>
      <c r="X305" s="9" t="s">
        <v>106</v>
      </c>
      <c r="Y305" s="9" t="s">
        <v>297</v>
      </c>
      <c r="Z305" s="9" t="s">
        <v>132</v>
      </c>
      <c r="AA305" s="9" t="s">
        <v>61</v>
      </c>
      <c r="AC305" s="9">
        <v>6.0</v>
      </c>
      <c r="AD305" s="9">
        <v>1.0</v>
      </c>
      <c r="AE305" s="9">
        <v>1.0</v>
      </c>
      <c r="AF305" s="9">
        <v>2700.0</v>
      </c>
      <c r="AG305" s="33"/>
    </row>
    <row r="306">
      <c r="A306" s="7">
        <v>44404.45699359954</v>
      </c>
      <c r="B306" s="9" t="s">
        <v>49</v>
      </c>
      <c r="C306" s="9">
        <v>31.0</v>
      </c>
      <c r="D306" s="9" t="s">
        <v>35</v>
      </c>
      <c r="E306" s="9" t="s">
        <v>36</v>
      </c>
      <c r="F306" s="9" t="s">
        <v>124</v>
      </c>
      <c r="G306" s="9" t="s">
        <v>124</v>
      </c>
      <c r="H306" s="9" t="s">
        <v>247</v>
      </c>
      <c r="I306" s="9" t="s">
        <v>2945</v>
      </c>
      <c r="J306" s="9" t="s">
        <v>981</v>
      </c>
      <c r="K306" s="9" t="s">
        <v>39</v>
      </c>
      <c r="L306" s="9" t="s">
        <v>40</v>
      </c>
      <c r="M306" s="9" t="s">
        <v>39</v>
      </c>
      <c r="O306" s="9" t="s">
        <v>982</v>
      </c>
      <c r="P306" s="9" t="s">
        <v>119</v>
      </c>
      <c r="Q306" s="9" t="s">
        <v>42</v>
      </c>
      <c r="R306" s="9">
        <v>6000.0</v>
      </c>
      <c r="S306" s="9">
        <v>12500.0</v>
      </c>
      <c r="T306" s="9">
        <v>0.0</v>
      </c>
      <c r="U306" s="9">
        <v>13.0</v>
      </c>
      <c r="V306" s="9" t="s">
        <v>983</v>
      </c>
      <c r="W306" s="9" t="s">
        <v>984</v>
      </c>
      <c r="X306" s="9" t="s">
        <v>122</v>
      </c>
      <c r="Y306" s="9" t="s">
        <v>80</v>
      </c>
      <c r="Z306" s="9" t="s">
        <v>132</v>
      </c>
      <c r="AA306" s="9" t="s">
        <v>133</v>
      </c>
      <c r="AC306" s="9">
        <v>7.0</v>
      </c>
      <c r="AD306" s="9">
        <v>6.0</v>
      </c>
      <c r="AE306" s="9">
        <v>4.0</v>
      </c>
      <c r="AF306" s="9">
        <v>2600.0</v>
      </c>
      <c r="AG306" s="33"/>
    </row>
    <row r="307">
      <c r="A307" s="7">
        <v>44404.45791695602</v>
      </c>
      <c r="B307" s="9" t="s">
        <v>49</v>
      </c>
      <c r="C307" s="9">
        <v>23.0</v>
      </c>
      <c r="D307" s="9" t="s">
        <v>35</v>
      </c>
      <c r="E307" s="9" t="s">
        <v>36</v>
      </c>
      <c r="F307" s="9" t="s">
        <v>617</v>
      </c>
      <c r="G307" s="9" t="s">
        <v>1210</v>
      </c>
      <c r="H307" s="9" t="s">
        <v>38</v>
      </c>
      <c r="I307" s="9" t="s">
        <v>2368</v>
      </c>
      <c r="J307" s="9" t="s">
        <v>2627</v>
      </c>
      <c r="K307" s="9" t="s">
        <v>39</v>
      </c>
      <c r="L307" s="9" t="s">
        <v>40</v>
      </c>
      <c r="M307" s="9" t="s">
        <v>39</v>
      </c>
      <c r="O307" s="9" t="s">
        <v>398</v>
      </c>
      <c r="P307" s="9" t="s">
        <v>2946</v>
      </c>
      <c r="Q307" s="9" t="s">
        <v>42</v>
      </c>
      <c r="R307" s="9">
        <v>3500.0</v>
      </c>
      <c r="S307" s="9">
        <v>7000.0</v>
      </c>
      <c r="T307" s="9">
        <v>0.0</v>
      </c>
      <c r="U307" s="9">
        <v>14.0</v>
      </c>
      <c r="V307" s="9" t="s">
        <v>1619</v>
      </c>
      <c r="W307" s="9" t="s">
        <v>1620</v>
      </c>
      <c r="X307" s="9" t="s">
        <v>58</v>
      </c>
      <c r="Y307" s="9" t="s">
        <v>1621</v>
      </c>
      <c r="Z307" s="9" t="s">
        <v>132</v>
      </c>
      <c r="AA307" s="9" t="s">
        <v>91</v>
      </c>
      <c r="AB307" s="9" t="s">
        <v>1622</v>
      </c>
      <c r="AC307" s="9">
        <v>10.0</v>
      </c>
      <c r="AD307" s="9">
        <v>1.0</v>
      </c>
      <c r="AE307" s="9">
        <v>1.0</v>
      </c>
      <c r="AF307" s="9">
        <v>3200.0</v>
      </c>
      <c r="AG307" s="33"/>
    </row>
    <row r="308">
      <c r="A308" s="7">
        <v>44404.45826677083</v>
      </c>
      <c r="B308" s="9" t="s">
        <v>49</v>
      </c>
      <c r="C308" s="9">
        <v>32.0</v>
      </c>
      <c r="D308" s="9" t="s">
        <v>35</v>
      </c>
      <c r="E308" s="9" t="s">
        <v>36</v>
      </c>
      <c r="F308" s="9" t="s">
        <v>50</v>
      </c>
      <c r="G308" s="9" t="s">
        <v>331</v>
      </c>
      <c r="H308" s="9" t="s">
        <v>38</v>
      </c>
      <c r="I308" s="9" t="s">
        <v>2947</v>
      </c>
      <c r="J308" s="9" t="s">
        <v>2948</v>
      </c>
      <c r="K308" s="9" t="s">
        <v>39</v>
      </c>
      <c r="L308" s="9" t="s">
        <v>40</v>
      </c>
      <c r="M308" s="9" t="s">
        <v>40</v>
      </c>
      <c r="P308" s="9" t="s">
        <v>2949</v>
      </c>
      <c r="Q308" s="9" t="s">
        <v>55</v>
      </c>
      <c r="R308" s="9">
        <v>1.0</v>
      </c>
      <c r="S308" s="9">
        <v>1.0</v>
      </c>
      <c r="T308" s="9">
        <v>0.0</v>
      </c>
      <c r="U308" s="9">
        <v>25.0</v>
      </c>
      <c r="V308" s="9" t="s">
        <v>56</v>
      </c>
      <c r="W308" s="9" t="s">
        <v>57</v>
      </c>
      <c r="X308" s="9" t="s">
        <v>58</v>
      </c>
      <c r="Y308" s="9" t="s">
        <v>59</v>
      </c>
      <c r="Z308" s="9" t="s">
        <v>60</v>
      </c>
      <c r="AA308" s="9" t="s">
        <v>61</v>
      </c>
      <c r="AC308" s="9">
        <v>1.0</v>
      </c>
      <c r="AD308" s="9">
        <v>6.0</v>
      </c>
      <c r="AE308" s="9">
        <v>1.0</v>
      </c>
      <c r="AF308" s="9">
        <v>0.08</v>
      </c>
      <c r="AG308" s="33"/>
    </row>
    <row r="309">
      <c r="A309" s="7">
        <v>44404.46538797454</v>
      </c>
      <c r="B309" s="9" t="s">
        <v>49</v>
      </c>
      <c r="C309" s="9">
        <v>27.0</v>
      </c>
      <c r="D309" s="9" t="s">
        <v>35</v>
      </c>
      <c r="E309" s="9" t="s">
        <v>36</v>
      </c>
      <c r="F309" s="9" t="s">
        <v>50</v>
      </c>
      <c r="G309" s="9" t="s">
        <v>180</v>
      </c>
      <c r="H309" s="9" t="s">
        <v>38</v>
      </c>
      <c r="I309" s="9" t="s">
        <v>2950</v>
      </c>
      <c r="J309" s="9" t="s">
        <v>2444</v>
      </c>
      <c r="K309" s="9" t="s">
        <v>39</v>
      </c>
      <c r="L309" s="9" t="s">
        <v>40</v>
      </c>
      <c r="M309" s="9" t="s">
        <v>40</v>
      </c>
      <c r="P309" s="9" t="s">
        <v>128</v>
      </c>
      <c r="Q309" s="9" t="s">
        <v>42</v>
      </c>
      <c r="R309" s="9">
        <v>7000.0</v>
      </c>
      <c r="S309" s="9">
        <v>0.0</v>
      </c>
      <c r="T309" s="9">
        <v>0.0</v>
      </c>
      <c r="U309" s="9">
        <v>12.0</v>
      </c>
      <c r="V309" s="9" t="s">
        <v>1032</v>
      </c>
      <c r="W309" s="9" t="s">
        <v>1033</v>
      </c>
      <c r="X309" s="9" t="s">
        <v>50</v>
      </c>
      <c r="Y309" s="9" t="s">
        <v>197</v>
      </c>
      <c r="Z309" s="9" t="s">
        <v>71</v>
      </c>
      <c r="AA309" s="9" t="s">
        <v>61</v>
      </c>
      <c r="AC309" s="9">
        <v>3.0</v>
      </c>
      <c r="AD309" s="9">
        <v>3.0</v>
      </c>
      <c r="AE309" s="9">
        <v>3.0</v>
      </c>
      <c r="AF309" s="9">
        <v>2700.0</v>
      </c>
      <c r="AG309" s="33"/>
    </row>
    <row r="310">
      <c r="A310" s="7">
        <v>44404.473053622685</v>
      </c>
      <c r="B310" s="9" t="s">
        <v>49</v>
      </c>
      <c r="C310" s="9">
        <v>38.0</v>
      </c>
      <c r="D310" s="9" t="s">
        <v>35</v>
      </c>
      <c r="E310" s="9" t="s">
        <v>36</v>
      </c>
      <c r="F310" s="9" t="s">
        <v>50</v>
      </c>
      <c r="G310" s="9" t="s">
        <v>50</v>
      </c>
      <c r="H310" s="9" t="s">
        <v>38</v>
      </c>
      <c r="I310" s="9" t="s">
        <v>2502</v>
      </c>
      <c r="J310" s="9" t="s">
        <v>2675</v>
      </c>
      <c r="K310" s="9" t="s">
        <v>39</v>
      </c>
      <c r="L310" s="9" t="s">
        <v>40</v>
      </c>
      <c r="M310" s="9" t="s">
        <v>40</v>
      </c>
      <c r="P310" s="9" t="s">
        <v>2951</v>
      </c>
      <c r="Q310" s="9" t="s">
        <v>2952</v>
      </c>
      <c r="R310" s="9">
        <v>8000.0</v>
      </c>
      <c r="S310" s="9">
        <v>0.0</v>
      </c>
      <c r="T310" s="9">
        <v>20000.0</v>
      </c>
      <c r="U310" s="9">
        <v>14.0</v>
      </c>
      <c r="V310" s="9" t="s">
        <v>96</v>
      </c>
      <c r="W310" s="9" t="s">
        <v>712</v>
      </c>
      <c r="X310" s="9" t="s">
        <v>349</v>
      </c>
      <c r="Y310" s="9" t="s">
        <v>70</v>
      </c>
      <c r="Z310" s="9" t="s">
        <v>71</v>
      </c>
      <c r="AA310" s="9" t="s">
        <v>61</v>
      </c>
      <c r="AC310" s="9">
        <v>8.0</v>
      </c>
      <c r="AD310" s="9">
        <v>5.0</v>
      </c>
      <c r="AE310" s="9">
        <v>3.0</v>
      </c>
      <c r="AF310" s="9">
        <v>3500.0</v>
      </c>
      <c r="AG310" s="33"/>
    </row>
    <row r="311">
      <c r="A311" s="7">
        <v>44404.479506261574</v>
      </c>
      <c r="B311" s="9" t="s">
        <v>49</v>
      </c>
      <c r="C311" s="9">
        <v>26.0</v>
      </c>
      <c r="D311" s="9" t="s">
        <v>35</v>
      </c>
      <c r="E311" s="9" t="s">
        <v>36</v>
      </c>
      <c r="F311" s="9" t="s">
        <v>50</v>
      </c>
      <c r="G311" s="9" t="s">
        <v>206</v>
      </c>
      <c r="H311" s="9" t="s">
        <v>38</v>
      </c>
      <c r="I311" s="9" t="s">
        <v>2953</v>
      </c>
      <c r="J311" s="9" t="s">
        <v>2954</v>
      </c>
      <c r="K311" s="9" t="s">
        <v>39</v>
      </c>
      <c r="L311" s="9" t="s">
        <v>40</v>
      </c>
      <c r="M311" s="9" t="s">
        <v>39</v>
      </c>
      <c r="O311" s="9" t="s">
        <v>1794</v>
      </c>
      <c r="P311" s="9" t="s">
        <v>2955</v>
      </c>
      <c r="Q311" s="9" t="s">
        <v>42</v>
      </c>
      <c r="R311" s="9">
        <v>6800.0</v>
      </c>
      <c r="S311" s="9">
        <v>0.0</v>
      </c>
      <c r="T311" s="9">
        <v>0.0</v>
      </c>
      <c r="U311" s="9">
        <v>14.0</v>
      </c>
      <c r="V311" s="9" t="s">
        <v>393</v>
      </c>
      <c r="W311" s="9" t="s">
        <v>2041</v>
      </c>
      <c r="X311" s="9" t="s">
        <v>82</v>
      </c>
      <c r="Y311" s="9" t="s">
        <v>89</v>
      </c>
      <c r="Z311" s="9" t="s">
        <v>47</v>
      </c>
      <c r="AA311" s="9" t="s">
        <v>61</v>
      </c>
      <c r="AC311" s="9">
        <v>9.0</v>
      </c>
      <c r="AD311" s="9">
        <v>3.0</v>
      </c>
      <c r="AE311" s="9">
        <v>1.0</v>
      </c>
      <c r="AF311" s="9">
        <v>4000.0</v>
      </c>
      <c r="AG311" s="33"/>
    </row>
    <row r="312">
      <c r="A312" s="7">
        <v>44404.483933599535</v>
      </c>
      <c r="B312" s="9" t="s">
        <v>49</v>
      </c>
      <c r="C312" s="9">
        <v>25.0</v>
      </c>
      <c r="D312" s="9" t="s">
        <v>35</v>
      </c>
      <c r="E312" s="9" t="s">
        <v>36</v>
      </c>
      <c r="F312" s="9" t="s">
        <v>124</v>
      </c>
      <c r="G312" s="9" t="s">
        <v>124</v>
      </c>
      <c r="H312" s="9" t="s">
        <v>38</v>
      </c>
      <c r="I312" s="9" t="s">
        <v>2413</v>
      </c>
      <c r="J312" s="9" t="s">
        <v>2389</v>
      </c>
      <c r="K312" s="9" t="s">
        <v>39</v>
      </c>
      <c r="L312" s="9" t="s">
        <v>40</v>
      </c>
      <c r="M312" s="9" t="s">
        <v>40</v>
      </c>
      <c r="P312" s="9" t="s">
        <v>2912</v>
      </c>
      <c r="Q312" s="9" t="s">
        <v>42</v>
      </c>
      <c r="R312" s="9">
        <v>3800.0</v>
      </c>
      <c r="S312" s="9">
        <v>500.0</v>
      </c>
      <c r="U312" s="9">
        <v>14.0</v>
      </c>
      <c r="V312" s="9" t="s">
        <v>1153</v>
      </c>
      <c r="W312" s="9" t="s">
        <v>1154</v>
      </c>
      <c r="X312" s="9" t="s">
        <v>124</v>
      </c>
      <c r="Y312" s="9" t="s">
        <v>159</v>
      </c>
      <c r="Z312" s="9" t="s">
        <v>47</v>
      </c>
      <c r="AA312" s="9" t="s">
        <v>61</v>
      </c>
      <c r="AC312" s="9">
        <v>6.0</v>
      </c>
      <c r="AD312" s="9">
        <v>2.0</v>
      </c>
      <c r="AE312" s="9">
        <v>0.0</v>
      </c>
      <c r="AF312" s="9">
        <v>2800.0</v>
      </c>
      <c r="AG312" s="33"/>
    </row>
    <row r="313">
      <c r="A313" s="7">
        <v>44404.485865532406</v>
      </c>
      <c r="B313" s="9" t="s">
        <v>49</v>
      </c>
      <c r="C313" s="9">
        <v>26.0</v>
      </c>
      <c r="D313" s="9" t="s">
        <v>35</v>
      </c>
      <c r="E313" s="9" t="s">
        <v>36</v>
      </c>
      <c r="F313" s="9" t="s">
        <v>50</v>
      </c>
      <c r="G313" s="9" t="s">
        <v>2956</v>
      </c>
      <c r="H313" s="9" t="s">
        <v>38</v>
      </c>
      <c r="I313" s="9" t="s">
        <v>2957</v>
      </c>
      <c r="J313" s="9" t="s">
        <v>2627</v>
      </c>
      <c r="K313" s="9" t="s">
        <v>39</v>
      </c>
      <c r="L313" s="9" t="s">
        <v>40</v>
      </c>
      <c r="M313" s="9" t="s">
        <v>40</v>
      </c>
      <c r="P313" s="9" t="s">
        <v>2958</v>
      </c>
      <c r="Q313" s="9" t="s">
        <v>42</v>
      </c>
      <c r="R313" s="9">
        <v>5300.0</v>
      </c>
      <c r="S313" s="9" t="s">
        <v>2959</v>
      </c>
      <c r="T313" s="9">
        <v>0.0</v>
      </c>
      <c r="U313" s="9">
        <v>14.0</v>
      </c>
      <c r="V313" s="9" t="s">
        <v>459</v>
      </c>
      <c r="W313" s="9" t="s">
        <v>2196</v>
      </c>
      <c r="X313" s="9" t="s">
        <v>50</v>
      </c>
      <c r="Y313" s="9" t="s">
        <v>116</v>
      </c>
      <c r="Z313" s="9" t="s">
        <v>132</v>
      </c>
      <c r="AA313" s="9" t="s">
        <v>61</v>
      </c>
      <c r="AC313" s="9">
        <v>6.0</v>
      </c>
      <c r="AD313" s="9">
        <v>4.0</v>
      </c>
      <c r="AE313" s="9">
        <v>2.0</v>
      </c>
      <c r="AF313" s="9">
        <v>5300.0</v>
      </c>
      <c r="AG313" s="33"/>
    </row>
    <row r="314">
      <c r="A314" s="7">
        <v>44404.48691319444</v>
      </c>
      <c r="B314" s="9" t="s">
        <v>49</v>
      </c>
      <c r="C314" s="9">
        <v>24.0</v>
      </c>
      <c r="D314" s="9" t="s">
        <v>35</v>
      </c>
      <c r="E314" s="9" t="s">
        <v>36</v>
      </c>
      <c r="F314" s="9" t="s">
        <v>2960</v>
      </c>
      <c r="G314" s="9" t="s">
        <v>932</v>
      </c>
      <c r="H314" s="9" t="s">
        <v>38</v>
      </c>
      <c r="I314" s="9" t="s">
        <v>2907</v>
      </c>
      <c r="J314" s="9" t="s">
        <v>161</v>
      </c>
      <c r="K314" s="9" t="s">
        <v>39</v>
      </c>
      <c r="L314" s="9" t="s">
        <v>39</v>
      </c>
      <c r="M314" s="9" t="s">
        <v>40</v>
      </c>
      <c r="N314" s="9" t="s">
        <v>933</v>
      </c>
      <c r="P314" s="9" t="s">
        <v>2755</v>
      </c>
      <c r="Q314" s="9" t="s">
        <v>42</v>
      </c>
      <c r="R314" s="9">
        <v>4000.0</v>
      </c>
      <c r="S314" s="9">
        <v>0.0</v>
      </c>
      <c r="T314" s="9">
        <v>0.0</v>
      </c>
      <c r="U314" s="9">
        <v>19.0</v>
      </c>
      <c r="V314" s="9" t="s">
        <v>934</v>
      </c>
      <c r="W314" s="9" t="s">
        <v>935</v>
      </c>
      <c r="X314" s="9" t="s">
        <v>131</v>
      </c>
      <c r="Y314" s="9" t="s">
        <v>59</v>
      </c>
      <c r="Z314" s="9" t="s">
        <v>90</v>
      </c>
      <c r="AA314" s="9" t="s">
        <v>133</v>
      </c>
      <c r="AB314" s="9" t="s">
        <v>936</v>
      </c>
      <c r="AC314" s="9">
        <v>7.0</v>
      </c>
      <c r="AD314" s="9" t="s">
        <v>937</v>
      </c>
      <c r="AE314" s="9">
        <v>2.0</v>
      </c>
      <c r="AF314" s="9">
        <v>2500.0</v>
      </c>
      <c r="AG314" s="33"/>
    </row>
    <row r="315">
      <c r="A315" s="7">
        <v>44404.50096089121</v>
      </c>
      <c r="B315" s="9" t="s">
        <v>49</v>
      </c>
      <c r="C315" s="9">
        <v>30.0</v>
      </c>
      <c r="D315" s="9" t="s">
        <v>35</v>
      </c>
      <c r="E315" s="9" t="s">
        <v>36</v>
      </c>
      <c r="F315" s="9" t="s">
        <v>50</v>
      </c>
      <c r="G315" s="9" t="s">
        <v>82</v>
      </c>
      <c r="H315" s="9" t="s">
        <v>38</v>
      </c>
      <c r="I315" s="9" t="s">
        <v>2961</v>
      </c>
      <c r="J315" s="9" t="s">
        <v>1494</v>
      </c>
      <c r="K315" s="9" t="s">
        <v>40</v>
      </c>
      <c r="L315" s="9" t="s">
        <v>40</v>
      </c>
      <c r="M315" s="9" t="s">
        <v>40</v>
      </c>
      <c r="P315" s="9" t="s">
        <v>746</v>
      </c>
      <c r="Q315" s="9" t="s">
        <v>42</v>
      </c>
      <c r="R315" s="9">
        <v>5980.0</v>
      </c>
      <c r="S315" s="9">
        <v>0.0</v>
      </c>
      <c r="T315" s="9">
        <v>0.0</v>
      </c>
      <c r="U315" s="9">
        <v>20.0</v>
      </c>
      <c r="V315" s="9" t="s">
        <v>1495</v>
      </c>
      <c r="W315" s="9" t="s">
        <v>1496</v>
      </c>
      <c r="X315" s="9" t="s">
        <v>131</v>
      </c>
      <c r="Y315" s="9" t="s">
        <v>70</v>
      </c>
      <c r="Z315" s="9" t="s">
        <v>81</v>
      </c>
      <c r="AA315" s="9" t="s">
        <v>61</v>
      </c>
      <c r="AC315" s="9">
        <v>5.0</v>
      </c>
      <c r="AD315" s="9">
        <v>6.0</v>
      </c>
      <c r="AE315" s="9">
        <v>4.0</v>
      </c>
      <c r="AF315" s="9">
        <v>3000.0</v>
      </c>
      <c r="AG315" s="33"/>
    </row>
    <row r="316">
      <c r="A316" s="7">
        <v>44404.52802373843</v>
      </c>
      <c r="B316" s="9" t="s">
        <v>49</v>
      </c>
      <c r="C316" s="9">
        <v>22.0</v>
      </c>
      <c r="D316" s="9" t="s">
        <v>35</v>
      </c>
      <c r="E316" s="9" t="s">
        <v>36</v>
      </c>
      <c r="F316" s="9" t="s">
        <v>50</v>
      </c>
      <c r="G316" s="9" t="s">
        <v>117</v>
      </c>
      <c r="H316" s="9" t="s">
        <v>38</v>
      </c>
      <c r="I316" s="9" t="s">
        <v>2442</v>
      </c>
      <c r="J316" s="9" t="s">
        <v>2962</v>
      </c>
      <c r="K316" s="9" t="s">
        <v>39</v>
      </c>
      <c r="L316" s="9" t="s">
        <v>40</v>
      </c>
      <c r="M316" s="9" t="s">
        <v>40</v>
      </c>
      <c r="P316" s="9" t="s">
        <v>2533</v>
      </c>
      <c r="Q316" s="9" t="s">
        <v>42</v>
      </c>
      <c r="R316" s="9">
        <v>3500.0</v>
      </c>
      <c r="S316" s="9">
        <v>0.0</v>
      </c>
      <c r="T316" s="9">
        <v>0.0</v>
      </c>
      <c r="U316" s="9">
        <v>14.0</v>
      </c>
      <c r="V316" s="9" t="s">
        <v>1852</v>
      </c>
      <c r="W316" s="9" t="s">
        <v>1853</v>
      </c>
      <c r="X316" s="9" t="s">
        <v>106</v>
      </c>
      <c r="Y316" s="9" t="s">
        <v>1238</v>
      </c>
      <c r="Z316" s="9" t="s">
        <v>60</v>
      </c>
      <c r="AA316" s="9" t="s">
        <v>61</v>
      </c>
      <c r="AC316" s="9">
        <v>9.0</v>
      </c>
      <c r="AD316" s="9">
        <v>1.0</v>
      </c>
      <c r="AE316" s="9">
        <v>1.0</v>
      </c>
      <c r="AF316" s="9">
        <v>3500.0</v>
      </c>
      <c r="AG316" s="33"/>
    </row>
    <row r="317">
      <c r="A317" s="7">
        <v>44404.54557165509</v>
      </c>
      <c r="B317" s="9" t="s">
        <v>49</v>
      </c>
      <c r="C317" s="9">
        <v>31.0</v>
      </c>
      <c r="D317" s="9" t="s">
        <v>35</v>
      </c>
      <c r="E317" s="9" t="s">
        <v>36</v>
      </c>
      <c r="F317" s="9" t="s">
        <v>50</v>
      </c>
      <c r="G317" s="9" t="s">
        <v>2963</v>
      </c>
      <c r="H317" s="9" t="s">
        <v>38</v>
      </c>
      <c r="I317" s="9" t="s">
        <v>2964</v>
      </c>
      <c r="J317" s="9" t="s">
        <v>2965</v>
      </c>
      <c r="K317" s="9" t="s">
        <v>39</v>
      </c>
      <c r="L317" s="9" t="s">
        <v>40</v>
      </c>
      <c r="M317" s="9" t="s">
        <v>40</v>
      </c>
      <c r="P317" s="9" t="s">
        <v>2609</v>
      </c>
      <c r="Q317" s="9" t="s">
        <v>42</v>
      </c>
      <c r="R317" s="9">
        <v>11000.0</v>
      </c>
      <c r="U317" s="9">
        <v>12.0</v>
      </c>
      <c r="V317" s="9" t="s">
        <v>872</v>
      </c>
      <c r="W317" s="9" t="s">
        <v>873</v>
      </c>
      <c r="X317" s="9" t="s">
        <v>874</v>
      </c>
      <c r="Y317" s="9" t="s">
        <v>70</v>
      </c>
      <c r="Z317" s="9" t="s">
        <v>132</v>
      </c>
      <c r="AA317" s="9" t="s">
        <v>61</v>
      </c>
      <c r="AC317" s="9">
        <v>10.0</v>
      </c>
      <c r="AD317" s="9">
        <v>10.0</v>
      </c>
      <c r="AE317" s="9">
        <v>4.0</v>
      </c>
      <c r="AF317" s="9">
        <v>2500.0</v>
      </c>
      <c r="AG317" s="33"/>
    </row>
    <row r="318">
      <c r="A318" s="7">
        <v>44404.54700936342</v>
      </c>
      <c r="B318" s="9" t="s">
        <v>49</v>
      </c>
      <c r="C318" s="9">
        <v>32.0</v>
      </c>
      <c r="D318" s="9" t="s">
        <v>1043</v>
      </c>
      <c r="E318" s="9" t="s">
        <v>36</v>
      </c>
      <c r="G318" s="9" t="s">
        <v>106</v>
      </c>
      <c r="H318" s="9" t="s">
        <v>38</v>
      </c>
      <c r="I318" s="9" t="s">
        <v>2413</v>
      </c>
      <c r="K318" s="9" t="s">
        <v>39</v>
      </c>
      <c r="L318" s="9" t="s">
        <v>40</v>
      </c>
      <c r="M318" s="9" t="s">
        <v>40</v>
      </c>
      <c r="P318" s="9" t="s">
        <v>2726</v>
      </c>
      <c r="Q318" s="9" t="s">
        <v>42</v>
      </c>
      <c r="R318" s="9">
        <v>13230.0</v>
      </c>
      <c r="S318" s="9">
        <v>20000.0</v>
      </c>
      <c r="T318" s="9">
        <v>140000.0</v>
      </c>
      <c r="U318" s="9">
        <v>14.0</v>
      </c>
      <c r="V318" s="9" t="s">
        <v>2314</v>
      </c>
      <c r="W318" s="9" t="s">
        <v>865</v>
      </c>
      <c r="X318" s="9" t="s">
        <v>325</v>
      </c>
      <c r="Y318" s="9" t="s">
        <v>350</v>
      </c>
      <c r="Z318" s="9" t="s">
        <v>90</v>
      </c>
      <c r="AA318" s="9" t="s">
        <v>611</v>
      </c>
      <c r="AC318" s="9">
        <v>8.0</v>
      </c>
      <c r="AD318" s="9">
        <v>10.0</v>
      </c>
      <c r="AE318" s="9">
        <v>8.0</v>
      </c>
      <c r="AF318" s="9">
        <v>11400.0</v>
      </c>
      <c r="AG318" s="33"/>
    </row>
    <row r="319">
      <c r="A319" s="7">
        <v>44404.54741125</v>
      </c>
      <c r="B319" s="9" t="s">
        <v>49</v>
      </c>
      <c r="C319" s="9">
        <v>33.0</v>
      </c>
      <c r="D319" s="9" t="s">
        <v>35</v>
      </c>
      <c r="E319" s="9" t="s">
        <v>36</v>
      </c>
      <c r="F319" s="9" t="s">
        <v>124</v>
      </c>
      <c r="G319" s="9" t="s">
        <v>124</v>
      </c>
      <c r="H319" s="9" t="s">
        <v>38</v>
      </c>
      <c r="I319" s="9" t="s">
        <v>2368</v>
      </c>
      <c r="J319" s="9" t="s">
        <v>2563</v>
      </c>
      <c r="K319" s="9" t="s">
        <v>39</v>
      </c>
      <c r="L319" s="9" t="s">
        <v>40</v>
      </c>
      <c r="M319" s="9" t="s">
        <v>40</v>
      </c>
      <c r="P319" s="9" t="s">
        <v>2479</v>
      </c>
      <c r="Q319" s="9" t="s">
        <v>42</v>
      </c>
      <c r="R319" s="9">
        <v>9000.0</v>
      </c>
      <c r="S319" s="9">
        <v>0.0</v>
      </c>
      <c r="T319" s="9">
        <v>0.0</v>
      </c>
      <c r="U319" s="9">
        <v>14.0</v>
      </c>
      <c r="V319" s="9" t="s">
        <v>320</v>
      </c>
      <c r="W319" s="9" t="s">
        <v>712</v>
      </c>
      <c r="X319" s="9" t="s">
        <v>886</v>
      </c>
      <c r="Y319" s="9" t="s">
        <v>155</v>
      </c>
      <c r="Z319" s="9" t="s">
        <v>81</v>
      </c>
      <c r="AA319" s="9" t="s">
        <v>91</v>
      </c>
      <c r="AC319" s="9">
        <v>7.0</v>
      </c>
      <c r="AD319" s="9">
        <v>9.0</v>
      </c>
      <c r="AE319" s="9">
        <v>7.0</v>
      </c>
      <c r="AF319" s="9">
        <v>2500.0</v>
      </c>
      <c r="AG319" s="33"/>
    </row>
    <row r="320">
      <c r="A320" s="7">
        <v>44404.59182295139</v>
      </c>
      <c r="B320" s="9" t="s">
        <v>49</v>
      </c>
      <c r="C320" s="9">
        <v>27.0</v>
      </c>
      <c r="D320" s="9" t="s">
        <v>2248</v>
      </c>
      <c r="E320" s="9" t="s">
        <v>36</v>
      </c>
      <c r="F320" s="9" t="s">
        <v>349</v>
      </c>
      <c r="G320" s="9" t="s">
        <v>2966</v>
      </c>
      <c r="H320" s="9" t="s">
        <v>38</v>
      </c>
      <c r="I320" s="9" t="s">
        <v>2967</v>
      </c>
      <c r="J320" s="9" t="s">
        <v>2249</v>
      </c>
      <c r="K320" s="9" t="s">
        <v>39</v>
      </c>
      <c r="L320" s="9" t="s">
        <v>40</v>
      </c>
      <c r="M320" s="9" t="s">
        <v>40</v>
      </c>
      <c r="P320" s="9" t="s">
        <v>101</v>
      </c>
      <c r="Q320" s="9" t="s">
        <v>42</v>
      </c>
      <c r="R320" s="9">
        <v>9000.0</v>
      </c>
      <c r="S320" s="9">
        <v>0.0</v>
      </c>
      <c r="T320" s="9">
        <v>0.0</v>
      </c>
      <c r="U320" s="9">
        <v>14.0</v>
      </c>
      <c r="V320" s="9" t="s">
        <v>1044</v>
      </c>
      <c r="W320" s="9" t="s">
        <v>2250</v>
      </c>
      <c r="X320" s="9" t="s">
        <v>122</v>
      </c>
      <c r="Y320" s="9" t="s">
        <v>59</v>
      </c>
      <c r="Z320" s="9" t="s">
        <v>132</v>
      </c>
      <c r="AA320" s="9" t="s">
        <v>61</v>
      </c>
      <c r="AC320" s="9">
        <v>5.0</v>
      </c>
      <c r="AD320" s="9">
        <v>4.0</v>
      </c>
      <c r="AE320" s="9">
        <v>1.0</v>
      </c>
      <c r="AF320" s="9">
        <v>7000.0</v>
      </c>
      <c r="AG320" s="33"/>
    </row>
    <row r="321">
      <c r="A321" s="7">
        <v>44404.59422730324</v>
      </c>
      <c r="B321" s="9" t="s">
        <v>49</v>
      </c>
      <c r="C321" s="9">
        <v>24.0</v>
      </c>
      <c r="D321" s="9" t="s">
        <v>35</v>
      </c>
      <c r="E321" s="9" t="s">
        <v>36</v>
      </c>
      <c r="F321" s="9" t="s">
        <v>2968</v>
      </c>
      <c r="G321" s="9" t="s">
        <v>171</v>
      </c>
      <c r="H321" s="9" t="s">
        <v>38</v>
      </c>
      <c r="I321" s="9" t="s">
        <v>2969</v>
      </c>
      <c r="J321" s="9" t="s">
        <v>2680</v>
      </c>
      <c r="K321" s="9" t="s">
        <v>39</v>
      </c>
      <c r="L321" s="9" t="s">
        <v>40</v>
      </c>
      <c r="M321" s="9" t="s">
        <v>39</v>
      </c>
      <c r="O321" s="9" t="s">
        <v>864</v>
      </c>
      <c r="P321" s="9" t="s">
        <v>312</v>
      </c>
      <c r="Q321" s="9" t="s">
        <v>42</v>
      </c>
      <c r="R321" s="9">
        <v>2500.0</v>
      </c>
      <c r="S321" s="9">
        <v>2500.0</v>
      </c>
      <c r="T321" s="9">
        <v>0.0</v>
      </c>
      <c r="U321" s="9">
        <v>12.0</v>
      </c>
      <c r="V321" s="9" t="s">
        <v>223</v>
      </c>
      <c r="W321" s="9" t="s">
        <v>2970</v>
      </c>
      <c r="X321" s="9" t="s">
        <v>866</v>
      </c>
      <c r="Y321" s="9" t="s">
        <v>59</v>
      </c>
      <c r="Z321" s="9" t="s">
        <v>132</v>
      </c>
      <c r="AA321" s="9" t="s">
        <v>61</v>
      </c>
      <c r="AB321" s="9" t="s">
        <v>72</v>
      </c>
      <c r="AC321" s="9">
        <v>8.0</v>
      </c>
      <c r="AD321" s="9">
        <v>1.0</v>
      </c>
      <c r="AE321" s="9">
        <v>1.0</v>
      </c>
      <c r="AF321" s="9">
        <v>2500.0</v>
      </c>
      <c r="AG321" s="33"/>
    </row>
    <row r="322">
      <c r="A322" s="7">
        <v>44404.59531949074</v>
      </c>
      <c r="B322" s="9" t="s">
        <v>49</v>
      </c>
      <c r="C322" s="9">
        <v>25.0</v>
      </c>
      <c r="D322" s="9" t="s">
        <v>35</v>
      </c>
      <c r="E322" s="9" t="s">
        <v>36</v>
      </c>
      <c r="F322" s="9" t="s">
        <v>2971</v>
      </c>
      <c r="G322" s="9" t="s">
        <v>349</v>
      </c>
      <c r="H322" s="9" t="s">
        <v>38</v>
      </c>
      <c r="I322" s="9" t="s">
        <v>2972</v>
      </c>
      <c r="J322" s="9" t="s">
        <v>1530</v>
      </c>
      <c r="K322" s="9" t="s">
        <v>39</v>
      </c>
      <c r="L322" s="9" t="s">
        <v>40</v>
      </c>
      <c r="M322" s="9" t="s">
        <v>40</v>
      </c>
      <c r="P322" s="9" t="s">
        <v>2973</v>
      </c>
      <c r="Q322" s="9" t="s">
        <v>42</v>
      </c>
      <c r="R322" s="9">
        <v>4000.0</v>
      </c>
      <c r="S322" s="9">
        <v>4000.0</v>
      </c>
      <c r="T322" s="9">
        <v>0.0</v>
      </c>
      <c r="U322" s="9">
        <v>22.0</v>
      </c>
      <c r="V322" s="9" t="s">
        <v>1531</v>
      </c>
      <c r="W322" s="9" t="s">
        <v>1532</v>
      </c>
      <c r="X322" s="9" t="s">
        <v>131</v>
      </c>
      <c r="Y322" s="9" t="s">
        <v>59</v>
      </c>
      <c r="Z322" s="9" t="s">
        <v>60</v>
      </c>
      <c r="AA322" s="9" t="s">
        <v>91</v>
      </c>
      <c r="AC322" s="9">
        <v>7.0</v>
      </c>
      <c r="AD322" s="9">
        <v>1.5</v>
      </c>
      <c r="AE322" s="9">
        <v>1.0</v>
      </c>
      <c r="AF322" s="9">
        <v>3000.0</v>
      </c>
      <c r="AG322" s="33"/>
    </row>
    <row r="323">
      <c r="A323" s="7">
        <v>44404.60925591435</v>
      </c>
      <c r="B323" s="9" t="s">
        <v>49</v>
      </c>
      <c r="C323" s="9">
        <v>27.0</v>
      </c>
      <c r="D323" s="9" t="s">
        <v>35</v>
      </c>
      <c r="E323" s="9" t="s">
        <v>36</v>
      </c>
      <c r="F323" s="9" t="s">
        <v>50</v>
      </c>
      <c r="G323" s="9" t="s">
        <v>539</v>
      </c>
      <c r="H323" s="9" t="s">
        <v>38</v>
      </c>
      <c r="I323" s="9" t="s">
        <v>626</v>
      </c>
      <c r="J323" s="9" t="s">
        <v>502</v>
      </c>
      <c r="K323" s="9" t="s">
        <v>39</v>
      </c>
      <c r="L323" s="9" t="s">
        <v>40</v>
      </c>
      <c r="M323" s="9" t="s">
        <v>40</v>
      </c>
      <c r="P323" s="9" t="s">
        <v>548</v>
      </c>
      <c r="Q323" s="9" t="s">
        <v>42</v>
      </c>
      <c r="R323" s="9">
        <v>5750.0</v>
      </c>
      <c r="S323" s="9">
        <v>0.0</v>
      </c>
      <c r="T323" s="9">
        <v>0.0</v>
      </c>
      <c r="U323" s="9">
        <v>14.0</v>
      </c>
      <c r="V323" s="9" t="s">
        <v>1034</v>
      </c>
      <c r="W323" s="9" t="s">
        <v>1035</v>
      </c>
      <c r="X323" s="9" t="s">
        <v>122</v>
      </c>
      <c r="Y323" s="9" t="s">
        <v>59</v>
      </c>
      <c r="Z323" s="9" t="s">
        <v>60</v>
      </c>
      <c r="AA323" s="9" t="s">
        <v>91</v>
      </c>
      <c r="AC323" s="9">
        <v>10.0</v>
      </c>
      <c r="AD323" s="9">
        <v>3.0</v>
      </c>
      <c r="AE323" s="9">
        <v>1.0</v>
      </c>
      <c r="AF323" s="9">
        <v>2700.0</v>
      </c>
      <c r="AG323" s="33"/>
    </row>
    <row r="324">
      <c r="A324" s="7">
        <v>44404.611225636574</v>
      </c>
      <c r="B324" s="9" t="s">
        <v>49</v>
      </c>
      <c r="C324" s="9">
        <v>29.0</v>
      </c>
      <c r="D324" s="9" t="s">
        <v>35</v>
      </c>
      <c r="E324" s="9" t="s">
        <v>36</v>
      </c>
      <c r="F324" s="9" t="s">
        <v>50</v>
      </c>
      <c r="G324" s="9" t="s">
        <v>2974</v>
      </c>
      <c r="H324" s="9" t="s">
        <v>38</v>
      </c>
      <c r="I324" s="9" t="s">
        <v>2975</v>
      </c>
      <c r="J324" s="9" t="s">
        <v>2976</v>
      </c>
      <c r="K324" s="9" t="s">
        <v>40</v>
      </c>
      <c r="L324" s="9" t="s">
        <v>40</v>
      </c>
      <c r="M324" s="9" t="s">
        <v>40</v>
      </c>
      <c r="P324" s="9" t="s">
        <v>1441</v>
      </c>
      <c r="Q324" s="9" t="s">
        <v>42</v>
      </c>
      <c r="R324" s="9">
        <v>6594.0</v>
      </c>
      <c r="S324" s="9">
        <v>6594.0</v>
      </c>
      <c r="T324" s="9">
        <v>0.0</v>
      </c>
      <c r="U324" s="9">
        <v>24.0</v>
      </c>
      <c r="V324" s="9" t="s">
        <v>1896</v>
      </c>
      <c r="W324" s="9" t="s">
        <v>1743</v>
      </c>
      <c r="X324" s="9" t="s">
        <v>58</v>
      </c>
      <c r="Y324" s="9" t="s">
        <v>1897</v>
      </c>
      <c r="Z324" s="9" t="s">
        <v>90</v>
      </c>
      <c r="AA324" s="9" t="s">
        <v>133</v>
      </c>
      <c r="AB324" s="9" t="s">
        <v>1898</v>
      </c>
      <c r="AC324" s="9">
        <v>7.0</v>
      </c>
      <c r="AD324" s="9">
        <v>6.0</v>
      </c>
      <c r="AE324" s="9">
        <v>5.0</v>
      </c>
      <c r="AF324" s="9">
        <v>3500.0</v>
      </c>
      <c r="AG324" s="33"/>
    </row>
    <row r="325">
      <c r="A325" s="7">
        <v>44404.61237545139</v>
      </c>
      <c r="B325" s="9" t="s">
        <v>49</v>
      </c>
      <c r="C325" s="9">
        <v>24.0</v>
      </c>
      <c r="D325" s="9" t="s">
        <v>35</v>
      </c>
      <c r="E325" s="9" t="s">
        <v>425</v>
      </c>
      <c r="F325" s="9" t="s">
        <v>426</v>
      </c>
      <c r="G325" s="9" t="s">
        <v>2302</v>
      </c>
      <c r="H325" s="9" t="s">
        <v>38</v>
      </c>
      <c r="I325" s="9" t="s">
        <v>2368</v>
      </c>
      <c r="J325" s="9" t="s">
        <v>2303</v>
      </c>
      <c r="K325" s="9" t="s">
        <v>39</v>
      </c>
      <c r="L325" s="9" t="s">
        <v>40</v>
      </c>
      <c r="M325" s="9" t="s">
        <v>39</v>
      </c>
      <c r="O325" s="9" t="s">
        <v>1243</v>
      </c>
      <c r="P325" s="9" t="s">
        <v>2977</v>
      </c>
      <c r="Q325" s="9" t="s">
        <v>112</v>
      </c>
      <c r="R325" s="9">
        <v>10000.0</v>
      </c>
      <c r="S325" s="9">
        <v>0.0</v>
      </c>
      <c r="T325" s="9">
        <v>0.0</v>
      </c>
      <c r="U325" s="9">
        <v>14.0</v>
      </c>
      <c r="V325" s="9" t="s">
        <v>2304</v>
      </c>
      <c r="W325" s="9" t="s">
        <v>2305</v>
      </c>
      <c r="X325" s="9" t="s">
        <v>430</v>
      </c>
      <c r="Y325" s="9" t="s">
        <v>1238</v>
      </c>
      <c r="Z325" s="9" t="s">
        <v>90</v>
      </c>
      <c r="AA325" s="9" t="s">
        <v>61</v>
      </c>
      <c r="AB325" s="9" t="s">
        <v>2306</v>
      </c>
      <c r="AC325" s="9">
        <v>8.0</v>
      </c>
      <c r="AD325" s="9" t="s">
        <v>2307</v>
      </c>
      <c r="AE325" s="9" t="s">
        <v>2308</v>
      </c>
      <c r="AF325" s="9">
        <v>10000.0</v>
      </c>
      <c r="AG325" s="33"/>
    </row>
    <row r="326">
      <c r="A326" s="7">
        <v>44404.61690934028</v>
      </c>
      <c r="B326" s="9" t="s">
        <v>49</v>
      </c>
      <c r="C326" s="9">
        <v>31.0</v>
      </c>
      <c r="D326" s="9" t="s">
        <v>35</v>
      </c>
      <c r="E326" s="9" t="s">
        <v>36</v>
      </c>
      <c r="F326" s="9" t="s">
        <v>50</v>
      </c>
      <c r="G326" s="9" t="s">
        <v>180</v>
      </c>
      <c r="H326" s="9" t="s">
        <v>38</v>
      </c>
      <c r="I326" s="9" t="s">
        <v>2978</v>
      </c>
      <c r="J326" s="9" t="s">
        <v>2421</v>
      </c>
      <c r="K326" s="9" t="s">
        <v>40</v>
      </c>
      <c r="L326" s="9" t="s">
        <v>40</v>
      </c>
      <c r="M326" s="9" t="s">
        <v>40</v>
      </c>
      <c r="P326" s="9" t="s">
        <v>146</v>
      </c>
      <c r="Q326" s="9" t="s">
        <v>42</v>
      </c>
      <c r="R326" s="9">
        <v>11000.0</v>
      </c>
      <c r="S326" s="9">
        <v>15000.0</v>
      </c>
      <c r="U326" s="9">
        <v>14.0</v>
      </c>
      <c r="V326" s="9" t="s">
        <v>897</v>
      </c>
      <c r="W326" s="9" t="s">
        <v>898</v>
      </c>
      <c r="X326" s="9" t="s">
        <v>899</v>
      </c>
      <c r="Y326" s="9" t="s">
        <v>59</v>
      </c>
      <c r="Z326" s="9" t="s">
        <v>132</v>
      </c>
      <c r="AA326" s="9" t="s">
        <v>61</v>
      </c>
      <c r="AC326" s="9">
        <v>10.0</v>
      </c>
      <c r="AD326" s="9">
        <v>10.0</v>
      </c>
      <c r="AE326" s="9">
        <v>6.0</v>
      </c>
      <c r="AF326" s="9">
        <v>2500.0</v>
      </c>
      <c r="AG326" s="33"/>
    </row>
    <row r="327">
      <c r="A327" s="7">
        <v>44404.627548530094</v>
      </c>
      <c r="B327" s="9" t="s">
        <v>49</v>
      </c>
      <c r="C327" s="9">
        <v>35.0</v>
      </c>
      <c r="D327" s="9" t="s">
        <v>35</v>
      </c>
      <c r="E327" s="9" t="s">
        <v>36</v>
      </c>
      <c r="F327" s="9" t="s">
        <v>50</v>
      </c>
      <c r="G327" s="9" t="s">
        <v>499</v>
      </c>
      <c r="H327" s="9" t="s">
        <v>38</v>
      </c>
      <c r="I327" s="9" t="s">
        <v>2979</v>
      </c>
      <c r="J327" s="9" t="s">
        <v>2379</v>
      </c>
      <c r="K327" s="9" t="s">
        <v>39</v>
      </c>
      <c r="L327" s="9" t="s">
        <v>40</v>
      </c>
      <c r="M327" s="9" t="s">
        <v>40</v>
      </c>
      <c r="P327" s="9" t="s">
        <v>128</v>
      </c>
      <c r="Q327" s="9" t="s">
        <v>42</v>
      </c>
      <c r="R327" s="9">
        <v>8500.0</v>
      </c>
      <c r="S327" s="9">
        <v>0.0</v>
      </c>
      <c r="U327" s="9">
        <v>14.0</v>
      </c>
      <c r="V327" s="9" t="s">
        <v>500</v>
      </c>
      <c r="W327" s="9" t="s">
        <v>224</v>
      </c>
      <c r="X327" s="9" t="s">
        <v>300</v>
      </c>
      <c r="Y327" s="9" t="s">
        <v>347</v>
      </c>
      <c r="Z327" s="9" t="s">
        <v>132</v>
      </c>
      <c r="AA327" s="9" t="s">
        <v>91</v>
      </c>
      <c r="AC327" s="9">
        <v>7.0</v>
      </c>
      <c r="AD327" s="9">
        <v>10.0</v>
      </c>
      <c r="AE327" s="9">
        <v>4.0</v>
      </c>
      <c r="AF327" s="9">
        <v>1800.0</v>
      </c>
      <c r="AG327" s="33"/>
    </row>
    <row r="328">
      <c r="A328" s="7">
        <v>44404.64903289352</v>
      </c>
      <c r="B328" s="9" t="s">
        <v>49</v>
      </c>
      <c r="C328" s="9">
        <v>29.0</v>
      </c>
      <c r="D328" s="9" t="s">
        <v>35</v>
      </c>
      <c r="E328" s="9" t="s">
        <v>36</v>
      </c>
      <c r="F328" s="9" t="s">
        <v>50</v>
      </c>
      <c r="G328" s="9" t="s">
        <v>300</v>
      </c>
      <c r="H328" s="9" t="s">
        <v>38</v>
      </c>
      <c r="I328" s="9" t="s">
        <v>2368</v>
      </c>
      <c r="J328" s="9" t="s">
        <v>2472</v>
      </c>
      <c r="K328" s="9" t="s">
        <v>39</v>
      </c>
      <c r="L328" s="9" t="s">
        <v>40</v>
      </c>
      <c r="M328" s="9" t="s">
        <v>39</v>
      </c>
      <c r="O328" s="9" t="s">
        <v>135</v>
      </c>
      <c r="P328" s="9" t="s">
        <v>136</v>
      </c>
      <c r="Q328" s="9" t="s">
        <v>42</v>
      </c>
      <c r="R328" s="9">
        <v>7000.0</v>
      </c>
      <c r="S328" s="9">
        <v>7000.0</v>
      </c>
      <c r="T328" s="9">
        <v>0.0</v>
      </c>
      <c r="U328" s="9">
        <v>12.0</v>
      </c>
      <c r="V328" s="9" t="s">
        <v>137</v>
      </c>
      <c r="W328" s="9" t="s">
        <v>138</v>
      </c>
      <c r="X328" s="9" t="s">
        <v>139</v>
      </c>
      <c r="Y328" s="9" t="s">
        <v>140</v>
      </c>
      <c r="Z328" s="9" t="s">
        <v>60</v>
      </c>
      <c r="AA328" s="9" t="s">
        <v>91</v>
      </c>
      <c r="AB328" s="9" t="s">
        <v>141</v>
      </c>
      <c r="AC328" s="9">
        <v>7.0</v>
      </c>
      <c r="AD328" s="9">
        <v>5.0</v>
      </c>
      <c r="AE328" s="9">
        <v>5.0</v>
      </c>
      <c r="AF328" s="9">
        <v>600.0</v>
      </c>
      <c r="AG328" s="33"/>
    </row>
    <row r="329">
      <c r="A329" s="7">
        <v>44404.6821112037</v>
      </c>
      <c r="B329" s="9" t="s">
        <v>73</v>
      </c>
      <c r="C329" s="9">
        <v>30.0</v>
      </c>
      <c r="D329" s="9" t="s">
        <v>35</v>
      </c>
      <c r="E329" s="9" t="s">
        <v>36</v>
      </c>
      <c r="F329" s="9" t="s">
        <v>50</v>
      </c>
      <c r="G329" s="9" t="s">
        <v>106</v>
      </c>
      <c r="H329" s="9" t="s">
        <v>247</v>
      </c>
      <c r="I329" s="9" t="s">
        <v>2980</v>
      </c>
      <c r="J329" s="9" t="s">
        <v>2981</v>
      </c>
      <c r="K329" s="9" t="s">
        <v>40</v>
      </c>
      <c r="L329" s="9" t="s">
        <v>40</v>
      </c>
      <c r="M329" s="9" t="s">
        <v>40</v>
      </c>
      <c r="P329" s="9" t="s">
        <v>128</v>
      </c>
      <c r="Q329" s="9" t="s">
        <v>42</v>
      </c>
      <c r="R329" s="9">
        <v>6426.0</v>
      </c>
      <c r="S329" s="9" t="s">
        <v>2982</v>
      </c>
      <c r="U329" s="9">
        <v>14.0</v>
      </c>
      <c r="V329" s="9" t="s">
        <v>2124</v>
      </c>
      <c r="W329" s="9" t="s">
        <v>2125</v>
      </c>
      <c r="X329" s="9" t="s">
        <v>2126</v>
      </c>
      <c r="Y329" s="9" t="s">
        <v>350</v>
      </c>
      <c r="Z329" s="9" t="s">
        <v>132</v>
      </c>
      <c r="AA329" s="9" t="s">
        <v>91</v>
      </c>
      <c r="AC329" s="9">
        <v>10.0</v>
      </c>
      <c r="AD329" s="9">
        <v>1.0</v>
      </c>
      <c r="AE329" s="9">
        <v>1.0</v>
      </c>
      <c r="AF329" s="9">
        <v>4500.0</v>
      </c>
      <c r="AG329" s="33"/>
    </row>
    <row r="330">
      <c r="A330" s="7">
        <v>44404.69176832176</v>
      </c>
      <c r="B330" s="9" t="s">
        <v>73</v>
      </c>
      <c r="C330" s="9">
        <v>24.0</v>
      </c>
      <c r="D330" s="9" t="s">
        <v>35</v>
      </c>
      <c r="E330" s="9" t="s">
        <v>36</v>
      </c>
      <c r="F330" s="9" t="s">
        <v>50</v>
      </c>
      <c r="G330" s="9" t="s">
        <v>300</v>
      </c>
      <c r="H330" s="9" t="s">
        <v>38</v>
      </c>
      <c r="I330" s="9" t="s">
        <v>2413</v>
      </c>
      <c r="J330" s="9" t="s">
        <v>534</v>
      </c>
      <c r="K330" s="9" t="s">
        <v>39</v>
      </c>
      <c r="L330" s="9" t="s">
        <v>40</v>
      </c>
      <c r="M330" s="9" t="s">
        <v>40</v>
      </c>
      <c r="P330" s="9" t="s">
        <v>2983</v>
      </c>
      <c r="Q330" s="9" t="s">
        <v>42</v>
      </c>
      <c r="R330" s="9">
        <v>4800.0</v>
      </c>
      <c r="S330" s="9">
        <v>7000.0</v>
      </c>
      <c r="T330" s="9">
        <v>0.0</v>
      </c>
      <c r="U330" s="9">
        <v>20.0</v>
      </c>
      <c r="V330" s="9" t="s">
        <v>2067</v>
      </c>
      <c r="W330" s="9" t="s">
        <v>2984</v>
      </c>
      <c r="X330" s="9" t="s">
        <v>58</v>
      </c>
      <c r="Y330" s="9" t="s">
        <v>80</v>
      </c>
      <c r="Z330" s="9" t="s">
        <v>60</v>
      </c>
      <c r="AA330" s="9" t="s">
        <v>91</v>
      </c>
      <c r="AC330" s="9">
        <v>7.0</v>
      </c>
      <c r="AD330" s="9">
        <v>2.0</v>
      </c>
      <c r="AE330" s="9">
        <v>0.0</v>
      </c>
      <c r="AF330" s="9">
        <v>4000.0</v>
      </c>
      <c r="AG330" s="33"/>
    </row>
    <row r="331">
      <c r="A331" s="7">
        <v>44404.699832881946</v>
      </c>
      <c r="B331" s="9" t="s">
        <v>49</v>
      </c>
      <c r="C331" s="9">
        <v>28.0</v>
      </c>
      <c r="D331" s="9" t="s">
        <v>35</v>
      </c>
      <c r="E331" s="9" t="s">
        <v>36</v>
      </c>
      <c r="F331" s="9" t="s">
        <v>2612</v>
      </c>
      <c r="G331" s="9" t="s">
        <v>2797</v>
      </c>
      <c r="H331" s="9" t="s">
        <v>38</v>
      </c>
      <c r="I331" s="9" t="s">
        <v>2368</v>
      </c>
      <c r="J331" s="9" t="s">
        <v>2421</v>
      </c>
      <c r="K331" s="9" t="s">
        <v>39</v>
      </c>
      <c r="L331" s="9" t="s">
        <v>40</v>
      </c>
      <c r="M331" s="9" t="s">
        <v>40</v>
      </c>
      <c r="P331" s="9" t="s">
        <v>2456</v>
      </c>
      <c r="Q331" s="9" t="s">
        <v>42</v>
      </c>
      <c r="R331" s="9">
        <v>4000.0</v>
      </c>
      <c r="S331" s="9">
        <v>0.0</v>
      </c>
      <c r="U331" s="9">
        <v>14.0</v>
      </c>
      <c r="V331" s="9" t="s">
        <v>720</v>
      </c>
      <c r="W331" s="9" t="s">
        <v>721</v>
      </c>
      <c r="X331" s="9" t="s">
        <v>722</v>
      </c>
      <c r="Y331" s="9" t="s">
        <v>80</v>
      </c>
      <c r="Z331" s="9" t="s">
        <v>60</v>
      </c>
      <c r="AA331" s="9" t="s">
        <v>61</v>
      </c>
      <c r="AC331" s="9">
        <v>8.0</v>
      </c>
      <c r="AD331" s="9">
        <v>1.5</v>
      </c>
      <c r="AE331" s="9">
        <v>1.0</v>
      </c>
      <c r="AF331" s="9">
        <v>2300.0</v>
      </c>
      <c r="AG331" s="33"/>
    </row>
    <row r="332">
      <c r="A332" s="7">
        <v>44404.700157141204</v>
      </c>
      <c r="B332" s="9" t="s">
        <v>49</v>
      </c>
      <c r="C332" s="9">
        <v>25.0</v>
      </c>
      <c r="D332" s="9" t="s">
        <v>35</v>
      </c>
      <c r="E332" s="9" t="s">
        <v>36</v>
      </c>
      <c r="G332" s="9" t="s">
        <v>124</v>
      </c>
      <c r="H332" s="9" t="s">
        <v>38</v>
      </c>
      <c r="I332" s="9" t="s">
        <v>651</v>
      </c>
      <c r="J332" s="9" t="s">
        <v>2472</v>
      </c>
      <c r="K332" s="9" t="s">
        <v>39</v>
      </c>
      <c r="L332" s="9" t="s">
        <v>39</v>
      </c>
      <c r="M332" s="9" t="s">
        <v>40</v>
      </c>
      <c r="N332" s="9" t="s">
        <v>717</v>
      </c>
      <c r="P332" s="9" t="s">
        <v>2985</v>
      </c>
      <c r="Q332" s="9" t="s">
        <v>42</v>
      </c>
      <c r="R332" s="9">
        <v>3000.0</v>
      </c>
      <c r="S332" s="9">
        <v>300.0</v>
      </c>
      <c r="T332" s="9">
        <v>0.0</v>
      </c>
      <c r="U332" s="9">
        <v>14.0</v>
      </c>
      <c r="V332" s="9" t="s">
        <v>718</v>
      </c>
      <c r="W332" s="9" t="s">
        <v>719</v>
      </c>
      <c r="X332" s="9" t="s">
        <v>122</v>
      </c>
      <c r="Y332" s="9" t="s">
        <v>70</v>
      </c>
      <c r="Z332" s="9" t="s">
        <v>132</v>
      </c>
      <c r="AA332" s="9" t="s">
        <v>61</v>
      </c>
      <c r="AC332" s="9">
        <v>6.0</v>
      </c>
      <c r="AD332" s="9">
        <v>2.0</v>
      </c>
      <c r="AE332" s="9">
        <v>1.0</v>
      </c>
      <c r="AF332" s="9">
        <v>2300.0</v>
      </c>
      <c r="AG332" s="33"/>
    </row>
    <row r="333">
      <c r="A333" s="7">
        <v>44404.70036027778</v>
      </c>
      <c r="B333" s="9" t="s">
        <v>49</v>
      </c>
      <c r="C333" s="9">
        <v>25.0</v>
      </c>
      <c r="D333" s="9" t="s">
        <v>35</v>
      </c>
      <c r="E333" s="9" t="s">
        <v>36</v>
      </c>
      <c r="F333" s="9" t="s">
        <v>50</v>
      </c>
      <c r="G333" s="9" t="s">
        <v>300</v>
      </c>
      <c r="H333" s="9" t="s">
        <v>38</v>
      </c>
      <c r="I333" s="9" t="s">
        <v>2384</v>
      </c>
      <c r="J333" s="9" t="s">
        <v>66</v>
      </c>
      <c r="K333" s="9" t="s">
        <v>39</v>
      </c>
      <c r="L333" s="9" t="s">
        <v>40</v>
      </c>
      <c r="M333" s="9" t="s">
        <v>40</v>
      </c>
      <c r="N333" s="9" t="s">
        <v>2986</v>
      </c>
      <c r="P333" s="9" t="s">
        <v>2987</v>
      </c>
      <c r="Q333" s="9" t="s">
        <v>42</v>
      </c>
      <c r="R333" s="9">
        <v>3380.0</v>
      </c>
      <c r="S333" s="9">
        <v>0.0</v>
      </c>
      <c r="T333" s="9">
        <v>0.0</v>
      </c>
      <c r="U333" s="9">
        <v>16.0</v>
      </c>
      <c r="V333" s="9" t="s">
        <v>1737</v>
      </c>
      <c r="W333" s="9" t="s">
        <v>1738</v>
      </c>
      <c r="X333" s="9" t="s">
        <v>50</v>
      </c>
      <c r="Y333" s="9" t="s">
        <v>80</v>
      </c>
      <c r="Z333" s="9" t="s">
        <v>60</v>
      </c>
      <c r="AA333" s="9" t="s">
        <v>61</v>
      </c>
      <c r="AC333" s="9">
        <v>8.0</v>
      </c>
      <c r="AD333" s="9">
        <v>2.0</v>
      </c>
      <c r="AE333" s="9">
        <v>1.0</v>
      </c>
      <c r="AF333" s="9">
        <v>3300.0</v>
      </c>
      <c r="AG333" s="33"/>
    </row>
    <row r="334">
      <c r="A334" s="7">
        <v>44404.70323381944</v>
      </c>
      <c r="B334" s="9" t="s">
        <v>49</v>
      </c>
      <c r="C334" s="9">
        <v>27.0</v>
      </c>
      <c r="D334" s="9" t="s">
        <v>35</v>
      </c>
      <c r="E334" s="9" t="s">
        <v>36</v>
      </c>
      <c r="F334" s="9" t="s">
        <v>124</v>
      </c>
      <c r="G334" s="9" t="s">
        <v>124</v>
      </c>
      <c r="H334" s="9" t="s">
        <v>38</v>
      </c>
      <c r="I334" s="9" t="s">
        <v>2413</v>
      </c>
      <c r="J334" s="9" t="s">
        <v>2988</v>
      </c>
      <c r="K334" s="9" t="s">
        <v>39</v>
      </c>
      <c r="L334" s="9" t="s">
        <v>40</v>
      </c>
      <c r="M334" s="9" t="s">
        <v>40</v>
      </c>
      <c r="P334" s="9" t="s">
        <v>2989</v>
      </c>
      <c r="Q334" s="9" t="s">
        <v>42</v>
      </c>
      <c r="R334" s="9">
        <v>8800.0</v>
      </c>
      <c r="S334" s="9">
        <v>12000.0</v>
      </c>
      <c r="T334" s="9">
        <v>0.0</v>
      </c>
      <c r="U334" s="9">
        <v>19.0</v>
      </c>
      <c r="V334" s="9" t="s">
        <v>2065</v>
      </c>
      <c r="W334" s="9" t="s">
        <v>2066</v>
      </c>
      <c r="X334" s="9" t="s">
        <v>58</v>
      </c>
      <c r="Y334" s="9" t="s">
        <v>80</v>
      </c>
      <c r="Z334" s="9" t="s">
        <v>81</v>
      </c>
      <c r="AA334" s="9" t="s">
        <v>611</v>
      </c>
      <c r="AC334" s="9">
        <v>7.0</v>
      </c>
      <c r="AD334" s="9">
        <v>5.0</v>
      </c>
      <c r="AE334" s="9">
        <v>0.0</v>
      </c>
      <c r="AF334" s="9">
        <v>4000.0</v>
      </c>
      <c r="AG334" s="33"/>
    </row>
    <row r="335">
      <c r="A335" s="7">
        <v>44404.71036643519</v>
      </c>
      <c r="B335" s="9" t="s">
        <v>73</v>
      </c>
      <c r="C335" s="9">
        <v>23.0</v>
      </c>
      <c r="D335" s="9" t="s">
        <v>35</v>
      </c>
      <c r="E335" s="9" t="s">
        <v>36</v>
      </c>
      <c r="F335" s="9" t="s">
        <v>50</v>
      </c>
      <c r="G335" s="9" t="s">
        <v>300</v>
      </c>
      <c r="H335" s="9" t="s">
        <v>93</v>
      </c>
      <c r="I335" s="9" t="s">
        <v>2990</v>
      </c>
      <c r="J335" s="9" t="s">
        <v>2991</v>
      </c>
      <c r="K335" s="9" t="s">
        <v>39</v>
      </c>
      <c r="L335" s="9" t="s">
        <v>40</v>
      </c>
      <c r="M335" s="9" t="s">
        <v>39</v>
      </c>
      <c r="O335" s="9" t="s">
        <v>1140</v>
      </c>
      <c r="P335" s="9" t="s">
        <v>2992</v>
      </c>
      <c r="Q335" s="9" t="s">
        <v>42</v>
      </c>
      <c r="R335" s="9">
        <v>3100.0</v>
      </c>
      <c r="S335" s="9">
        <v>0.0</v>
      </c>
      <c r="T335" s="9">
        <v>0.0</v>
      </c>
      <c r="U335" s="9">
        <v>14.0</v>
      </c>
      <c r="V335" s="9" t="s">
        <v>1141</v>
      </c>
      <c r="W335" s="9" t="s">
        <v>1142</v>
      </c>
      <c r="X335" s="9" t="s">
        <v>300</v>
      </c>
      <c r="Y335" s="9" t="s">
        <v>868</v>
      </c>
      <c r="Z335" s="9" t="s">
        <v>60</v>
      </c>
      <c r="AA335" s="9" t="s">
        <v>61</v>
      </c>
      <c r="AC335" s="9">
        <v>6.0</v>
      </c>
      <c r="AD335" s="9">
        <v>2.0</v>
      </c>
      <c r="AE335" s="9">
        <v>1.0</v>
      </c>
      <c r="AF335" s="9">
        <v>2800.0</v>
      </c>
      <c r="AG335" s="33"/>
    </row>
    <row r="336">
      <c r="A336" s="7">
        <v>44404.72294815972</v>
      </c>
      <c r="B336" s="9" t="s">
        <v>49</v>
      </c>
      <c r="C336" s="9">
        <v>22.0</v>
      </c>
      <c r="D336" s="9" t="s">
        <v>35</v>
      </c>
      <c r="E336" s="9" t="s">
        <v>36</v>
      </c>
      <c r="F336" s="9" t="s">
        <v>50</v>
      </c>
      <c r="G336" s="9" t="s">
        <v>300</v>
      </c>
      <c r="H336" s="9" t="s">
        <v>38</v>
      </c>
      <c r="I336" s="9" t="s">
        <v>2368</v>
      </c>
      <c r="J336" s="9" t="s">
        <v>2993</v>
      </c>
      <c r="K336" s="9" t="s">
        <v>39</v>
      </c>
      <c r="L336" s="9" t="s">
        <v>40</v>
      </c>
      <c r="M336" s="9" t="s">
        <v>40</v>
      </c>
      <c r="P336" s="9" t="s">
        <v>1741</v>
      </c>
      <c r="Q336" s="9" t="s">
        <v>42</v>
      </c>
      <c r="R336" s="9">
        <v>3300.0</v>
      </c>
      <c r="U336" s="9">
        <v>22.0</v>
      </c>
      <c r="V336" s="9" t="s">
        <v>1742</v>
      </c>
      <c r="W336" s="9" t="s">
        <v>1743</v>
      </c>
      <c r="X336" s="9" t="s">
        <v>58</v>
      </c>
      <c r="Y336" s="9" t="s">
        <v>59</v>
      </c>
      <c r="Z336" s="9" t="s">
        <v>90</v>
      </c>
      <c r="AA336" s="9" t="s">
        <v>91</v>
      </c>
      <c r="AC336" s="9">
        <v>6.0</v>
      </c>
      <c r="AD336" s="9">
        <v>0.0</v>
      </c>
      <c r="AE336" s="9">
        <v>0.0</v>
      </c>
      <c r="AF336" s="9">
        <v>3300.0</v>
      </c>
      <c r="AG336" s="33"/>
    </row>
    <row r="337">
      <c r="A337" s="7">
        <v>44404.7296494676</v>
      </c>
      <c r="B337" s="9" t="s">
        <v>49</v>
      </c>
      <c r="C337" s="9">
        <v>36.0</v>
      </c>
      <c r="D337" s="9" t="s">
        <v>35</v>
      </c>
      <c r="E337" s="9" t="s">
        <v>36</v>
      </c>
      <c r="F337" s="9" t="s">
        <v>164</v>
      </c>
      <c r="G337" s="9" t="s">
        <v>1463</v>
      </c>
      <c r="H337" s="9" t="s">
        <v>93</v>
      </c>
      <c r="I337" s="9" t="s">
        <v>2994</v>
      </c>
      <c r="J337" s="9" t="s">
        <v>2995</v>
      </c>
      <c r="K337" s="9" t="s">
        <v>39</v>
      </c>
      <c r="L337" s="9" t="s">
        <v>39</v>
      </c>
      <c r="M337" s="9" t="s">
        <v>40</v>
      </c>
      <c r="N337" s="9" t="s">
        <v>1465</v>
      </c>
      <c r="P337" s="9" t="s">
        <v>2755</v>
      </c>
      <c r="Q337" s="9" t="s">
        <v>42</v>
      </c>
      <c r="R337" s="9">
        <v>8000.0</v>
      </c>
      <c r="S337" s="9">
        <v>0.0</v>
      </c>
      <c r="T337" s="9">
        <v>0.0</v>
      </c>
      <c r="U337" s="9">
        <v>15.0</v>
      </c>
      <c r="V337" s="9" t="s">
        <v>1466</v>
      </c>
      <c r="W337" s="9" t="s">
        <v>1467</v>
      </c>
      <c r="X337" s="9" t="s">
        <v>99</v>
      </c>
      <c r="Y337" s="9" t="s">
        <v>1468</v>
      </c>
      <c r="Z337" s="9" t="s">
        <v>132</v>
      </c>
      <c r="AA337" s="9" t="s">
        <v>91</v>
      </c>
      <c r="AC337" s="9">
        <v>8.0</v>
      </c>
      <c r="AD337" s="9">
        <v>5.0</v>
      </c>
      <c r="AE337" s="9">
        <v>1.0</v>
      </c>
      <c r="AF337" s="9">
        <v>3000.0</v>
      </c>
      <c r="AG337" s="33"/>
    </row>
    <row r="338">
      <c r="A338" s="7">
        <v>44404.7419140625</v>
      </c>
      <c r="B338" s="9" t="s">
        <v>49</v>
      </c>
      <c r="C338" s="9">
        <v>20.0</v>
      </c>
      <c r="D338" s="9" t="s">
        <v>431</v>
      </c>
      <c r="E338" s="9" t="s">
        <v>432</v>
      </c>
      <c r="H338" s="9" t="s">
        <v>302</v>
      </c>
      <c r="K338" s="9" t="s">
        <v>39</v>
      </c>
      <c r="L338" s="9" t="s">
        <v>39</v>
      </c>
      <c r="M338" s="9" t="s">
        <v>40</v>
      </c>
      <c r="P338" s="9" t="s">
        <v>2996</v>
      </c>
      <c r="Q338" s="9" t="s">
        <v>42</v>
      </c>
      <c r="R338" s="9">
        <v>1700.0</v>
      </c>
      <c r="U338" s="9">
        <v>0.0</v>
      </c>
      <c r="V338" s="9" t="s">
        <v>433</v>
      </c>
      <c r="W338" s="9" t="s">
        <v>434</v>
      </c>
      <c r="X338" s="9" t="s">
        <v>58</v>
      </c>
      <c r="Y338" s="9" t="s">
        <v>70</v>
      </c>
      <c r="Z338" s="9" t="s">
        <v>132</v>
      </c>
      <c r="AA338" s="9" t="s">
        <v>61</v>
      </c>
      <c r="AC338" s="9">
        <v>7.0</v>
      </c>
      <c r="AD338" s="9" t="s">
        <v>435</v>
      </c>
      <c r="AE338" s="9" t="s">
        <v>436</v>
      </c>
      <c r="AF338" s="9">
        <v>1700.0</v>
      </c>
      <c r="AG338" s="33"/>
    </row>
    <row r="339">
      <c r="A339" s="7">
        <v>44404.74723277778</v>
      </c>
      <c r="B339" s="9" t="s">
        <v>49</v>
      </c>
      <c r="C339" s="9">
        <v>23.0</v>
      </c>
      <c r="D339" s="9" t="s">
        <v>35</v>
      </c>
      <c r="E339" s="9" t="s">
        <v>36</v>
      </c>
      <c r="F339" s="9" t="s">
        <v>50</v>
      </c>
      <c r="G339" s="9" t="s">
        <v>99</v>
      </c>
      <c r="H339" s="9" t="s">
        <v>38</v>
      </c>
      <c r="I339" s="9" t="s">
        <v>2368</v>
      </c>
      <c r="J339" s="9" t="s">
        <v>2997</v>
      </c>
      <c r="K339" s="9" t="s">
        <v>39</v>
      </c>
      <c r="L339" s="9" t="s">
        <v>40</v>
      </c>
      <c r="M339" s="9" t="s">
        <v>40</v>
      </c>
      <c r="P339" s="9" t="s">
        <v>2802</v>
      </c>
      <c r="Q339" s="9" t="s">
        <v>42</v>
      </c>
      <c r="R339" s="9">
        <v>3000.0</v>
      </c>
      <c r="S339" s="9">
        <v>0.0</v>
      </c>
      <c r="T339" s="9">
        <v>0.0</v>
      </c>
      <c r="U339" s="9">
        <v>14.0</v>
      </c>
      <c r="V339" s="9" t="s">
        <v>157</v>
      </c>
      <c r="W339" s="9" t="s">
        <v>865</v>
      </c>
      <c r="X339" s="9" t="s">
        <v>99</v>
      </c>
      <c r="Y339" s="9" t="s">
        <v>868</v>
      </c>
      <c r="Z339" s="9" t="s">
        <v>71</v>
      </c>
      <c r="AA339" s="9" t="s">
        <v>61</v>
      </c>
      <c r="AB339" s="9" t="s">
        <v>1419</v>
      </c>
      <c r="AC339" s="9">
        <v>3.0</v>
      </c>
      <c r="AD339" s="9">
        <v>1.0</v>
      </c>
      <c r="AE339" s="9">
        <v>0.0</v>
      </c>
      <c r="AF339" s="9">
        <v>3000.0</v>
      </c>
      <c r="AG339" s="33"/>
    </row>
    <row r="340">
      <c r="A340" s="7">
        <v>44404.750430810185</v>
      </c>
      <c r="B340" s="9" t="s">
        <v>49</v>
      </c>
      <c r="C340" s="9">
        <v>32.0</v>
      </c>
      <c r="D340" s="9" t="s">
        <v>35</v>
      </c>
      <c r="E340" s="9" t="s">
        <v>36</v>
      </c>
      <c r="F340" s="9" t="s">
        <v>50</v>
      </c>
      <c r="G340" s="9" t="s">
        <v>82</v>
      </c>
      <c r="H340" s="9" t="s">
        <v>93</v>
      </c>
      <c r="I340" s="9" t="s">
        <v>2743</v>
      </c>
      <c r="J340" s="9" t="s">
        <v>2444</v>
      </c>
      <c r="K340" s="9" t="s">
        <v>39</v>
      </c>
      <c r="L340" s="9" t="s">
        <v>40</v>
      </c>
      <c r="M340" s="9" t="s">
        <v>40</v>
      </c>
      <c r="P340" s="9" t="s">
        <v>2858</v>
      </c>
      <c r="Q340" s="9" t="s">
        <v>42</v>
      </c>
      <c r="R340" s="9">
        <v>8500.0</v>
      </c>
      <c r="S340" s="9">
        <v>8500.0</v>
      </c>
      <c r="T340" s="9">
        <v>0.0</v>
      </c>
      <c r="U340" s="9">
        <v>14.0</v>
      </c>
      <c r="V340" s="9" t="s">
        <v>1438</v>
      </c>
      <c r="W340" s="9" t="s">
        <v>44</v>
      </c>
      <c r="X340" s="9" t="s">
        <v>58</v>
      </c>
      <c r="Y340" s="9" t="s">
        <v>1439</v>
      </c>
      <c r="Z340" s="9" t="s">
        <v>132</v>
      </c>
      <c r="AA340" s="9" t="s">
        <v>91</v>
      </c>
      <c r="AC340" s="9">
        <v>7.0</v>
      </c>
      <c r="AD340" s="9">
        <v>7.0</v>
      </c>
      <c r="AE340" s="9">
        <v>2.0</v>
      </c>
      <c r="AF340" s="9">
        <v>3000.0</v>
      </c>
      <c r="AG340" s="33"/>
    </row>
    <row r="341">
      <c r="A341" s="7">
        <v>44404.76034707176</v>
      </c>
      <c r="B341" s="9" t="s">
        <v>49</v>
      </c>
      <c r="C341" s="9">
        <v>30.0</v>
      </c>
      <c r="D341" s="9" t="s">
        <v>35</v>
      </c>
      <c r="E341" s="9" t="s">
        <v>246</v>
      </c>
      <c r="F341" s="9" t="s">
        <v>246</v>
      </c>
      <c r="G341" s="9" t="s">
        <v>246</v>
      </c>
      <c r="H341" s="9" t="s">
        <v>38</v>
      </c>
      <c r="I341" s="9" t="s">
        <v>2998</v>
      </c>
      <c r="J341" s="9" t="s">
        <v>2999</v>
      </c>
      <c r="K341" s="9" t="s">
        <v>39</v>
      </c>
      <c r="L341" s="9" t="s">
        <v>40</v>
      </c>
      <c r="M341" s="9" t="s">
        <v>40</v>
      </c>
      <c r="P341" s="9" t="s">
        <v>146</v>
      </c>
      <c r="Q341" s="9" t="s">
        <v>250</v>
      </c>
      <c r="R341" s="9">
        <v>6600.0</v>
      </c>
      <c r="S341" s="9">
        <v>0.0</v>
      </c>
      <c r="T341" s="9">
        <v>0.0</v>
      </c>
      <c r="U341" s="9">
        <v>15.0</v>
      </c>
      <c r="V341" s="9" t="s">
        <v>1155</v>
      </c>
      <c r="W341" s="9" t="s">
        <v>321</v>
      </c>
      <c r="X341" s="9" t="s">
        <v>246</v>
      </c>
      <c r="Y341" s="9" t="s">
        <v>89</v>
      </c>
      <c r="Z341" s="9" t="s">
        <v>90</v>
      </c>
      <c r="AA341" s="9" t="s">
        <v>61</v>
      </c>
      <c r="AC341" s="9">
        <v>5.0</v>
      </c>
      <c r="AD341" s="9">
        <v>7.0</v>
      </c>
      <c r="AE341" s="9">
        <v>3.0</v>
      </c>
      <c r="AF341" s="9">
        <v>2800.0</v>
      </c>
      <c r="AG341" s="33"/>
    </row>
    <row r="342">
      <c r="A342" s="7">
        <v>44404.764194664356</v>
      </c>
      <c r="B342" s="9" t="s">
        <v>49</v>
      </c>
      <c r="C342" s="9">
        <v>28.0</v>
      </c>
      <c r="D342" s="9" t="s">
        <v>35</v>
      </c>
      <c r="E342" s="9" t="s">
        <v>36</v>
      </c>
      <c r="H342" s="9" t="s">
        <v>38</v>
      </c>
      <c r="K342" s="9" t="s">
        <v>39</v>
      </c>
      <c r="L342" s="9" t="s">
        <v>39</v>
      </c>
      <c r="M342" s="9" t="s">
        <v>40</v>
      </c>
      <c r="P342" s="9" t="s">
        <v>3000</v>
      </c>
      <c r="Q342" s="9" t="s">
        <v>42</v>
      </c>
      <c r="R342" s="9">
        <v>8000.0</v>
      </c>
      <c r="U342" s="9">
        <v>18.0</v>
      </c>
      <c r="V342" s="9" t="s">
        <v>1890</v>
      </c>
      <c r="W342" s="9" t="s">
        <v>224</v>
      </c>
      <c r="X342" s="9" t="s">
        <v>124</v>
      </c>
      <c r="Y342" s="9" t="s">
        <v>59</v>
      </c>
      <c r="Z342" s="9" t="s">
        <v>60</v>
      </c>
      <c r="AA342" s="9" t="s">
        <v>91</v>
      </c>
      <c r="AC342" s="9">
        <v>6.0</v>
      </c>
      <c r="AD342" s="9">
        <v>5.0</v>
      </c>
      <c r="AE342" s="9">
        <v>1.0</v>
      </c>
      <c r="AF342" s="9">
        <v>3500.0</v>
      </c>
      <c r="AG342" s="33"/>
    </row>
    <row r="343">
      <c r="A343" s="7">
        <v>44404.784698159725</v>
      </c>
      <c r="B343" s="9" t="s">
        <v>49</v>
      </c>
      <c r="C343" s="9">
        <v>24.0</v>
      </c>
      <c r="D343" s="9" t="s">
        <v>35</v>
      </c>
      <c r="E343" s="9" t="s">
        <v>36</v>
      </c>
      <c r="F343" s="9" t="s">
        <v>164</v>
      </c>
      <c r="G343" s="9" t="s">
        <v>165</v>
      </c>
      <c r="H343" s="9" t="s">
        <v>247</v>
      </c>
      <c r="I343" s="9" t="s">
        <v>3001</v>
      </c>
      <c r="J343" s="9" t="s">
        <v>2997</v>
      </c>
      <c r="K343" s="9" t="s">
        <v>39</v>
      </c>
      <c r="L343" s="9" t="s">
        <v>40</v>
      </c>
      <c r="M343" s="9" t="s">
        <v>40</v>
      </c>
      <c r="P343" s="9" t="s">
        <v>746</v>
      </c>
      <c r="Q343" s="9" t="s">
        <v>42</v>
      </c>
      <c r="R343" s="9">
        <v>4200.0</v>
      </c>
      <c r="S343" s="9">
        <v>0.0</v>
      </c>
      <c r="T343" s="9">
        <v>0.0</v>
      </c>
      <c r="U343" s="9">
        <v>12.0</v>
      </c>
      <c r="V343" s="9" t="s">
        <v>1838</v>
      </c>
      <c r="W343" s="9" t="s">
        <v>1839</v>
      </c>
      <c r="X343" s="9" t="s">
        <v>58</v>
      </c>
      <c r="Y343" s="9" t="s">
        <v>80</v>
      </c>
      <c r="Z343" s="9" t="s">
        <v>60</v>
      </c>
      <c r="AA343" s="9" t="s">
        <v>61</v>
      </c>
      <c r="AC343" s="9">
        <v>2.0</v>
      </c>
      <c r="AD343" s="9">
        <v>1.0</v>
      </c>
      <c r="AE343" s="9">
        <v>0.0</v>
      </c>
      <c r="AF343" s="9">
        <v>3500.0</v>
      </c>
      <c r="AG343" s="33"/>
    </row>
    <row r="344">
      <c r="A344" s="7">
        <v>44404.78503142361</v>
      </c>
      <c r="B344" s="9" t="s">
        <v>49</v>
      </c>
      <c r="C344" s="9">
        <v>28.0</v>
      </c>
      <c r="D344" s="9" t="s">
        <v>35</v>
      </c>
      <c r="E344" s="9" t="s">
        <v>246</v>
      </c>
      <c r="F344" s="9" t="s">
        <v>3002</v>
      </c>
      <c r="G344" s="9" t="s">
        <v>246</v>
      </c>
      <c r="H344" s="9" t="s">
        <v>38</v>
      </c>
      <c r="I344" s="9" t="s">
        <v>3003</v>
      </c>
      <c r="J344" s="9" t="s">
        <v>84</v>
      </c>
      <c r="K344" s="9" t="s">
        <v>39</v>
      </c>
      <c r="L344" s="9" t="s">
        <v>40</v>
      </c>
      <c r="M344" s="9" t="s">
        <v>39</v>
      </c>
      <c r="P344" s="9" t="s">
        <v>448</v>
      </c>
      <c r="Q344" s="9" t="s">
        <v>250</v>
      </c>
      <c r="R344" s="9">
        <v>5000.0</v>
      </c>
      <c r="S344" s="9">
        <v>15000.0</v>
      </c>
      <c r="U344" s="9">
        <v>20.0</v>
      </c>
      <c r="V344" s="9" t="s">
        <v>1739</v>
      </c>
      <c r="W344" s="9" t="s">
        <v>1740</v>
      </c>
      <c r="X344" s="9" t="s">
        <v>820</v>
      </c>
      <c r="Y344" s="9" t="s">
        <v>80</v>
      </c>
      <c r="Z344" s="9" t="s">
        <v>60</v>
      </c>
      <c r="AA344" s="9" t="s">
        <v>91</v>
      </c>
      <c r="AC344" s="9">
        <v>6.0</v>
      </c>
      <c r="AD344" s="9">
        <v>5.0</v>
      </c>
      <c r="AE344" s="9">
        <v>2.0</v>
      </c>
      <c r="AF344" s="9">
        <v>3300.0</v>
      </c>
      <c r="AG344" s="33"/>
    </row>
    <row r="345">
      <c r="A345" s="7">
        <v>44404.78714712963</v>
      </c>
      <c r="B345" s="9" t="s">
        <v>49</v>
      </c>
      <c r="C345" s="9">
        <v>26.0</v>
      </c>
      <c r="D345" s="9" t="s">
        <v>35</v>
      </c>
      <c r="E345" s="9" t="s">
        <v>36</v>
      </c>
      <c r="F345" s="9" t="s">
        <v>50</v>
      </c>
      <c r="G345" s="9" t="s">
        <v>106</v>
      </c>
      <c r="H345" s="9" t="s">
        <v>38</v>
      </c>
      <c r="I345" s="9" t="s">
        <v>3004</v>
      </c>
      <c r="J345" s="9" t="s">
        <v>2699</v>
      </c>
      <c r="K345" s="9" t="s">
        <v>39</v>
      </c>
      <c r="L345" s="9" t="s">
        <v>40</v>
      </c>
      <c r="M345" s="9" t="s">
        <v>40</v>
      </c>
      <c r="P345" s="9" t="s">
        <v>2497</v>
      </c>
      <c r="Q345" s="9" t="s">
        <v>42</v>
      </c>
      <c r="R345" s="9">
        <v>7200.0</v>
      </c>
      <c r="S345" s="9">
        <v>0.0</v>
      </c>
      <c r="T345" s="9">
        <v>0.0</v>
      </c>
      <c r="U345" s="9">
        <v>21.0</v>
      </c>
      <c r="V345" s="9" t="s">
        <v>1511</v>
      </c>
      <c r="W345" s="9" t="s">
        <v>3005</v>
      </c>
      <c r="X345" s="9" t="s">
        <v>1513</v>
      </c>
      <c r="Y345" s="9" t="s">
        <v>59</v>
      </c>
      <c r="Z345" s="9" t="s">
        <v>60</v>
      </c>
      <c r="AA345" s="9" t="s">
        <v>133</v>
      </c>
      <c r="AB345" s="9" t="s">
        <v>1397</v>
      </c>
      <c r="AC345" s="9">
        <v>8.0</v>
      </c>
      <c r="AD345" s="9">
        <v>3.0</v>
      </c>
      <c r="AE345" s="9">
        <v>3.0</v>
      </c>
      <c r="AF345" s="9">
        <v>3000.0</v>
      </c>
      <c r="AG345" s="33"/>
    </row>
    <row r="346">
      <c r="A346" s="7">
        <v>44404.788877858795</v>
      </c>
      <c r="B346" s="9" t="s">
        <v>49</v>
      </c>
      <c r="C346" s="9">
        <v>38.0</v>
      </c>
      <c r="D346" s="9" t="s">
        <v>35</v>
      </c>
      <c r="E346" s="9" t="s">
        <v>36</v>
      </c>
      <c r="F346" s="9" t="s">
        <v>124</v>
      </c>
      <c r="G346" s="9" t="s">
        <v>124</v>
      </c>
      <c r="H346" s="9" t="s">
        <v>38</v>
      </c>
      <c r="I346" s="9" t="s">
        <v>3006</v>
      </c>
      <c r="J346" s="9" t="s">
        <v>502</v>
      </c>
      <c r="K346" s="9" t="s">
        <v>39</v>
      </c>
      <c r="L346" s="9" t="s">
        <v>40</v>
      </c>
      <c r="M346" s="9" t="s">
        <v>39</v>
      </c>
      <c r="O346" s="9" t="s">
        <v>1171</v>
      </c>
      <c r="P346" s="9" t="s">
        <v>3007</v>
      </c>
      <c r="Q346" s="9" t="s">
        <v>42</v>
      </c>
      <c r="R346" s="9">
        <v>16000.0</v>
      </c>
      <c r="S346" s="9">
        <v>0.0</v>
      </c>
      <c r="T346" s="9">
        <v>0.0</v>
      </c>
      <c r="U346" s="9">
        <v>18.0</v>
      </c>
      <c r="V346" s="9" t="s">
        <v>1173</v>
      </c>
      <c r="W346" s="9" t="s">
        <v>1174</v>
      </c>
      <c r="X346" s="9" t="s">
        <v>58</v>
      </c>
      <c r="Y346" s="9" t="s">
        <v>116</v>
      </c>
      <c r="Z346" s="9" t="s">
        <v>60</v>
      </c>
      <c r="AA346" s="9" t="s">
        <v>61</v>
      </c>
      <c r="AC346" s="9">
        <v>7.0</v>
      </c>
      <c r="AD346" s="9">
        <v>14.0</v>
      </c>
      <c r="AE346" s="9">
        <v>7.0</v>
      </c>
      <c r="AF346" s="9">
        <v>2800.0</v>
      </c>
      <c r="AG346" s="33"/>
    </row>
    <row r="347">
      <c r="A347" s="7">
        <v>44404.79339938657</v>
      </c>
      <c r="B347" s="9" t="s">
        <v>49</v>
      </c>
      <c r="C347" s="9">
        <v>27.0</v>
      </c>
      <c r="D347" s="9" t="s">
        <v>35</v>
      </c>
      <c r="E347" s="9" t="s">
        <v>36</v>
      </c>
      <c r="F347" s="9" t="s">
        <v>349</v>
      </c>
      <c r="G347" s="9" t="s">
        <v>349</v>
      </c>
      <c r="H347" s="9" t="s">
        <v>38</v>
      </c>
      <c r="I347" s="9" t="s">
        <v>2414</v>
      </c>
      <c r="J347" s="9" t="s">
        <v>2999</v>
      </c>
      <c r="K347" s="9" t="s">
        <v>39</v>
      </c>
      <c r="L347" s="9" t="s">
        <v>40</v>
      </c>
      <c r="M347" s="9" t="s">
        <v>39</v>
      </c>
      <c r="O347" s="9" t="s">
        <v>3008</v>
      </c>
      <c r="P347" s="9" t="s">
        <v>3009</v>
      </c>
      <c r="Q347" s="9" t="s">
        <v>42</v>
      </c>
      <c r="R347" s="9">
        <v>5500.0</v>
      </c>
      <c r="S347" s="9">
        <v>0.0</v>
      </c>
      <c r="T347" s="9">
        <v>0.0</v>
      </c>
      <c r="U347" s="9">
        <v>18.0</v>
      </c>
      <c r="V347" s="9" t="s">
        <v>1169</v>
      </c>
      <c r="W347" s="9" t="s">
        <v>1170</v>
      </c>
      <c r="X347" s="9" t="s">
        <v>131</v>
      </c>
      <c r="Y347" s="9" t="s">
        <v>59</v>
      </c>
      <c r="Z347" s="9" t="s">
        <v>132</v>
      </c>
      <c r="AA347" s="9" t="s">
        <v>61</v>
      </c>
      <c r="AC347" s="9">
        <v>6.0</v>
      </c>
      <c r="AD347" s="9">
        <v>3.0</v>
      </c>
      <c r="AE347" s="9">
        <v>1.0</v>
      </c>
      <c r="AF347" s="9">
        <v>2800.0</v>
      </c>
      <c r="AG347" s="33"/>
    </row>
    <row r="348">
      <c r="A348" s="7">
        <v>44404.804296793984</v>
      </c>
      <c r="B348" s="9" t="s">
        <v>49</v>
      </c>
      <c r="C348" s="9">
        <v>33.0</v>
      </c>
      <c r="D348" s="9" t="s">
        <v>35</v>
      </c>
      <c r="E348" s="9" t="s">
        <v>1533</v>
      </c>
      <c r="F348" s="9" t="s">
        <v>3010</v>
      </c>
      <c r="G348" s="9" t="s">
        <v>1535</v>
      </c>
      <c r="H348" s="9" t="s">
        <v>93</v>
      </c>
      <c r="I348" s="9" t="s">
        <v>1536</v>
      </c>
      <c r="J348" s="9" t="s">
        <v>1536</v>
      </c>
      <c r="K348" s="9" t="s">
        <v>40</v>
      </c>
      <c r="L348" s="9" t="s">
        <v>39</v>
      </c>
      <c r="M348" s="9" t="s">
        <v>39</v>
      </c>
      <c r="N348" s="9" t="s">
        <v>3011</v>
      </c>
      <c r="O348" s="9" t="s">
        <v>1538</v>
      </c>
      <c r="P348" s="9" t="s">
        <v>2451</v>
      </c>
      <c r="Q348" s="9" t="s">
        <v>538</v>
      </c>
      <c r="R348" s="9">
        <v>8000.0</v>
      </c>
      <c r="S348" s="9" t="s">
        <v>3012</v>
      </c>
      <c r="T348" s="9">
        <v>0.0</v>
      </c>
      <c r="U348" s="9">
        <v>60.0</v>
      </c>
      <c r="V348" s="9" t="s">
        <v>1539</v>
      </c>
      <c r="W348" s="9" t="s">
        <v>3013</v>
      </c>
      <c r="X348" s="9" t="s">
        <v>1541</v>
      </c>
      <c r="Y348" s="9" t="s">
        <v>70</v>
      </c>
      <c r="Z348" s="9" t="s">
        <v>71</v>
      </c>
      <c r="AA348" s="9" t="s">
        <v>61</v>
      </c>
      <c r="AB348" s="9" t="s">
        <v>3014</v>
      </c>
      <c r="AC348" s="9">
        <v>10.0</v>
      </c>
      <c r="AD348" s="9">
        <v>10.0</v>
      </c>
      <c r="AE348" s="9">
        <v>3.0</v>
      </c>
      <c r="AF348" s="9">
        <v>3000.0</v>
      </c>
      <c r="AG348" s="33"/>
    </row>
    <row r="349">
      <c r="A349" s="7">
        <v>44404.812840439816</v>
      </c>
      <c r="B349" s="9" t="s">
        <v>49</v>
      </c>
      <c r="C349" s="9">
        <v>25.0</v>
      </c>
      <c r="D349" s="9" t="s">
        <v>35</v>
      </c>
      <c r="E349" s="9" t="s">
        <v>36</v>
      </c>
      <c r="F349" s="9" t="s">
        <v>124</v>
      </c>
      <c r="G349" s="9" t="s">
        <v>124</v>
      </c>
      <c r="H349" s="9" t="s">
        <v>38</v>
      </c>
      <c r="I349" s="9" t="s">
        <v>2414</v>
      </c>
      <c r="J349" s="9" t="s">
        <v>2627</v>
      </c>
      <c r="K349" s="9" t="s">
        <v>39</v>
      </c>
      <c r="L349" s="9" t="s">
        <v>39</v>
      </c>
      <c r="M349" s="9" t="s">
        <v>40</v>
      </c>
      <c r="N349" s="9" t="s">
        <v>1428</v>
      </c>
      <c r="P349" s="9" t="s">
        <v>877</v>
      </c>
      <c r="Q349" s="9" t="s">
        <v>42</v>
      </c>
      <c r="R349" s="9">
        <v>5300.0</v>
      </c>
      <c r="S349" s="9">
        <v>0.0</v>
      </c>
      <c r="T349" s="9">
        <v>0.0</v>
      </c>
      <c r="U349" s="9">
        <v>14.0</v>
      </c>
      <c r="V349" s="9" t="s">
        <v>1429</v>
      </c>
      <c r="W349" s="9" t="s">
        <v>1430</v>
      </c>
      <c r="X349" s="9" t="s">
        <v>122</v>
      </c>
      <c r="Y349" s="9" t="s">
        <v>1431</v>
      </c>
      <c r="Z349" s="9" t="s">
        <v>71</v>
      </c>
      <c r="AA349" s="9" t="s">
        <v>91</v>
      </c>
      <c r="AC349" s="9">
        <v>5.0</v>
      </c>
      <c r="AD349" s="9">
        <v>3.0</v>
      </c>
      <c r="AE349" s="9">
        <v>0.0</v>
      </c>
      <c r="AF349" s="9">
        <v>3000.0</v>
      </c>
      <c r="AG349" s="33"/>
    </row>
    <row r="350">
      <c r="A350" s="7">
        <v>44404.81525050926</v>
      </c>
      <c r="B350" s="9" t="s">
        <v>49</v>
      </c>
      <c r="C350" s="9">
        <v>34.0</v>
      </c>
      <c r="D350" s="9" t="s">
        <v>35</v>
      </c>
      <c r="E350" s="9" t="s">
        <v>36</v>
      </c>
      <c r="F350" s="9" t="s">
        <v>349</v>
      </c>
      <c r="G350" s="9" t="s">
        <v>349</v>
      </c>
      <c r="H350" s="9" t="s">
        <v>38</v>
      </c>
      <c r="I350" s="9" t="s">
        <v>3015</v>
      </c>
      <c r="J350" s="9" t="s">
        <v>3016</v>
      </c>
      <c r="K350" s="9" t="s">
        <v>39</v>
      </c>
      <c r="L350" s="9" t="s">
        <v>40</v>
      </c>
      <c r="M350" s="9" t="s">
        <v>39</v>
      </c>
      <c r="O350" s="9" t="s">
        <v>859</v>
      </c>
      <c r="P350" s="9" t="s">
        <v>746</v>
      </c>
      <c r="Q350" s="9" t="s">
        <v>42</v>
      </c>
      <c r="R350" s="9">
        <v>15000.0</v>
      </c>
      <c r="S350" s="9">
        <v>0.0</v>
      </c>
      <c r="T350" s="9">
        <v>0.0</v>
      </c>
      <c r="U350" s="9">
        <v>12.0</v>
      </c>
      <c r="V350" s="9" t="s">
        <v>860</v>
      </c>
      <c r="W350" s="9" t="s">
        <v>861</v>
      </c>
      <c r="X350" s="9" t="s">
        <v>862</v>
      </c>
      <c r="Y350" s="9" t="s">
        <v>89</v>
      </c>
      <c r="Z350" s="9" t="s">
        <v>132</v>
      </c>
      <c r="AA350" s="9" t="s">
        <v>61</v>
      </c>
      <c r="AC350" s="9">
        <v>9.0</v>
      </c>
      <c r="AD350" s="9">
        <v>9.0</v>
      </c>
      <c r="AE350" s="9">
        <v>4.0</v>
      </c>
      <c r="AF350" s="9">
        <v>2500.0</v>
      </c>
      <c r="AG350" s="33"/>
    </row>
    <row r="351">
      <c r="A351" s="7">
        <v>44404.81746908565</v>
      </c>
      <c r="B351" s="9" t="s">
        <v>49</v>
      </c>
      <c r="C351" s="9">
        <v>29.0</v>
      </c>
      <c r="D351" s="9" t="s">
        <v>35</v>
      </c>
      <c r="E351" s="9" t="s">
        <v>36</v>
      </c>
      <c r="F351" s="9" t="s">
        <v>124</v>
      </c>
      <c r="G351" s="9" t="s">
        <v>124</v>
      </c>
      <c r="H351" s="9" t="s">
        <v>38</v>
      </c>
      <c r="I351" s="9" t="s">
        <v>3017</v>
      </c>
      <c r="J351" s="9" t="s">
        <v>3018</v>
      </c>
      <c r="K351" s="9" t="s">
        <v>39</v>
      </c>
      <c r="L351" s="9" t="s">
        <v>40</v>
      </c>
      <c r="M351" s="9" t="s">
        <v>40</v>
      </c>
      <c r="P351" s="9" t="s">
        <v>3019</v>
      </c>
      <c r="Q351" s="9" t="s">
        <v>42</v>
      </c>
      <c r="R351" s="9">
        <v>10000.0</v>
      </c>
      <c r="S351" s="9">
        <v>10000.0</v>
      </c>
      <c r="T351" s="9">
        <v>0.0</v>
      </c>
      <c r="U351" s="9">
        <v>18.0</v>
      </c>
      <c r="V351" s="9" t="s">
        <v>1175</v>
      </c>
      <c r="W351" s="9" t="s">
        <v>1176</v>
      </c>
      <c r="X351" s="9" t="s">
        <v>349</v>
      </c>
      <c r="Y351" s="9" t="s">
        <v>423</v>
      </c>
      <c r="Z351" s="9" t="s">
        <v>60</v>
      </c>
      <c r="AA351" s="9" t="s">
        <v>61</v>
      </c>
      <c r="AC351" s="9">
        <v>9.0</v>
      </c>
      <c r="AD351" s="9">
        <v>6.0</v>
      </c>
      <c r="AE351" s="9">
        <v>4.0</v>
      </c>
      <c r="AF351" s="9">
        <v>2800.0</v>
      </c>
      <c r="AG351" s="33"/>
    </row>
    <row r="352">
      <c r="A352" s="7">
        <v>44404.83381040509</v>
      </c>
      <c r="B352" s="9" t="s">
        <v>49</v>
      </c>
      <c r="C352" s="9">
        <v>24.0</v>
      </c>
      <c r="D352" s="9" t="s">
        <v>35</v>
      </c>
      <c r="E352" s="9" t="s">
        <v>36</v>
      </c>
      <c r="F352" s="9" t="s">
        <v>124</v>
      </c>
      <c r="G352" s="9" t="s">
        <v>296</v>
      </c>
      <c r="H352" s="9" t="s">
        <v>38</v>
      </c>
      <c r="I352" s="9" t="s">
        <v>3020</v>
      </c>
      <c r="J352" s="9" t="s">
        <v>2421</v>
      </c>
      <c r="K352" s="9" t="s">
        <v>39</v>
      </c>
      <c r="L352" s="9" t="s">
        <v>40</v>
      </c>
      <c r="M352" s="9" t="s">
        <v>40</v>
      </c>
      <c r="P352" s="9" t="s">
        <v>2533</v>
      </c>
      <c r="Q352" s="9" t="s">
        <v>42</v>
      </c>
      <c r="R352" s="9">
        <v>5200.0</v>
      </c>
      <c r="S352" s="9">
        <v>0.0</v>
      </c>
      <c r="T352" s="9">
        <v>0.0</v>
      </c>
      <c r="U352" s="9">
        <v>12.0</v>
      </c>
      <c r="V352" s="9" t="s">
        <v>1840</v>
      </c>
      <c r="W352" s="9" t="s">
        <v>457</v>
      </c>
      <c r="X352" s="9" t="s">
        <v>58</v>
      </c>
      <c r="Y352" s="9" t="s">
        <v>185</v>
      </c>
      <c r="Z352" s="9" t="s">
        <v>71</v>
      </c>
      <c r="AA352" s="9" t="s">
        <v>61</v>
      </c>
      <c r="AC352" s="9">
        <v>8.0</v>
      </c>
      <c r="AD352" s="9">
        <v>2.0</v>
      </c>
      <c r="AE352" s="9">
        <v>3.0</v>
      </c>
      <c r="AF352" s="9">
        <v>3500.0</v>
      </c>
      <c r="AG352" s="33"/>
    </row>
    <row r="353">
      <c r="A353" s="7">
        <v>44404.84693679398</v>
      </c>
      <c r="B353" s="9" t="s">
        <v>49</v>
      </c>
      <c r="C353" s="9">
        <v>34.0</v>
      </c>
      <c r="D353" s="9" t="s">
        <v>35</v>
      </c>
      <c r="E353" s="9" t="s">
        <v>36</v>
      </c>
      <c r="F353" s="9" t="s">
        <v>63</v>
      </c>
      <c r="G353" s="9" t="s">
        <v>3021</v>
      </c>
      <c r="H353" s="9" t="s">
        <v>38</v>
      </c>
      <c r="I353" s="9" t="s">
        <v>3022</v>
      </c>
      <c r="J353" s="9" t="s">
        <v>3023</v>
      </c>
      <c r="K353" s="9" t="s">
        <v>40</v>
      </c>
      <c r="L353" s="9" t="s">
        <v>40</v>
      </c>
      <c r="M353" s="9" t="s">
        <v>40</v>
      </c>
      <c r="P353" s="9" t="s">
        <v>2586</v>
      </c>
      <c r="Q353" s="9" t="s">
        <v>42</v>
      </c>
      <c r="R353" s="9">
        <v>3900.0</v>
      </c>
      <c r="S353" s="9">
        <v>0.0</v>
      </c>
      <c r="T353" s="9">
        <v>0.0</v>
      </c>
      <c r="U353" s="9">
        <v>15.0</v>
      </c>
      <c r="V353" s="9" t="s">
        <v>1040</v>
      </c>
      <c r="W353" s="9" t="s">
        <v>1041</v>
      </c>
      <c r="X353" s="9" t="s">
        <v>3024</v>
      </c>
      <c r="Y353" s="9" t="s">
        <v>3025</v>
      </c>
      <c r="Z353" s="9" t="s">
        <v>132</v>
      </c>
      <c r="AA353" s="9" t="s">
        <v>61</v>
      </c>
      <c r="AC353" s="9">
        <v>3.0</v>
      </c>
      <c r="AD353" s="9">
        <v>8.0</v>
      </c>
      <c r="AE353" s="9">
        <v>2.0</v>
      </c>
      <c r="AF353" s="9">
        <v>2700.0</v>
      </c>
      <c r="AG353" s="33"/>
    </row>
    <row r="354">
      <c r="A354" s="7">
        <v>44404.87344539352</v>
      </c>
      <c r="B354" s="9" t="s">
        <v>49</v>
      </c>
      <c r="C354" s="9">
        <v>31.0</v>
      </c>
      <c r="D354" s="9" t="s">
        <v>35</v>
      </c>
      <c r="E354" s="9" t="s">
        <v>36</v>
      </c>
      <c r="F354" s="9" t="s">
        <v>63</v>
      </c>
      <c r="G354" s="9" t="s">
        <v>1517</v>
      </c>
      <c r="H354" s="9" t="s">
        <v>38</v>
      </c>
      <c r="I354" s="9" t="s">
        <v>3026</v>
      </c>
      <c r="J354" s="9" t="s">
        <v>2832</v>
      </c>
      <c r="K354" s="9" t="s">
        <v>39</v>
      </c>
      <c r="L354" s="9" t="s">
        <v>40</v>
      </c>
      <c r="M354" s="9" t="s">
        <v>40</v>
      </c>
      <c r="P354" s="9" t="s">
        <v>2755</v>
      </c>
      <c r="Q354" s="9" t="s">
        <v>42</v>
      </c>
      <c r="R354" s="9">
        <v>7000.0</v>
      </c>
      <c r="S354" s="9">
        <v>4.0</v>
      </c>
      <c r="T354" s="9">
        <v>0.0</v>
      </c>
      <c r="U354" s="9">
        <v>21.0</v>
      </c>
      <c r="V354" s="9" t="s">
        <v>1518</v>
      </c>
      <c r="W354" s="9" t="s">
        <v>457</v>
      </c>
      <c r="X354" s="9" t="s">
        <v>124</v>
      </c>
      <c r="Y354" s="9" t="s">
        <v>1343</v>
      </c>
      <c r="Z354" s="9" t="s">
        <v>90</v>
      </c>
      <c r="AA354" s="9" t="s">
        <v>91</v>
      </c>
      <c r="AC354" s="9">
        <v>8.0</v>
      </c>
      <c r="AD354" s="9">
        <v>3.0</v>
      </c>
      <c r="AE354" s="9">
        <v>1.0</v>
      </c>
      <c r="AF354" s="9">
        <v>3000.0</v>
      </c>
      <c r="AG354" s="33"/>
    </row>
    <row r="355">
      <c r="A355" s="7">
        <v>44404.89933652778</v>
      </c>
      <c r="B355" s="9" t="s">
        <v>49</v>
      </c>
      <c r="C355" s="9">
        <v>30.0</v>
      </c>
      <c r="D355" s="9" t="s">
        <v>35</v>
      </c>
      <c r="E355" s="9" t="s">
        <v>246</v>
      </c>
      <c r="H355" s="9" t="s">
        <v>302</v>
      </c>
      <c r="K355" s="9" t="s">
        <v>890</v>
      </c>
      <c r="L355" s="9" t="s">
        <v>40</v>
      </c>
      <c r="M355" s="9" t="s">
        <v>40</v>
      </c>
      <c r="P355" s="9" t="s">
        <v>119</v>
      </c>
      <c r="Q355" s="9" t="s">
        <v>250</v>
      </c>
      <c r="R355" s="9">
        <v>9000.0</v>
      </c>
      <c r="S355" s="9">
        <v>21600.0</v>
      </c>
      <c r="U355" s="9">
        <v>21.0</v>
      </c>
      <c r="V355" s="9" t="s">
        <v>525</v>
      </c>
      <c r="W355" s="9" t="s">
        <v>526</v>
      </c>
      <c r="X355" s="9" t="s">
        <v>246</v>
      </c>
      <c r="Y355" s="9" t="s">
        <v>285</v>
      </c>
      <c r="Z355" s="9" t="s">
        <v>90</v>
      </c>
      <c r="AA355" s="9" t="s">
        <v>91</v>
      </c>
      <c r="AC355" s="9">
        <v>10.0</v>
      </c>
      <c r="AD355" s="9">
        <v>6.0</v>
      </c>
      <c r="AE355" s="9">
        <v>7.0</v>
      </c>
      <c r="AF355" s="9">
        <v>1900.0</v>
      </c>
      <c r="AG355" s="33"/>
    </row>
    <row r="356">
      <c r="A356" s="7">
        <v>44404.91079069444</v>
      </c>
      <c r="B356" s="9" t="s">
        <v>49</v>
      </c>
      <c r="C356" s="9">
        <v>25.0</v>
      </c>
      <c r="D356" s="9" t="s">
        <v>35</v>
      </c>
      <c r="E356" s="9" t="s">
        <v>36</v>
      </c>
      <c r="F356" s="9" t="s">
        <v>124</v>
      </c>
      <c r="G356" s="9" t="s">
        <v>296</v>
      </c>
      <c r="H356" s="9" t="s">
        <v>38</v>
      </c>
      <c r="I356" s="9" t="s">
        <v>3027</v>
      </c>
      <c r="J356" s="9" t="s">
        <v>2551</v>
      </c>
      <c r="K356" s="9" t="s">
        <v>39</v>
      </c>
      <c r="L356" s="9" t="s">
        <v>40</v>
      </c>
      <c r="M356" s="9" t="s">
        <v>40</v>
      </c>
      <c r="P356" s="9" t="s">
        <v>3028</v>
      </c>
      <c r="Q356" s="9" t="s">
        <v>42</v>
      </c>
      <c r="R356" s="9">
        <v>5000.0</v>
      </c>
      <c r="U356" s="9">
        <v>12.0</v>
      </c>
      <c r="V356" s="9" t="s">
        <v>1008</v>
      </c>
      <c r="W356" s="9" t="s">
        <v>1009</v>
      </c>
      <c r="X356" s="9" t="s">
        <v>122</v>
      </c>
      <c r="Y356" s="9" t="s">
        <v>59</v>
      </c>
      <c r="Z356" s="9" t="s">
        <v>60</v>
      </c>
      <c r="AA356" s="9" t="s">
        <v>61</v>
      </c>
      <c r="AB356" s="9" t="s">
        <v>716</v>
      </c>
      <c r="AC356" s="9">
        <v>8.0</v>
      </c>
      <c r="AD356" s="9">
        <v>2.0</v>
      </c>
      <c r="AE356" s="9">
        <v>2.0</v>
      </c>
      <c r="AF356" s="9">
        <v>2700.0</v>
      </c>
      <c r="AG356" s="9" t="s">
        <v>42</v>
      </c>
    </row>
    <row r="357">
      <c r="A357" s="7">
        <v>44404.91118876157</v>
      </c>
      <c r="B357" s="9" t="s">
        <v>49</v>
      </c>
      <c r="C357" s="9">
        <v>29.0</v>
      </c>
      <c r="D357" s="9" t="s">
        <v>35</v>
      </c>
      <c r="E357" s="9" t="s">
        <v>36</v>
      </c>
      <c r="F357" s="9" t="s">
        <v>50</v>
      </c>
      <c r="G357" s="9" t="s">
        <v>331</v>
      </c>
      <c r="H357" s="9" t="s">
        <v>38</v>
      </c>
      <c r="I357" s="9" t="s">
        <v>2410</v>
      </c>
      <c r="J357" s="9" t="s">
        <v>2566</v>
      </c>
      <c r="K357" s="9" t="s">
        <v>40</v>
      </c>
      <c r="L357" s="9" t="s">
        <v>39</v>
      </c>
      <c r="M357" s="9" t="s">
        <v>40</v>
      </c>
      <c r="N357" s="9" t="s">
        <v>642</v>
      </c>
      <c r="P357" s="9" t="s">
        <v>548</v>
      </c>
      <c r="Q357" s="9" t="s">
        <v>250</v>
      </c>
      <c r="R357" s="9">
        <v>3500.0</v>
      </c>
      <c r="S357" s="9">
        <v>0.0</v>
      </c>
      <c r="T357" s="9">
        <v>0.0</v>
      </c>
      <c r="U357" s="9">
        <v>14.0</v>
      </c>
      <c r="V357" s="9" t="s">
        <v>1003</v>
      </c>
      <c r="W357" s="9" t="s">
        <v>1762</v>
      </c>
      <c r="X357" s="9" t="s">
        <v>246</v>
      </c>
      <c r="Y357" s="9" t="s">
        <v>97</v>
      </c>
      <c r="Z357" s="9" t="s">
        <v>71</v>
      </c>
      <c r="AA357" s="9" t="s">
        <v>91</v>
      </c>
      <c r="AC357" s="9">
        <v>8.0</v>
      </c>
      <c r="AD357" s="9">
        <v>5.0</v>
      </c>
      <c r="AE357" s="9">
        <v>3.0</v>
      </c>
      <c r="AF357" s="9">
        <v>5000.0</v>
      </c>
      <c r="AG357" s="9" t="s">
        <v>250</v>
      </c>
    </row>
    <row r="358">
      <c r="A358" s="7">
        <v>44404.92220994213</v>
      </c>
      <c r="B358" s="9" t="s">
        <v>49</v>
      </c>
      <c r="C358" s="9">
        <v>27.0</v>
      </c>
      <c r="D358" s="9" t="s">
        <v>35</v>
      </c>
      <c r="E358" s="9" t="s">
        <v>36</v>
      </c>
      <c r="F358" s="9" t="s">
        <v>349</v>
      </c>
      <c r="G358" s="9" t="s">
        <v>349</v>
      </c>
      <c r="H358" s="9" t="s">
        <v>38</v>
      </c>
      <c r="I358" s="9" t="s">
        <v>2725</v>
      </c>
      <c r="J358" s="9" t="s">
        <v>2464</v>
      </c>
      <c r="K358" s="9" t="s">
        <v>39</v>
      </c>
      <c r="L358" s="9" t="s">
        <v>40</v>
      </c>
      <c r="M358" s="9" t="s">
        <v>40</v>
      </c>
      <c r="P358" s="9" t="s">
        <v>2438</v>
      </c>
      <c r="Q358" s="9" t="s">
        <v>112</v>
      </c>
      <c r="R358" s="9">
        <v>4300.0</v>
      </c>
      <c r="S358" s="9">
        <v>0.0</v>
      </c>
      <c r="U358" s="9">
        <v>0.0</v>
      </c>
      <c r="V358" s="9" t="s">
        <v>67</v>
      </c>
      <c r="W358" s="9" t="s">
        <v>1979</v>
      </c>
      <c r="X358" s="9" t="s">
        <v>36</v>
      </c>
      <c r="Y358" s="9" t="s">
        <v>97</v>
      </c>
      <c r="Z358" s="9" t="s">
        <v>47</v>
      </c>
      <c r="AA358" s="9" t="s">
        <v>61</v>
      </c>
      <c r="AC358" s="9">
        <v>7.0</v>
      </c>
      <c r="AD358" s="9">
        <v>3.0</v>
      </c>
      <c r="AE358" s="9">
        <v>1.0</v>
      </c>
      <c r="AF358" s="9">
        <v>4200.0</v>
      </c>
      <c r="AG358" s="9" t="s">
        <v>42</v>
      </c>
    </row>
    <row r="359">
      <c r="A359" s="7">
        <v>44404.92407998843</v>
      </c>
      <c r="B359" s="9" t="s">
        <v>49</v>
      </c>
      <c r="C359" s="9">
        <v>27.0</v>
      </c>
      <c r="D359" s="9" t="s">
        <v>35</v>
      </c>
      <c r="E359" s="9" t="s">
        <v>36</v>
      </c>
      <c r="F359" s="9" t="s">
        <v>50</v>
      </c>
      <c r="G359" s="9" t="s">
        <v>50</v>
      </c>
      <c r="H359" s="9" t="s">
        <v>38</v>
      </c>
      <c r="I359" s="9" t="s">
        <v>2961</v>
      </c>
      <c r="J359" s="9" t="s">
        <v>3029</v>
      </c>
      <c r="K359" s="9" t="s">
        <v>40</v>
      </c>
      <c r="L359" s="9" t="s">
        <v>40</v>
      </c>
      <c r="M359" s="9" t="s">
        <v>40</v>
      </c>
      <c r="O359" s="9" t="s">
        <v>2071</v>
      </c>
      <c r="P359" s="9" t="s">
        <v>293</v>
      </c>
      <c r="Q359" s="9" t="s">
        <v>42</v>
      </c>
      <c r="R359" s="9">
        <v>4200.0</v>
      </c>
      <c r="S359" s="9">
        <v>12300.0</v>
      </c>
      <c r="T359" s="9">
        <v>0.0</v>
      </c>
      <c r="U359" s="9">
        <v>24.0</v>
      </c>
      <c r="V359" s="9" t="s">
        <v>2072</v>
      </c>
      <c r="W359" s="9" t="s">
        <v>1698</v>
      </c>
      <c r="X359" s="9" t="s">
        <v>122</v>
      </c>
      <c r="Y359" s="9" t="s">
        <v>59</v>
      </c>
      <c r="Z359" s="9" t="s">
        <v>132</v>
      </c>
      <c r="AA359" s="9" t="s">
        <v>91</v>
      </c>
      <c r="AC359" s="9">
        <v>5.0</v>
      </c>
      <c r="AD359" s="9">
        <v>2.8</v>
      </c>
      <c r="AE359" s="9">
        <v>2.0</v>
      </c>
      <c r="AF359" s="9">
        <v>4100.0</v>
      </c>
      <c r="AG359" s="9" t="s">
        <v>42</v>
      </c>
    </row>
    <row r="360">
      <c r="A360" s="7">
        <v>44404.92638800926</v>
      </c>
      <c r="B360" s="9" t="s">
        <v>49</v>
      </c>
      <c r="C360" s="9">
        <v>31.0</v>
      </c>
      <c r="D360" s="9" t="s">
        <v>35</v>
      </c>
      <c r="E360" s="9" t="s">
        <v>36</v>
      </c>
      <c r="H360" s="9" t="s">
        <v>38</v>
      </c>
      <c r="K360" s="9" t="s">
        <v>39</v>
      </c>
      <c r="L360" s="9" t="s">
        <v>40</v>
      </c>
      <c r="M360" s="9" t="s">
        <v>40</v>
      </c>
      <c r="P360" s="9" t="s">
        <v>119</v>
      </c>
      <c r="Q360" s="9" t="s">
        <v>250</v>
      </c>
      <c r="R360" s="9">
        <v>8000.0</v>
      </c>
      <c r="U360" s="9">
        <v>21.0</v>
      </c>
      <c r="V360" s="9" t="s">
        <v>320</v>
      </c>
      <c r="W360" s="9" t="s">
        <v>1393</v>
      </c>
      <c r="X360" s="9" t="s">
        <v>246</v>
      </c>
      <c r="Y360" s="9" t="s">
        <v>59</v>
      </c>
      <c r="Z360" s="9" t="s">
        <v>132</v>
      </c>
      <c r="AA360" s="9" t="s">
        <v>91</v>
      </c>
      <c r="AC360" s="9">
        <v>8.0</v>
      </c>
      <c r="AD360" s="9">
        <v>8.0</v>
      </c>
      <c r="AE360" s="9">
        <v>3.0</v>
      </c>
      <c r="AF360" s="9">
        <v>3000.0</v>
      </c>
      <c r="AG360" s="9" t="s">
        <v>250</v>
      </c>
    </row>
    <row r="361">
      <c r="A361" s="7">
        <v>44404.92729756945</v>
      </c>
      <c r="B361" s="9" t="s">
        <v>49</v>
      </c>
      <c r="C361" s="9">
        <v>34.0</v>
      </c>
      <c r="D361" s="9" t="s">
        <v>35</v>
      </c>
      <c r="E361" s="9" t="s">
        <v>36</v>
      </c>
      <c r="F361" s="9" t="s">
        <v>50</v>
      </c>
      <c r="G361" s="9" t="s">
        <v>99</v>
      </c>
      <c r="H361" s="9" t="s">
        <v>93</v>
      </c>
      <c r="I361" s="9" t="s">
        <v>93</v>
      </c>
      <c r="J361" s="9" t="s">
        <v>3030</v>
      </c>
      <c r="K361" s="9" t="s">
        <v>40</v>
      </c>
      <c r="L361" s="9" t="s">
        <v>40</v>
      </c>
      <c r="M361" s="9" t="s">
        <v>40</v>
      </c>
      <c r="P361" s="9" t="s">
        <v>3031</v>
      </c>
      <c r="Q361" s="9" t="s">
        <v>42</v>
      </c>
      <c r="R361" s="9">
        <v>10000.0</v>
      </c>
      <c r="S361" s="9" t="s">
        <v>3032</v>
      </c>
      <c r="U361" s="9">
        <v>18.0</v>
      </c>
      <c r="V361" s="9" t="s">
        <v>294</v>
      </c>
      <c r="W361" s="9" t="s">
        <v>3033</v>
      </c>
      <c r="X361" s="9" t="s">
        <v>296</v>
      </c>
      <c r="Y361" s="9" t="s">
        <v>297</v>
      </c>
      <c r="Z361" s="9" t="s">
        <v>60</v>
      </c>
      <c r="AA361" s="9" t="s">
        <v>91</v>
      </c>
      <c r="AC361" s="9">
        <v>8.0</v>
      </c>
      <c r="AD361" s="9">
        <v>12.0</v>
      </c>
      <c r="AE361" s="9">
        <v>3.0</v>
      </c>
      <c r="AF361" s="9">
        <v>1200.0</v>
      </c>
      <c r="AG361" s="9" t="s">
        <v>42</v>
      </c>
    </row>
    <row r="362">
      <c r="A362" s="7">
        <v>44404.92766939815</v>
      </c>
      <c r="B362" s="9" t="s">
        <v>73</v>
      </c>
      <c r="C362" s="9">
        <v>26.0</v>
      </c>
      <c r="D362" s="9" t="s">
        <v>35</v>
      </c>
      <c r="E362" s="9" t="s">
        <v>36</v>
      </c>
      <c r="F362" s="9" t="s">
        <v>74</v>
      </c>
      <c r="G362" s="9" t="s">
        <v>212</v>
      </c>
      <c r="H362" s="9" t="s">
        <v>247</v>
      </c>
      <c r="I362" s="9" t="s">
        <v>2665</v>
      </c>
      <c r="J362" s="9" t="s">
        <v>2666</v>
      </c>
      <c r="K362" s="9" t="s">
        <v>39</v>
      </c>
      <c r="L362" s="9" t="s">
        <v>40</v>
      </c>
      <c r="M362" s="9" t="s">
        <v>40</v>
      </c>
      <c r="P362" s="9" t="s">
        <v>3034</v>
      </c>
      <c r="Q362" s="9" t="s">
        <v>42</v>
      </c>
      <c r="R362" s="9">
        <v>3800.0</v>
      </c>
      <c r="S362" s="9">
        <v>0.0</v>
      </c>
      <c r="T362" s="9">
        <v>0.0</v>
      </c>
      <c r="U362" s="9">
        <v>12.0</v>
      </c>
      <c r="V362" s="9" t="s">
        <v>1943</v>
      </c>
      <c r="W362" s="9" t="s">
        <v>78</v>
      </c>
      <c r="X362" s="9" t="s">
        <v>238</v>
      </c>
      <c r="Y362" s="9" t="s">
        <v>80</v>
      </c>
      <c r="Z362" s="9" t="s">
        <v>90</v>
      </c>
      <c r="AA362" s="9" t="s">
        <v>61</v>
      </c>
      <c r="AC362" s="9">
        <v>6.0</v>
      </c>
      <c r="AD362" s="9" t="s">
        <v>1944</v>
      </c>
      <c r="AE362" s="9">
        <v>0.0</v>
      </c>
      <c r="AF362" s="9">
        <v>3800.0</v>
      </c>
      <c r="AG362" s="9" t="s">
        <v>42</v>
      </c>
    </row>
    <row r="363">
      <c r="A363" s="7">
        <v>44404.93462325231</v>
      </c>
      <c r="B363" s="9" t="s">
        <v>49</v>
      </c>
      <c r="C363" s="9">
        <v>32.0</v>
      </c>
      <c r="D363" s="9" t="s">
        <v>35</v>
      </c>
      <c r="E363" s="9" t="s">
        <v>36</v>
      </c>
      <c r="F363" s="9" t="s">
        <v>363</v>
      </c>
      <c r="G363" s="9" t="s">
        <v>363</v>
      </c>
      <c r="H363" s="9" t="s">
        <v>38</v>
      </c>
      <c r="I363" s="9" t="s">
        <v>3035</v>
      </c>
      <c r="J363" s="9" t="s">
        <v>680</v>
      </c>
      <c r="K363" s="9" t="s">
        <v>39</v>
      </c>
      <c r="L363" s="9" t="s">
        <v>40</v>
      </c>
      <c r="M363" s="9" t="s">
        <v>40</v>
      </c>
      <c r="P363" s="9" t="s">
        <v>119</v>
      </c>
      <c r="Q363" s="9" t="s">
        <v>42</v>
      </c>
      <c r="R363" s="9">
        <v>9500.0</v>
      </c>
      <c r="S363" s="9">
        <v>17000.0</v>
      </c>
      <c r="T363" s="9">
        <v>3000.0</v>
      </c>
      <c r="U363" s="9">
        <v>17.0</v>
      </c>
      <c r="V363" s="9" t="s">
        <v>1598</v>
      </c>
      <c r="W363" s="9" t="s">
        <v>3036</v>
      </c>
      <c r="X363" s="9" t="s">
        <v>79</v>
      </c>
      <c r="Y363" s="9" t="s">
        <v>80</v>
      </c>
      <c r="Z363" s="9" t="s">
        <v>71</v>
      </c>
      <c r="AA363" s="9" t="s">
        <v>91</v>
      </c>
      <c r="AC363" s="9">
        <v>7.0</v>
      </c>
      <c r="AD363" s="9">
        <v>8.0</v>
      </c>
      <c r="AE363" s="9">
        <v>1.0</v>
      </c>
      <c r="AF363" s="9">
        <v>3200.0</v>
      </c>
      <c r="AG363" s="9" t="s">
        <v>42</v>
      </c>
    </row>
    <row r="364">
      <c r="A364" s="7">
        <v>44404.93824130787</v>
      </c>
      <c r="B364" s="9" t="s">
        <v>49</v>
      </c>
      <c r="C364" s="9">
        <v>23.0</v>
      </c>
      <c r="D364" s="9" t="s">
        <v>35</v>
      </c>
      <c r="E364" s="9" t="s">
        <v>36</v>
      </c>
      <c r="F364" s="9" t="s">
        <v>363</v>
      </c>
      <c r="G364" s="9" t="s">
        <v>437</v>
      </c>
      <c r="H364" s="9" t="s">
        <v>38</v>
      </c>
      <c r="I364" s="9" t="s">
        <v>2368</v>
      </c>
      <c r="J364" s="9" t="s">
        <v>2699</v>
      </c>
      <c r="K364" s="9" t="s">
        <v>39</v>
      </c>
      <c r="L364" s="9" t="s">
        <v>40</v>
      </c>
      <c r="M364" s="9" t="s">
        <v>40</v>
      </c>
      <c r="P364" s="9" t="s">
        <v>128</v>
      </c>
      <c r="Q364" s="9" t="s">
        <v>42</v>
      </c>
      <c r="R364" s="9">
        <v>4000.0</v>
      </c>
      <c r="S364" s="9">
        <v>0.0</v>
      </c>
      <c r="T364" s="9">
        <v>0.0</v>
      </c>
      <c r="U364" s="9">
        <v>14.0</v>
      </c>
      <c r="V364" s="9" t="s">
        <v>1789</v>
      </c>
      <c r="W364" s="9" t="s">
        <v>1790</v>
      </c>
      <c r="X364" s="9" t="s">
        <v>79</v>
      </c>
      <c r="Y364" s="9" t="s">
        <v>80</v>
      </c>
      <c r="Z364" s="9" t="s">
        <v>90</v>
      </c>
      <c r="AA364" s="9" t="s">
        <v>91</v>
      </c>
      <c r="AC364" s="9">
        <v>8.0</v>
      </c>
      <c r="AD364" s="9">
        <v>1.0</v>
      </c>
      <c r="AE364" s="9">
        <v>0.0</v>
      </c>
      <c r="AF364" s="9">
        <v>3500.0</v>
      </c>
      <c r="AG364" s="9" t="s">
        <v>42</v>
      </c>
    </row>
    <row r="365">
      <c r="A365" s="7">
        <v>44404.945342997686</v>
      </c>
      <c r="B365" s="9" t="s">
        <v>73</v>
      </c>
      <c r="C365" s="9">
        <v>31.0</v>
      </c>
      <c r="D365" s="9" t="s">
        <v>35</v>
      </c>
      <c r="E365" s="9" t="s">
        <v>36</v>
      </c>
      <c r="H365" s="9" t="s">
        <v>247</v>
      </c>
      <c r="I365" s="9" t="s">
        <v>3037</v>
      </c>
      <c r="J365" s="9" t="s">
        <v>2822</v>
      </c>
      <c r="K365" s="9" t="s">
        <v>40</v>
      </c>
      <c r="L365" s="9" t="s">
        <v>40</v>
      </c>
      <c r="M365" s="9" t="s">
        <v>39</v>
      </c>
      <c r="P365" s="9" t="s">
        <v>3038</v>
      </c>
      <c r="Q365" s="9" t="s">
        <v>42</v>
      </c>
      <c r="R365" s="9">
        <v>12000.0</v>
      </c>
      <c r="S365" s="9">
        <v>1.0</v>
      </c>
      <c r="U365" s="9">
        <v>18.0</v>
      </c>
      <c r="V365" s="9" t="s">
        <v>968</v>
      </c>
      <c r="W365" s="9" t="s">
        <v>3039</v>
      </c>
      <c r="X365" s="9" t="s">
        <v>50</v>
      </c>
      <c r="Y365" s="9" t="s">
        <v>89</v>
      </c>
      <c r="Z365" s="9" t="s">
        <v>132</v>
      </c>
      <c r="AA365" s="9" t="s">
        <v>61</v>
      </c>
      <c r="AC365" s="9">
        <v>7.0</v>
      </c>
      <c r="AD365" s="9">
        <v>6.0</v>
      </c>
      <c r="AE365" s="9">
        <v>3.0</v>
      </c>
      <c r="AF365" s="9">
        <v>2600.0</v>
      </c>
      <c r="AG365" s="9" t="s">
        <v>42</v>
      </c>
    </row>
    <row r="366">
      <c r="A366" s="7">
        <v>44404.94580981482</v>
      </c>
      <c r="B366" s="9" t="s">
        <v>49</v>
      </c>
      <c r="C366" s="9">
        <v>25.0</v>
      </c>
      <c r="D366" s="9" t="s">
        <v>35</v>
      </c>
      <c r="E366" s="9" t="s">
        <v>36</v>
      </c>
      <c r="F366" s="9" t="s">
        <v>124</v>
      </c>
      <c r="G366" s="9" t="s">
        <v>124</v>
      </c>
      <c r="H366" s="9" t="s">
        <v>38</v>
      </c>
      <c r="I366" s="9" t="s">
        <v>3040</v>
      </c>
      <c r="J366" s="9" t="s">
        <v>414</v>
      </c>
      <c r="K366" s="9" t="s">
        <v>39</v>
      </c>
      <c r="L366" s="9" t="s">
        <v>39</v>
      </c>
      <c r="M366" s="9" t="s">
        <v>39</v>
      </c>
      <c r="O366" s="9" t="s">
        <v>2092</v>
      </c>
      <c r="P366" s="9" t="s">
        <v>584</v>
      </c>
      <c r="Q366" s="9" t="s">
        <v>42</v>
      </c>
      <c r="R366" s="9">
        <v>6500.0</v>
      </c>
      <c r="S366" s="9">
        <v>0.0</v>
      </c>
      <c r="U366" s="9">
        <v>15.0</v>
      </c>
      <c r="V366" s="9" t="s">
        <v>2093</v>
      </c>
      <c r="W366" s="9" t="s">
        <v>2094</v>
      </c>
      <c r="X366" s="9" t="s">
        <v>36</v>
      </c>
      <c r="Y366" s="9" t="s">
        <v>155</v>
      </c>
      <c r="Z366" s="9" t="s">
        <v>90</v>
      </c>
      <c r="AA366" s="9" t="s">
        <v>91</v>
      </c>
      <c r="AC366" s="9">
        <v>9.0</v>
      </c>
      <c r="AD366" s="9">
        <v>2.0</v>
      </c>
      <c r="AE366" s="9">
        <v>0.0</v>
      </c>
      <c r="AF366" s="9">
        <v>4310.0</v>
      </c>
      <c r="AG366" s="9" t="s">
        <v>42</v>
      </c>
    </row>
    <row r="367">
      <c r="A367" s="7">
        <v>44404.94938635417</v>
      </c>
      <c r="B367" s="9" t="s">
        <v>49</v>
      </c>
      <c r="C367" s="9">
        <v>27.0</v>
      </c>
      <c r="D367" s="9" t="s">
        <v>35</v>
      </c>
      <c r="E367" s="9" t="s">
        <v>36</v>
      </c>
      <c r="F367" s="9" t="s">
        <v>3041</v>
      </c>
      <c r="G367" s="9" t="s">
        <v>349</v>
      </c>
      <c r="H367" s="9" t="s">
        <v>38</v>
      </c>
      <c r="I367" s="9" t="s">
        <v>3042</v>
      </c>
      <c r="J367" s="9" t="s">
        <v>2570</v>
      </c>
      <c r="K367" s="9" t="s">
        <v>40</v>
      </c>
      <c r="L367" s="9" t="s">
        <v>40</v>
      </c>
      <c r="M367" s="9" t="s">
        <v>40</v>
      </c>
      <c r="P367" s="9" t="s">
        <v>584</v>
      </c>
      <c r="Q367" s="9" t="s">
        <v>42</v>
      </c>
      <c r="R367" s="9">
        <v>5280.0</v>
      </c>
      <c r="S367" s="9">
        <v>14200.0</v>
      </c>
      <c r="T367" s="9">
        <v>0.0</v>
      </c>
      <c r="U367" s="9">
        <v>20.0</v>
      </c>
      <c r="V367" s="9" t="s">
        <v>2020</v>
      </c>
      <c r="W367" s="9" t="s">
        <v>2021</v>
      </c>
      <c r="X367" s="9" t="s">
        <v>2022</v>
      </c>
      <c r="Y367" s="9" t="s">
        <v>2023</v>
      </c>
      <c r="Z367" s="9" t="s">
        <v>60</v>
      </c>
      <c r="AA367" s="9" t="s">
        <v>91</v>
      </c>
      <c r="AC367" s="9">
        <v>6.0</v>
      </c>
      <c r="AD367" s="9">
        <v>3.0</v>
      </c>
      <c r="AE367" s="9">
        <v>1.0</v>
      </c>
      <c r="AF367" s="9">
        <v>4000.0</v>
      </c>
      <c r="AG367" s="9" t="s">
        <v>42</v>
      </c>
    </row>
    <row r="368">
      <c r="A368" s="7">
        <v>44404.951853935185</v>
      </c>
      <c r="B368" s="9" t="s">
        <v>49</v>
      </c>
      <c r="C368" s="9">
        <v>33.0</v>
      </c>
      <c r="D368" s="9" t="s">
        <v>35</v>
      </c>
      <c r="E368" s="9" t="s">
        <v>36</v>
      </c>
      <c r="F368" s="9" t="s">
        <v>50</v>
      </c>
      <c r="G368" s="9" t="s">
        <v>493</v>
      </c>
      <c r="H368" s="9" t="s">
        <v>247</v>
      </c>
      <c r="I368" s="9" t="s">
        <v>3043</v>
      </c>
      <c r="J368" s="9" t="s">
        <v>3044</v>
      </c>
      <c r="K368" s="9" t="s">
        <v>39</v>
      </c>
      <c r="L368" s="9" t="s">
        <v>40</v>
      </c>
      <c r="M368" s="9" t="s">
        <v>40</v>
      </c>
      <c r="P368" s="9" t="s">
        <v>3045</v>
      </c>
      <c r="Q368" s="9" t="s">
        <v>42</v>
      </c>
      <c r="R368" s="9">
        <v>5000.0</v>
      </c>
      <c r="S368" s="9" t="s">
        <v>435</v>
      </c>
      <c r="U368" s="9">
        <v>14.0</v>
      </c>
      <c r="V368" s="9" t="s">
        <v>797</v>
      </c>
      <c r="W368" s="9" t="s">
        <v>798</v>
      </c>
      <c r="X368" s="9" t="s">
        <v>799</v>
      </c>
      <c r="Y368" s="9" t="s">
        <v>89</v>
      </c>
      <c r="Z368" s="9" t="s">
        <v>90</v>
      </c>
      <c r="AA368" s="9" t="s">
        <v>61</v>
      </c>
      <c r="AC368" s="9">
        <v>7.0</v>
      </c>
      <c r="AD368" s="9">
        <v>1.5</v>
      </c>
      <c r="AE368" s="9">
        <v>1.0</v>
      </c>
      <c r="AF368" s="9">
        <v>2500.0</v>
      </c>
      <c r="AG368" s="9" t="s">
        <v>2934</v>
      </c>
    </row>
    <row r="369">
      <c r="A369" s="7">
        <v>44404.95483553241</v>
      </c>
      <c r="B369" s="9" t="s">
        <v>49</v>
      </c>
      <c r="C369" s="9">
        <v>30.0</v>
      </c>
      <c r="D369" s="9" t="s">
        <v>35</v>
      </c>
      <c r="E369" s="9" t="s">
        <v>36</v>
      </c>
      <c r="F369" s="9" t="s">
        <v>3046</v>
      </c>
      <c r="G369" s="9" t="s">
        <v>165</v>
      </c>
      <c r="H369" s="9" t="s">
        <v>38</v>
      </c>
      <c r="I369" s="9" t="s">
        <v>2758</v>
      </c>
      <c r="J369" s="9" t="s">
        <v>3047</v>
      </c>
      <c r="K369" s="9" t="s">
        <v>39</v>
      </c>
      <c r="L369" s="9" t="s">
        <v>40</v>
      </c>
      <c r="M369" s="9" t="s">
        <v>39</v>
      </c>
      <c r="O369" s="9" t="s">
        <v>167</v>
      </c>
      <c r="P369" s="9" t="s">
        <v>3048</v>
      </c>
      <c r="Q369" s="9" t="s">
        <v>42</v>
      </c>
      <c r="R369" s="9">
        <v>14000.0</v>
      </c>
      <c r="S369" s="9">
        <v>50000.0</v>
      </c>
      <c r="T369" s="9">
        <v>40000.0</v>
      </c>
      <c r="U369" s="9">
        <v>24.0</v>
      </c>
      <c r="V369" s="9" t="s">
        <v>169</v>
      </c>
      <c r="W369" s="9" t="s">
        <v>170</v>
      </c>
      <c r="X369" s="9" t="s">
        <v>171</v>
      </c>
      <c r="Y369" s="9" t="s">
        <v>59</v>
      </c>
      <c r="Z369" s="9" t="s">
        <v>60</v>
      </c>
      <c r="AA369" s="9" t="s">
        <v>133</v>
      </c>
      <c r="AC369" s="9">
        <v>8.0</v>
      </c>
      <c r="AD369" s="9">
        <v>10.0</v>
      </c>
      <c r="AE369" s="9">
        <v>4.0</v>
      </c>
      <c r="AF369" s="9">
        <v>800.0</v>
      </c>
      <c r="AG369" s="9" t="s">
        <v>42</v>
      </c>
    </row>
    <row r="370">
      <c r="A370" s="7">
        <v>44404.95983091435</v>
      </c>
      <c r="B370" s="9" t="s">
        <v>73</v>
      </c>
      <c r="C370" s="9">
        <v>24.0</v>
      </c>
      <c r="D370" s="9" t="s">
        <v>35</v>
      </c>
      <c r="E370" s="9" t="s">
        <v>36</v>
      </c>
      <c r="F370" s="9" t="s">
        <v>363</v>
      </c>
      <c r="G370" s="9" t="s">
        <v>527</v>
      </c>
      <c r="H370" s="9" t="s">
        <v>38</v>
      </c>
      <c r="I370" s="9" t="s">
        <v>2565</v>
      </c>
      <c r="J370" s="9" t="s">
        <v>3049</v>
      </c>
      <c r="K370" s="9" t="s">
        <v>39</v>
      </c>
      <c r="L370" s="9" t="s">
        <v>39</v>
      </c>
      <c r="M370" s="9" t="s">
        <v>40</v>
      </c>
      <c r="N370" s="9" t="s">
        <v>1682</v>
      </c>
      <c r="P370" s="9" t="s">
        <v>2865</v>
      </c>
      <c r="Q370" s="9" t="s">
        <v>42</v>
      </c>
      <c r="R370" s="9">
        <v>3500.0</v>
      </c>
      <c r="S370" s="9">
        <v>6500.0</v>
      </c>
      <c r="U370" s="9">
        <v>14.0</v>
      </c>
      <c r="V370" s="9" t="s">
        <v>1683</v>
      </c>
      <c r="W370" s="9" t="s">
        <v>1684</v>
      </c>
      <c r="X370" s="9" t="s">
        <v>79</v>
      </c>
      <c r="Y370" s="9" t="s">
        <v>80</v>
      </c>
      <c r="Z370" s="9" t="s">
        <v>90</v>
      </c>
      <c r="AA370" s="9" t="s">
        <v>61</v>
      </c>
      <c r="AC370" s="9">
        <v>6.0</v>
      </c>
      <c r="AD370" s="9">
        <v>1.5</v>
      </c>
      <c r="AE370" s="9">
        <v>0.0</v>
      </c>
      <c r="AF370" s="9">
        <v>3300.0</v>
      </c>
      <c r="AG370" s="9" t="s">
        <v>42</v>
      </c>
    </row>
    <row r="371">
      <c r="A371" s="7">
        <v>44404.966212326384</v>
      </c>
      <c r="B371" s="9" t="s">
        <v>49</v>
      </c>
      <c r="C371" s="9">
        <v>23.0</v>
      </c>
      <c r="D371" s="9" t="s">
        <v>35</v>
      </c>
      <c r="E371" s="9" t="s">
        <v>36</v>
      </c>
      <c r="F371" s="9" t="s">
        <v>3050</v>
      </c>
      <c r="G371" s="9" t="s">
        <v>3051</v>
      </c>
      <c r="H371" s="9" t="s">
        <v>38</v>
      </c>
      <c r="I371" s="9" t="s">
        <v>3052</v>
      </c>
      <c r="J371" s="9" t="s">
        <v>2419</v>
      </c>
      <c r="K371" s="9" t="s">
        <v>39</v>
      </c>
      <c r="L371" s="9" t="s">
        <v>40</v>
      </c>
      <c r="M371" s="9" t="s">
        <v>39</v>
      </c>
      <c r="O371" s="9" t="s">
        <v>1132</v>
      </c>
      <c r="P371" s="9" t="s">
        <v>3053</v>
      </c>
      <c r="Q371" s="9" t="s">
        <v>3054</v>
      </c>
      <c r="R371" s="9">
        <v>3500.0</v>
      </c>
      <c r="S371" s="9">
        <v>0.0</v>
      </c>
      <c r="T371" s="9">
        <v>0.0</v>
      </c>
      <c r="U371" s="9">
        <v>14.0</v>
      </c>
      <c r="V371" s="9" t="s">
        <v>1783</v>
      </c>
      <c r="W371" s="9" t="s">
        <v>1784</v>
      </c>
      <c r="X371" s="9" t="s">
        <v>1785</v>
      </c>
      <c r="Y371" s="9" t="s">
        <v>350</v>
      </c>
      <c r="Z371" s="9" t="s">
        <v>71</v>
      </c>
      <c r="AA371" s="9" t="s">
        <v>91</v>
      </c>
      <c r="AC371" s="9">
        <v>9.0</v>
      </c>
      <c r="AD371" s="9">
        <v>1.0</v>
      </c>
      <c r="AE371" s="9">
        <v>1.0</v>
      </c>
      <c r="AF371" s="9">
        <v>3500.0</v>
      </c>
      <c r="AG371" s="9" t="s">
        <v>3054</v>
      </c>
    </row>
    <row r="372">
      <c r="A372" s="7">
        <v>44404.97039293982</v>
      </c>
      <c r="B372" s="9" t="s">
        <v>73</v>
      </c>
      <c r="C372" s="9">
        <v>29.0</v>
      </c>
      <c r="D372" s="9" t="s">
        <v>1802</v>
      </c>
      <c r="E372" s="9" t="s">
        <v>36</v>
      </c>
      <c r="F372" s="9" t="s">
        <v>124</v>
      </c>
      <c r="G372" s="9" t="s">
        <v>124</v>
      </c>
      <c r="H372" s="9" t="s">
        <v>38</v>
      </c>
      <c r="I372" s="9" t="s">
        <v>3055</v>
      </c>
      <c r="K372" s="9" t="s">
        <v>39</v>
      </c>
      <c r="L372" s="9" t="s">
        <v>40</v>
      </c>
      <c r="M372" s="9" t="s">
        <v>40</v>
      </c>
      <c r="P372" s="9" t="s">
        <v>128</v>
      </c>
      <c r="Q372" s="9" t="s">
        <v>42</v>
      </c>
      <c r="R372" s="9">
        <v>8000.0</v>
      </c>
      <c r="S372" s="9">
        <v>0.0</v>
      </c>
      <c r="T372" s="9">
        <v>0.0</v>
      </c>
      <c r="U372" s="9">
        <v>14.0</v>
      </c>
      <c r="V372" s="9" t="s">
        <v>1803</v>
      </c>
      <c r="W372" s="9" t="s">
        <v>1804</v>
      </c>
      <c r="X372" s="9" t="s">
        <v>122</v>
      </c>
      <c r="Y372" s="9" t="s">
        <v>1805</v>
      </c>
      <c r="Z372" s="9" t="s">
        <v>71</v>
      </c>
      <c r="AA372" s="9" t="s">
        <v>61</v>
      </c>
      <c r="AC372" s="9">
        <v>7.0</v>
      </c>
      <c r="AD372" s="9">
        <v>5.0</v>
      </c>
      <c r="AE372" s="9">
        <v>3.0</v>
      </c>
      <c r="AF372" s="9">
        <v>3500.0</v>
      </c>
      <c r="AG372" s="9" t="s">
        <v>42</v>
      </c>
    </row>
    <row r="373">
      <c r="A373" s="7">
        <v>44404.97518178241</v>
      </c>
      <c r="B373" s="9" t="s">
        <v>49</v>
      </c>
      <c r="C373" s="9">
        <v>31.0</v>
      </c>
      <c r="D373" s="9" t="s">
        <v>35</v>
      </c>
      <c r="E373" s="9" t="s">
        <v>36</v>
      </c>
      <c r="F373" s="9" t="s">
        <v>50</v>
      </c>
      <c r="G373" s="9" t="s">
        <v>180</v>
      </c>
      <c r="H373" s="9" t="s">
        <v>38</v>
      </c>
      <c r="I373" s="9" t="s">
        <v>3056</v>
      </c>
      <c r="J373" s="9" t="s">
        <v>2527</v>
      </c>
      <c r="K373" s="9" t="s">
        <v>39</v>
      </c>
      <c r="L373" s="9" t="s">
        <v>40</v>
      </c>
      <c r="M373" s="9" t="s">
        <v>40</v>
      </c>
      <c r="P373" s="9" t="s">
        <v>128</v>
      </c>
      <c r="Q373" s="9" t="s">
        <v>42</v>
      </c>
      <c r="R373" s="9">
        <v>6500.0</v>
      </c>
      <c r="S373" s="9">
        <v>1.0</v>
      </c>
      <c r="T373" s="9">
        <v>0.0</v>
      </c>
      <c r="U373" s="9">
        <v>12.0</v>
      </c>
      <c r="V373" s="9" t="s">
        <v>1773</v>
      </c>
      <c r="W373" s="9" t="s">
        <v>1774</v>
      </c>
      <c r="X373" s="9" t="s">
        <v>50</v>
      </c>
      <c r="Y373" s="9" t="s">
        <v>228</v>
      </c>
      <c r="Z373" s="9" t="s">
        <v>132</v>
      </c>
      <c r="AA373" s="9" t="s">
        <v>91</v>
      </c>
      <c r="AC373" s="9">
        <v>7.0</v>
      </c>
      <c r="AD373" s="9">
        <v>7.0</v>
      </c>
      <c r="AE373" s="9">
        <v>1.0</v>
      </c>
      <c r="AF373" s="9">
        <v>3500.0</v>
      </c>
      <c r="AG373" s="9" t="s">
        <v>42</v>
      </c>
    </row>
    <row r="374">
      <c r="A374" s="7">
        <v>44404.976641875</v>
      </c>
      <c r="B374" s="9" t="s">
        <v>49</v>
      </c>
      <c r="C374" s="9">
        <v>31.0</v>
      </c>
      <c r="D374" s="9" t="s">
        <v>113</v>
      </c>
      <c r="E374" s="9" t="s">
        <v>36</v>
      </c>
      <c r="F374" s="9" t="s">
        <v>3057</v>
      </c>
      <c r="G374" s="9" t="s">
        <v>3057</v>
      </c>
      <c r="H374" s="9" t="s">
        <v>3058</v>
      </c>
      <c r="I374" s="9" t="s">
        <v>3059</v>
      </c>
      <c r="K374" s="9" t="s">
        <v>39</v>
      </c>
      <c r="L374" s="9" t="s">
        <v>40</v>
      </c>
      <c r="M374" s="9" t="s">
        <v>40</v>
      </c>
      <c r="P374" s="9" t="s">
        <v>3060</v>
      </c>
      <c r="Q374" s="9" t="s">
        <v>42</v>
      </c>
      <c r="R374" s="9">
        <v>26000.0</v>
      </c>
      <c r="S374" s="9">
        <v>60000.0</v>
      </c>
      <c r="U374" s="9">
        <v>24.0</v>
      </c>
      <c r="V374" s="9" t="s">
        <v>3061</v>
      </c>
      <c r="W374" s="9" t="s">
        <v>3062</v>
      </c>
      <c r="X374" s="9" t="s">
        <v>923</v>
      </c>
      <c r="Y374" s="9" t="s">
        <v>59</v>
      </c>
      <c r="Z374" s="9" t="s">
        <v>132</v>
      </c>
      <c r="AA374" s="9" t="s">
        <v>91</v>
      </c>
      <c r="AC374" s="9">
        <v>8.0</v>
      </c>
      <c r="AD374" s="9">
        <v>10.0</v>
      </c>
      <c r="AE374" s="9">
        <v>5.0</v>
      </c>
      <c r="AF374" s="9">
        <v>4000.0</v>
      </c>
      <c r="AG374" s="9" t="s">
        <v>42</v>
      </c>
    </row>
    <row r="375">
      <c r="A375" s="7">
        <v>44404.97805712963</v>
      </c>
      <c r="B375" s="9" t="s">
        <v>49</v>
      </c>
      <c r="C375" s="9">
        <v>35.0</v>
      </c>
      <c r="D375" s="9" t="s">
        <v>35</v>
      </c>
      <c r="E375" s="9" t="s">
        <v>36</v>
      </c>
      <c r="F375" s="9" t="s">
        <v>3063</v>
      </c>
      <c r="G375" s="9" t="s">
        <v>3064</v>
      </c>
      <c r="H375" s="9" t="s">
        <v>38</v>
      </c>
      <c r="I375" s="9" t="s">
        <v>3065</v>
      </c>
      <c r="J375" s="9" t="s">
        <v>234</v>
      </c>
      <c r="K375" s="9" t="s">
        <v>40</v>
      </c>
      <c r="L375" s="9" t="s">
        <v>40</v>
      </c>
      <c r="M375" s="9" t="s">
        <v>40</v>
      </c>
      <c r="P375" s="9" t="s">
        <v>3066</v>
      </c>
      <c r="Q375" s="9" t="s">
        <v>2934</v>
      </c>
      <c r="R375" s="9">
        <v>11000.0</v>
      </c>
      <c r="S375" s="9">
        <v>0.0</v>
      </c>
      <c r="T375" s="9">
        <v>0.0</v>
      </c>
      <c r="U375" s="9">
        <v>0.0</v>
      </c>
      <c r="V375" s="9" t="s">
        <v>648</v>
      </c>
      <c r="W375" s="9" t="s">
        <v>649</v>
      </c>
      <c r="X375" s="9" t="s">
        <v>3067</v>
      </c>
      <c r="Y375" s="9" t="s">
        <v>651</v>
      </c>
      <c r="Z375" s="9" t="s">
        <v>60</v>
      </c>
      <c r="AA375" s="9" t="s">
        <v>61</v>
      </c>
      <c r="AC375" s="9">
        <v>8.0</v>
      </c>
      <c r="AD375" s="9">
        <v>11.0</v>
      </c>
      <c r="AE375" s="9">
        <v>4.0</v>
      </c>
      <c r="AF375" s="9">
        <v>2100.0</v>
      </c>
      <c r="AG375" s="9" t="s">
        <v>2934</v>
      </c>
    </row>
    <row r="376">
      <c r="A376" s="7">
        <v>44404.98631136574</v>
      </c>
      <c r="B376" s="9" t="s">
        <v>73</v>
      </c>
      <c r="C376" s="9">
        <v>26.0</v>
      </c>
      <c r="D376" s="9" t="s">
        <v>35</v>
      </c>
      <c r="E376" s="9" t="s">
        <v>36</v>
      </c>
      <c r="F376" s="9" t="s">
        <v>50</v>
      </c>
      <c r="G376" s="9" t="s">
        <v>106</v>
      </c>
      <c r="H376" s="9" t="s">
        <v>38</v>
      </c>
      <c r="I376" s="9" t="s">
        <v>3068</v>
      </c>
      <c r="J376" s="9" t="s">
        <v>2421</v>
      </c>
      <c r="K376" s="9" t="s">
        <v>39</v>
      </c>
      <c r="L376" s="9" t="s">
        <v>40</v>
      </c>
      <c r="M376" s="9" t="s">
        <v>40</v>
      </c>
      <c r="P376" s="9" t="s">
        <v>3069</v>
      </c>
      <c r="Q376" s="9" t="s">
        <v>42</v>
      </c>
      <c r="R376" s="9">
        <v>7800.0</v>
      </c>
      <c r="S376" s="9">
        <v>7800.0</v>
      </c>
      <c r="T376" s="9">
        <v>0.0</v>
      </c>
      <c r="U376" s="9">
        <v>20.0</v>
      </c>
      <c r="V376" s="9" t="s">
        <v>2076</v>
      </c>
      <c r="W376" s="9" t="s">
        <v>2077</v>
      </c>
      <c r="X376" s="9" t="s">
        <v>58</v>
      </c>
      <c r="Y376" s="9" t="s">
        <v>59</v>
      </c>
      <c r="Z376" s="9" t="s">
        <v>81</v>
      </c>
      <c r="AA376" s="9" t="s">
        <v>133</v>
      </c>
      <c r="AC376" s="9">
        <v>8.0</v>
      </c>
      <c r="AD376" s="9">
        <v>2.75</v>
      </c>
      <c r="AE376" s="9">
        <v>2.0</v>
      </c>
      <c r="AF376" s="9">
        <v>4130.0</v>
      </c>
      <c r="AG376" s="9" t="s">
        <v>42</v>
      </c>
    </row>
    <row r="377">
      <c r="A377" s="7">
        <v>44405.00313075232</v>
      </c>
      <c r="B377" s="9" t="s">
        <v>73</v>
      </c>
      <c r="C377" s="9">
        <v>24.0</v>
      </c>
      <c r="D377" s="9" t="s">
        <v>35</v>
      </c>
      <c r="E377" s="9" t="s">
        <v>36</v>
      </c>
      <c r="F377" s="9" t="s">
        <v>349</v>
      </c>
      <c r="G377" s="9" t="s">
        <v>206</v>
      </c>
      <c r="H377" s="9" t="s">
        <v>38</v>
      </c>
      <c r="I377" s="9" t="s">
        <v>3070</v>
      </c>
      <c r="J377" s="9" t="s">
        <v>2464</v>
      </c>
      <c r="K377" s="9" t="s">
        <v>39</v>
      </c>
      <c r="L377" s="9" t="s">
        <v>40</v>
      </c>
      <c r="M377" s="9" t="s">
        <v>40</v>
      </c>
      <c r="P377" s="9" t="s">
        <v>3071</v>
      </c>
      <c r="Q377" s="9" t="s">
        <v>42</v>
      </c>
      <c r="R377" s="9">
        <v>3600.0</v>
      </c>
      <c r="S377" s="9">
        <v>3300.0</v>
      </c>
      <c r="T377" s="9">
        <v>0.0</v>
      </c>
      <c r="U377" s="9">
        <v>14.0</v>
      </c>
      <c r="V377" s="9" t="s">
        <v>1679</v>
      </c>
      <c r="W377" s="9" t="s">
        <v>3072</v>
      </c>
      <c r="X377" s="9" t="s">
        <v>349</v>
      </c>
      <c r="Y377" s="9" t="s">
        <v>159</v>
      </c>
      <c r="Z377" s="9" t="s">
        <v>60</v>
      </c>
      <c r="AA377" s="9" t="s">
        <v>91</v>
      </c>
      <c r="AC377" s="9">
        <v>5.0</v>
      </c>
      <c r="AD377" s="9" t="s">
        <v>1681</v>
      </c>
      <c r="AE377" s="9">
        <v>1.0</v>
      </c>
      <c r="AF377" s="9">
        <v>3300.0</v>
      </c>
      <c r="AG377" s="9" t="s">
        <v>42</v>
      </c>
    </row>
    <row r="378">
      <c r="A378" s="7">
        <v>44405.0115877662</v>
      </c>
      <c r="B378" s="9" t="s">
        <v>49</v>
      </c>
      <c r="C378" s="9">
        <v>26.0</v>
      </c>
      <c r="D378" s="9" t="s">
        <v>35</v>
      </c>
      <c r="E378" s="9" t="s">
        <v>36</v>
      </c>
      <c r="F378" s="9" t="s">
        <v>50</v>
      </c>
      <c r="G378" s="9" t="s">
        <v>570</v>
      </c>
      <c r="H378" s="9" t="s">
        <v>38</v>
      </c>
      <c r="I378" s="9" t="s">
        <v>2368</v>
      </c>
      <c r="J378" s="9" t="s">
        <v>100</v>
      </c>
      <c r="K378" s="9" t="s">
        <v>39</v>
      </c>
      <c r="L378" s="9" t="s">
        <v>40</v>
      </c>
      <c r="M378" s="9" t="s">
        <v>40</v>
      </c>
      <c r="P378" s="9" t="s">
        <v>589</v>
      </c>
      <c r="Q378" s="9" t="s">
        <v>42</v>
      </c>
      <c r="R378" s="9">
        <v>10500.0</v>
      </c>
      <c r="U378" s="9">
        <v>20.0</v>
      </c>
      <c r="V378" s="9" t="s">
        <v>2026</v>
      </c>
      <c r="W378" s="9" t="s">
        <v>2027</v>
      </c>
      <c r="X378" s="9" t="s">
        <v>50</v>
      </c>
      <c r="Y378" s="9" t="s">
        <v>228</v>
      </c>
      <c r="Z378" s="9" t="s">
        <v>81</v>
      </c>
      <c r="AA378" s="9" t="s">
        <v>133</v>
      </c>
      <c r="AC378" s="9">
        <v>9.0</v>
      </c>
      <c r="AD378" s="9">
        <v>4.0</v>
      </c>
      <c r="AE378" s="9">
        <v>2.0</v>
      </c>
      <c r="AF378" s="9">
        <v>4000.0</v>
      </c>
      <c r="AG378" s="9" t="s">
        <v>42</v>
      </c>
    </row>
    <row r="379">
      <c r="A379" s="7">
        <v>44405.02492847222</v>
      </c>
      <c r="B379" s="9" t="s">
        <v>73</v>
      </c>
      <c r="C379" s="9">
        <v>30.0</v>
      </c>
      <c r="D379" s="9" t="s">
        <v>35</v>
      </c>
      <c r="E379" s="9" t="s">
        <v>36</v>
      </c>
      <c r="F379" s="9" t="s">
        <v>363</v>
      </c>
      <c r="H379" s="9" t="s">
        <v>118</v>
      </c>
      <c r="K379" s="9" t="s">
        <v>890</v>
      </c>
      <c r="L379" s="9" t="s">
        <v>39</v>
      </c>
      <c r="M379" s="9" t="s">
        <v>40</v>
      </c>
      <c r="N379" s="9" t="s">
        <v>442</v>
      </c>
      <c r="P379" s="9" t="s">
        <v>146</v>
      </c>
      <c r="Q379" s="9" t="s">
        <v>42</v>
      </c>
      <c r="R379" s="9">
        <v>3300.0</v>
      </c>
      <c r="U379" s="9">
        <v>8.0</v>
      </c>
      <c r="V379" s="9" t="s">
        <v>443</v>
      </c>
      <c r="W379" s="9" t="s">
        <v>444</v>
      </c>
      <c r="X379" s="9" t="s">
        <v>79</v>
      </c>
      <c r="Y379" s="9" t="s">
        <v>59</v>
      </c>
      <c r="Z379" s="9" t="s">
        <v>71</v>
      </c>
      <c r="AA379" s="9" t="s">
        <v>61</v>
      </c>
      <c r="AC379" s="9">
        <v>4.0</v>
      </c>
      <c r="AD379" s="9">
        <v>3.0</v>
      </c>
      <c r="AE379" s="9">
        <v>0.0</v>
      </c>
      <c r="AF379" s="9">
        <v>1800.0</v>
      </c>
      <c r="AG379" s="9" t="s">
        <v>42</v>
      </c>
    </row>
    <row r="380">
      <c r="A380" s="7">
        <v>44405.035777048615</v>
      </c>
      <c r="B380" s="9" t="s">
        <v>49</v>
      </c>
      <c r="C380" s="9">
        <v>26.0</v>
      </c>
      <c r="D380" s="9" t="s">
        <v>35</v>
      </c>
      <c r="E380" s="9" t="s">
        <v>36</v>
      </c>
      <c r="F380" s="9" t="s">
        <v>50</v>
      </c>
      <c r="G380" s="9" t="s">
        <v>106</v>
      </c>
      <c r="H380" s="9" t="s">
        <v>38</v>
      </c>
      <c r="I380" s="9" t="s">
        <v>3073</v>
      </c>
      <c r="J380" s="9" t="s">
        <v>3074</v>
      </c>
      <c r="K380" s="9" t="s">
        <v>39</v>
      </c>
      <c r="L380" s="9" t="s">
        <v>40</v>
      </c>
      <c r="M380" s="9" t="s">
        <v>39</v>
      </c>
      <c r="O380" s="9" t="s">
        <v>1606</v>
      </c>
      <c r="P380" s="9" t="s">
        <v>128</v>
      </c>
      <c r="Q380" s="9" t="s">
        <v>42</v>
      </c>
      <c r="R380" s="9">
        <v>8000.0</v>
      </c>
      <c r="S380" s="9">
        <v>0.0</v>
      </c>
      <c r="T380" s="9">
        <v>0.0</v>
      </c>
      <c r="U380" s="9">
        <v>24.0</v>
      </c>
      <c r="V380" s="9" t="s">
        <v>1607</v>
      </c>
      <c r="W380" s="9" t="s">
        <v>1608</v>
      </c>
      <c r="X380" s="9" t="s">
        <v>349</v>
      </c>
      <c r="Y380" s="9" t="s">
        <v>59</v>
      </c>
      <c r="Z380" s="9" t="s">
        <v>60</v>
      </c>
      <c r="AA380" s="9" t="s">
        <v>61</v>
      </c>
      <c r="AC380" s="9">
        <v>8.0</v>
      </c>
      <c r="AD380" s="9">
        <v>3.0</v>
      </c>
      <c r="AE380" s="9">
        <v>2.0</v>
      </c>
      <c r="AF380" s="9">
        <v>3200.0</v>
      </c>
      <c r="AG380" s="9" t="s">
        <v>42</v>
      </c>
    </row>
    <row r="381">
      <c r="A381" s="7">
        <v>44405.054629756945</v>
      </c>
      <c r="B381" s="9" t="s">
        <v>73</v>
      </c>
      <c r="C381" s="9">
        <v>28.0</v>
      </c>
      <c r="D381" s="9" t="s">
        <v>35</v>
      </c>
      <c r="E381" s="9" t="s">
        <v>36</v>
      </c>
      <c r="H381" s="9" t="s">
        <v>247</v>
      </c>
      <c r="K381" s="9" t="s">
        <v>39</v>
      </c>
      <c r="L381" s="9" t="s">
        <v>40</v>
      </c>
      <c r="M381" s="9" t="s">
        <v>40</v>
      </c>
      <c r="P381" s="9" t="s">
        <v>584</v>
      </c>
      <c r="Q381" s="9" t="s">
        <v>42</v>
      </c>
      <c r="R381" s="9">
        <v>4300.0</v>
      </c>
      <c r="U381" s="9">
        <v>14.0</v>
      </c>
      <c r="V381" s="9" t="s">
        <v>700</v>
      </c>
      <c r="W381" s="9" t="s">
        <v>701</v>
      </c>
      <c r="X381" s="9" t="s">
        <v>58</v>
      </c>
      <c r="Y381" s="9" t="s">
        <v>702</v>
      </c>
      <c r="Z381" s="9" t="s">
        <v>81</v>
      </c>
      <c r="AA381" s="9" t="s">
        <v>61</v>
      </c>
      <c r="AC381" s="9">
        <v>7.0</v>
      </c>
      <c r="AD381" s="9">
        <v>3.0</v>
      </c>
      <c r="AE381" s="9">
        <v>2.0</v>
      </c>
      <c r="AF381" s="9">
        <v>2300.0</v>
      </c>
      <c r="AG381" s="9" t="s">
        <v>42</v>
      </c>
    </row>
    <row r="382">
      <c r="A382" s="7">
        <v>44405.05726233796</v>
      </c>
      <c r="B382" s="9" t="s">
        <v>73</v>
      </c>
      <c r="C382" s="9">
        <v>22.0</v>
      </c>
      <c r="D382" s="9" t="s">
        <v>35</v>
      </c>
      <c r="E382" s="9" t="s">
        <v>36</v>
      </c>
      <c r="F382" s="9" t="s">
        <v>124</v>
      </c>
      <c r="G382" s="9" t="s">
        <v>124</v>
      </c>
      <c r="H382" s="9" t="s">
        <v>38</v>
      </c>
      <c r="I382" s="9" t="s">
        <v>2368</v>
      </c>
      <c r="J382" s="9" t="s">
        <v>944</v>
      </c>
      <c r="K382" s="9" t="s">
        <v>39</v>
      </c>
      <c r="L382" s="9" t="s">
        <v>40</v>
      </c>
      <c r="M382" s="9" t="s">
        <v>40</v>
      </c>
      <c r="P382" s="9" t="s">
        <v>2597</v>
      </c>
      <c r="Q382" s="9" t="s">
        <v>42</v>
      </c>
      <c r="R382" s="9">
        <v>5200.0</v>
      </c>
      <c r="T382" s="9" t="s">
        <v>2186</v>
      </c>
      <c r="U382" s="9">
        <v>18.0</v>
      </c>
      <c r="V382" s="9" t="s">
        <v>2187</v>
      </c>
      <c r="W382" s="9" t="s">
        <v>2188</v>
      </c>
      <c r="X382" s="9" t="s">
        <v>122</v>
      </c>
      <c r="Y382" s="9" t="s">
        <v>70</v>
      </c>
      <c r="Z382" s="9" t="s">
        <v>90</v>
      </c>
      <c r="AA382" s="9" t="s">
        <v>91</v>
      </c>
      <c r="AC382" s="9">
        <v>10.0</v>
      </c>
      <c r="AD382" s="9">
        <v>1.0</v>
      </c>
      <c r="AE382" s="9">
        <v>1.0</v>
      </c>
      <c r="AF382" s="9">
        <v>5200.0</v>
      </c>
      <c r="AG382" s="9">
        <v>5200.0</v>
      </c>
    </row>
    <row r="383">
      <c r="A383" s="7">
        <v>44405.05849278935</v>
      </c>
      <c r="B383" s="9" t="s">
        <v>73</v>
      </c>
      <c r="C383" s="9">
        <v>24.0</v>
      </c>
      <c r="D383" s="9" t="s">
        <v>35</v>
      </c>
      <c r="E383" s="9" t="s">
        <v>36</v>
      </c>
      <c r="F383" s="9" t="s">
        <v>124</v>
      </c>
      <c r="G383" s="9" t="s">
        <v>124</v>
      </c>
      <c r="H383" s="9" t="s">
        <v>247</v>
      </c>
      <c r="I383" s="9" t="s">
        <v>3075</v>
      </c>
      <c r="J383" s="9" t="s">
        <v>3076</v>
      </c>
      <c r="K383" s="9" t="s">
        <v>39</v>
      </c>
      <c r="L383" s="9" t="s">
        <v>40</v>
      </c>
      <c r="M383" s="9" t="s">
        <v>39</v>
      </c>
      <c r="O383" s="9" t="s">
        <v>1820</v>
      </c>
      <c r="P383" s="9" t="s">
        <v>3077</v>
      </c>
      <c r="Q383" s="9" t="s">
        <v>42</v>
      </c>
      <c r="R383" s="9">
        <v>4300.0</v>
      </c>
      <c r="S383" s="9" t="s">
        <v>3078</v>
      </c>
      <c r="T383" s="9">
        <v>0.0</v>
      </c>
      <c r="U383" s="9">
        <v>20.0</v>
      </c>
      <c r="V383" s="9" t="s">
        <v>1822</v>
      </c>
      <c r="W383" s="9" t="s">
        <v>1823</v>
      </c>
      <c r="X383" s="9" t="s">
        <v>122</v>
      </c>
      <c r="Y383" s="9" t="s">
        <v>1824</v>
      </c>
      <c r="Z383" s="9" t="s">
        <v>60</v>
      </c>
      <c r="AA383" s="9" t="s">
        <v>61</v>
      </c>
      <c r="AB383" s="9" t="s">
        <v>1825</v>
      </c>
      <c r="AC383" s="9">
        <v>8.0</v>
      </c>
      <c r="AD383" s="9">
        <v>1.0</v>
      </c>
      <c r="AE383" s="9">
        <v>0.0</v>
      </c>
      <c r="AF383" s="9">
        <v>3500.0</v>
      </c>
      <c r="AG383" s="9" t="s">
        <v>42</v>
      </c>
    </row>
    <row r="384">
      <c r="A384" s="7">
        <v>44405.06117378472</v>
      </c>
      <c r="B384" s="9" t="s">
        <v>49</v>
      </c>
      <c r="C384" s="9">
        <v>29.0</v>
      </c>
      <c r="D384" s="9" t="s">
        <v>35</v>
      </c>
      <c r="E384" s="9" t="s">
        <v>36</v>
      </c>
      <c r="F384" s="9" t="s">
        <v>50</v>
      </c>
      <c r="G384" s="9" t="s">
        <v>206</v>
      </c>
      <c r="H384" s="9" t="s">
        <v>38</v>
      </c>
      <c r="I384" s="9" t="s">
        <v>2467</v>
      </c>
      <c r="J384" s="9" t="s">
        <v>2472</v>
      </c>
      <c r="K384" s="9" t="s">
        <v>39</v>
      </c>
      <c r="L384" s="9" t="s">
        <v>40</v>
      </c>
      <c r="M384" s="9" t="s">
        <v>40</v>
      </c>
      <c r="P384" s="9" t="s">
        <v>146</v>
      </c>
      <c r="Q384" s="9" t="s">
        <v>42</v>
      </c>
      <c r="R384" s="9">
        <v>5500.0</v>
      </c>
      <c r="S384" s="9">
        <v>0.0</v>
      </c>
      <c r="T384" s="9">
        <v>0.0</v>
      </c>
      <c r="U384" s="9">
        <v>15.0</v>
      </c>
      <c r="V384" s="9" t="s">
        <v>957</v>
      </c>
      <c r="W384" s="9" t="s">
        <v>1316</v>
      </c>
      <c r="X384" s="9" t="s">
        <v>1317</v>
      </c>
      <c r="Y384" s="9" t="s">
        <v>59</v>
      </c>
      <c r="Z384" s="9" t="s">
        <v>132</v>
      </c>
      <c r="AA384" s="9" t="s">
        <v>61</v>
      </c>
      <c r="AC384" s="9">
        <v>6.0</v>
      </c>
      <c r="AD384" s="9">
        <v>5.0</v>
      </c>
      <c r="AE384" s="9">
        <v>3.0</v>
      </c>
      <c r="AF384" s="9">
        <v>3000.0</v>
      </c>
      <c r="AG384" s="9" t="s">
        <v>2934</v>
      </c>
    </row>
    <row r="385">
      <c r="A385" s="7">
        <v>44405.0657530787</v>
      </c>
      <c r="B385" s="9" t="s">
        <v>73</v>
      </c>
      <c r="C385" s="9">
        <v>23.0</v>
      </c>
      <c r="D385" s="9" t="s">
        <v>35</v>
      </c>
      <c r="E385" s="9" t="s">
        <v>36</v>
      </c>
      <c r="F385" s="9" t="s">
        <v>50</v>
      </c>
      <c r="G385" s="9" t="s">
        <v>298</v>
      </c>
      <c r="H385" s="9" t="s">
        <v>38</v>
      </c>
      <c r="I385" s="9" t="s">
        <v>2467</v>
      </c>
      <c r="J385" s="9" t="s">
        <v>2627</v>
      </c>
      <c r="K385" s="9" t="s">
        <v>39</v>
      </c>
      <c r="L385" s="9" t="s">
        <v>40</v>
      </c>
      <c r="M385" s="9" t="s">
        <v>39</v>
      </c>
      <c r="O385" s="9" t="s">
        <v>398</v>
      </c>
      <c r="P385" s="9" t="s">
        <v>128</v>
      </c>
      <c r="Q385" s="9" t="s">
        <v>42</v>
      </c>
      <c r="R385" s="9">
        <v>3000.0</v>
      </c>
      <c r="S385" s="9">
        <v>0.0</v>
      </c>
      <c r="T385" s="9">
        <v>0.0</v>
      </c>
      <c r="U385" s="9">
        <v>14.0</v>
      </c>
      <c r="V385" s="9" t="s">
        <v>1044</v>
      </c>
      <c r="W385" s="9" t="s">
        <v>367</v>
      </c>
      <c r="X385" s="9" t="s">
        <v>678</v>
      </c>
      <c r="Y385" s="9" t="s">
        <v>185</v>
      </c>
      <c r="Z385" s="9" t="s">
        <v>71</v>
      </c>
      <c r="AA385" s="9" t="s">
        <v>61</v>
      </c>
      <c r="AC385" s="9">
        <v>4.0</v>
      </c>
      <c r="AD385" s="9">
        <v>1.0</v>
      </c>
      <c r="AE385" s="9">
        <v>1.0</v>
      </c>
      <c r="AF385" s="9">
        <v>3000.0</v>
      </c>
      <c r="AG385" s="9" t="s">
        <v>42</v>
      </c>
    </row>
    <row r="386">
      <c r="A386" s="7">
        <v>44405.07893754629</v>
      </c>
      <c r="B386" s="9" t="s">
        <v>73</v>
      </c>
      <c r="C386" s="9">
        <v>25.0</v>
      </c>
      <c r="D386" s="9" t="s">
        <v>35</v>
      </c>
      <c r="E386" s="9" t="s">
        <v>36</v>
      </c>
      <c r="F386" s="9" t="s">
        <v>50</v>
      </c>
      <c r="G386" s="9" t="s">
        <v>570</v>
      </c>
      <c r="H386" s="9" t="s">
        <v>38</v>
      </c>
      <c r="I386" s="9" t="s">
        <v>3079</v>
      </c>
      <c r="J386" s="9" t="s">
        <v>3080</v>
      </c>
      <c r="K386" s="9" t="s">
        <v>39</v>
      </c>
      <c r="L386" s="9" t="s">
        <v>40</v>
      </c>
      <c r="M386" s="9" t="s">
        <v>40</v>
      </c>
      <c r="P386" s="9" t="s">
        <v>3081</v>
      </c>
      <c r="Q386" s="9" t="s">
        <v>42</v>
      </c>
      <c r="R386" s="9">
        <v>3800.0</v>
      </c>
      <c r="S386" s="9">
        <v>0.0</v>
      </c>
      <c r="T386" s="9">
        <v>0.0</v>
      </c>
      <c r="U386" s="9">
        <v>15.0</v>
      </c>
      <c r="V386" s="9" t="s">
        <v>1307</v>
      </c>
      <c r="W386" s="9" t="s">
        <v>1308</v>
      </c>
      <c r="X386" s="9" t="s">
        <v>58</v>
      </c>
      <c r="Y386" s="9" t="s">
        <v>185</v>
      </c>
      <c r="Z386" s="9" t="s">
        <v>60</v>
      </c>
      <c r="AA386" s="9" t="s">
        <v>91</v>
      </c>
      <c r="AC386" s="9">
        <v>7.0</v>
      </c>
      <c r="AD386" s="9">
        <v>1.0</v>
      </c>
      <c r="AE386" s="9">
        <v>3.0</v>
      </c>
      <c r="AF386" s="9">
        <v>3000.0</v>
      </c>
      <c r="AG386" s="9" t="s">
        <v>42</v>
      </c>
    </row>
    <row r="387">
      <c r="A387" s="7">
        <v>44405.34007856481</v>
      </c>
      <c r="B387" s="9" t="s">
        <v>49</v>
      </c>
      <c r="C387" s="9">
        <v>40.0</v>
      </c>
      <c r="D387" s="9" t="s">
        <v>35</v>
      </c>
      <c r="E387" s="9" t="s">
        <v>36</v>
      </c>
      <c r="F387" s="9" t="s">
        <v>50</v>
      </c>
      <c r="G387" s="9" t="s">
        <v>180</v>
      </c>
      <c r="H387" s="9" t="s">
        <v>247</v>
      </c>
      <c r="I387" s="9" t="s">
        <v>3082</v>
      </c>
      <c r="J387" s="9" t="s">
        <v>2566</v>
      </c>
      <c r="K387" s="9" t="s">
        <v>39</v>
      </c>
      <c r="L387" s="9" t="s">
        <v>40</v>
      </c>
      <c r="M387" s="9" t="s">
        <v>40</v>
      </c>
      <c r="P387" s="9" t="s">
        <v>249</v>
      </c>
      <c r="Q387" s="9" t="s">
        <v>42</v>
      </c>
      <c r="R387" s="9">
        <v>30000.0</v>
      </c>
      <c r="S387" s="9">
        <v>0.0</v>
      </c>
      <c r="T387" s="9">
        <v>10.0</v>
      </c>
      <c r="U387" s="9">
        <v>18.0</v>
      </c>
      <c r="V387" s="9" t="s">
        <v>814</v>
      </c>
      <c r="W387" s="9" t="s">
        <v>815</v>
      </c>
      <c r="X387" s="9" t="s">
        <v>88</v>
      </c>
      <c r="Y387" s="9" t="s">
        <v>70</v>
      </c>
      <c r="Z387" s="9" t="s">
        <v>71</v>
      </c>
      <c r="AA387" s="9" t="s">
        <v>61</v>
      </c>
      <c r="AC387" s="9">
        <v>10.0</v>
      </c>
      <c r="AD387" s="9">
        <v>16.0</v>
      </c>
      <c r="AE387" s="9">
        <v>5.0</v>
      </c>
      <c r="AF387" s="9">
        <v>2500.0</v>
      </c>
      <c r="AG387" s="9" t="s">
        <v>42</v>
      </c>
    </row>
    <row r="388">
      <c r="A388" s="7">
        <v>44405.34927994213</v>
      </c>
      <c r="B388" s="9" t="s">
        <v>49</v>
      </c>
      <c r="C388" s="9">
        <v>36.0</v>
      </c>
      <c r="D388" s="9" t="s">
        <v>35</v>
      </c>
      <c r="E388" s="9" t="s">
        <v>36</v>
      </c>
      <c r="F388" s="9" t="s">
        <v>363</v>
      </c>
      <c r="G388" s="9" t="s">
        <v>482</v>
      </c>
      <c r="H388" s="9" t="s">
        <v>38</v>
      </c>
      <c r="I388" s="9" t="s">
        <v>2368</v>
      </c>
      <c r="J388" s="9" t="s">
        <v>684</v>
      </c>
      <c r="K388" s="9" t="s">
        <v>39</v>
      </c>
      <c r="L388" s="9" t="s">
        <v>40</v>
      </c>
      <c r="M388" s="9" t="s">
        <v>40</v>
      </c>
      <c r="P388" s="9" t="s">
        <v>128</v>
      </c>
      <c r="Q388" s="9" t="s">
        <v>42</v>
      </c>
      <c r="R388" s="9">
        <v>6300.0</v>
      </c>
      <c r="S388" s="9">
        <v>0.0</v>
      </c>
      <c r="T388" s="9">
        <v>0.0</v>
      </c>
      <c r="U388" s="9">
        <v>20.0</v>
      </c>
      <c r="V388" s="9" t="s">
        <v>685</v>
      </c>
      <c r="W388" s="9" t="s">
        <v>686</v>
      </c>
      <c r="X388" s="9" t="s">
        <v>687</v>
      </c>
      <c r="Y388" s="9" t="s">
        <v>688</v>
      </c>
      <c r="Z388" s="9" t="s">
        <v>60</v>
      </c>
      <c r="AA388" s="9" t="s">
        <v>61</v>
      </c>
      <c r="AC388" s="9">
        <v>5.0</v>
      </c>
      <c r="AD388" s="9">
        <v>15.0</v>
      </c>
      <c r="AE388" s="9">
        <v>1.0</v>
      </c>
      <c r="AF388" s="9">
        <v>2200.0</v>
      </c>
      <c r="AG388" s="9" t="s">
        <v>42</v>
      </c>
    </row>
    <row r="389">
      <c r="A389" s="7">
        <v>44405.383240462965</v>
      </c>
      <c r="B389" s="9" t="s">
        <v>49</v>
      </c>
      <c r="C389" s="9">
        <v>28.0</v>
      </c>
      <c r="D389" s="9" t="s">
        <v>35</v>
      </c>
      <c r="E389" s="9" t="s">
        <v>36</v>
      </c>
      <c r="F389" s="9" t="s">
        <v>50</v>
      </c>
      <c r="G389" s="9" t="s">
        <v>106</v>
      </c>
      <c r="H389" s="9" t="s">
        <v>38</v>
      </c>
      <c r="I389" s="9" t="s">
        <v>2719</v>
      </c>
      <c r="J389" s="9" t="s">
        <v>2444</v>
      </c>
      <c r="K389" s="9" t="s">
        <v>39</v>
      </c>
      <c r="L389" s="9" t="s">
        <v>40</v>
      </c>
      <c r="M389" s="9" t="s">
        <v>39</v>
      </c>
      <c r="O389" s="9" t="s">
        <v>1113</v>
      </c>
      <c r="P389" s="9" t="s">
        <v>589</v>
      </c>
      <c r="Q389" s="9" t="s">
        <v>42</v>
      </c>
      <c r="R389" s="9">
        <v>13000.0</v>
      </c>
      <c r="S389" s="9">
        <v>0.0</v>
      </c>
      <c r="T389" s="9">
        <v>0.0</v>
      </c>
      <c r="U389" s="9">
        <v>18.0</v>
      </c>
      <c r="V389" s="9" t="s">
        <v>1114</v>
      </c>
      <c r="W389" s="9" t="s">
        <v>1115</v>
      </c>
      <c r="X389" s="9" t="s">
        <v>50</v>
      </c>
      <c r="Y389" s="9" t="s">
        <v>105</v>
      </c>
      <c r="Z389" s="9" t="s">
        <v>71</v>
      </c>
      <c r="AA389" s="9" t="s">
        <v>61</v>
      </c>
      <c r="AC389" s="9">
        <v>4.0</v>
      </c>
      <c r="AD389" s="9">
        <v>6.0</v>
      </c>
      <c r="AE389" s="9">
        <v>3.0</v>
      </c>
      <c r="AF389" s="9">
        <v>2800.0</v>
      </c>
      <c r="AG389" s="9" t="s">
        <v>42</v>
      </c>
    </row>
    <row r="390">
      <c r="A390" s="7">
        <v>44405.40567609954</v>
      </c>
      <c r="B390" s="9" t="s">
        <v>49</v>
      </c>
      <c r="C390" s="9">
        <v>32.0</v>
      </c>
      <c r="D390" s="9" t="s">
        <v>35</v>
      </c>
      <c r="E390" s="9" t="s">
        <v>36</v>
      </c>
      <c r="F390" s="9" t="s">
        <v>50</v>
      </c>
      <c r="G390" s="9" t="s">
        <v>570</v>
      </c>
      <c r="H390" s="9" t="s">
        <v>38</v>
      </c>
      <c r="I390" s="9" t="s">
        <v>3083</v>
      </c>
      <c r="J390" s="9" t="s">
        <v>327</v>
      </c>
      <c r="K390" s="9" t="s">
        <v>39</v>
      </c>
      <c r="L390" s="9" t="s">
        <v>40</v>
      </c>
      <c r="M390" s="9" t="s">
        <v>40</v>
      </c>
      <c r="P390" s="9" t="s">
        <v>571</v>
      </c>
      <c r="Q390" s="9" t="s">
        <v>42</v>
      </c>
      <c r="R390" s="9">
        <v>7181.0</v>
      </c>
      <c r="S390" s="9" t="s">
        <v>3084</v>
      </c>
      <c r="T390" s="9">
        <v>0.0</v>
      </c>
      <c r="U390" s="9">
        <v>16.0</v>
      </c>
      <c r="V390" s="9" t="s">
        <v>572</v>
      </c>
      <c r="W390" s="9" t="s">
        <v>573</v>
      </c>
      <c r="X390" s="9" t="s">
        <v>106</v>
      </c>
      <c r="Y390" s="9" t="s">
        <v>80</v>
      </c>
      <c r="Z390" s="9" t="s">
        <v>132</v>
      </c>
      <c r="AA390" s="9" t="s">
        <v>91</v>
      </c>
      <c r="AC390" s="9">
        <v>9.0</v>
      </c>
      <c r="AD390" s="9">
        <v>10.0</v>
      </c>
      <c r="AE390" s="9">
        <v>7.0</v>
      </c>
      <c r="AF390" s="9">
        <v>2000.0</v>
      </c>
      <c r="AG390" s="9" t="s">
        <v>42</v>
      </c>
    </row>
    <row r="391">
      <c r="A391" s="7">
        <v>44405.41152278935</v>
      </c>
      <c r="B391" s="9" t="s">
        <v>49</v>
      </c>
      <c r="C391" s="9">
        <v>41.0</v>
      </c>
      <c r="D391" s="9" t="s">
        <v>2177</v>
      </c>
      <c r="E391" s="9" t="s">
        <v>36</v>
      </c>
      <c r="F391" s="9" t="s">
        <v>124</v>
      </c>
      <c r="G391" s="9" t="s">
        <v>124</v>
      </c>
      <c r="H391" s="9" t="s">
        <v>247</v>
      </c>
      <c r="I391" s="9" t="s">
        <v>3085</v>
      </c>
      <c r="J391" s="9" t="s">
        <v>2381</v>
      </c>
      <c r="K391" s="9" t="s">
        <v>40</v>
      </c>
      <c r="L391" s="9" t="s">
        <v>40</v>
      </c>
      <c r="M391" s="9" t="s">
        <v>40</v>
      </c>
      <c r="P391" s="9" t="s">
        <v>584</v>
      </c>
      <c r="Q391" s="9" t="s">
        <v>42</v>
      </c>
      <c r="R391" s="9">
        <v>5500.0</v>
      </c>
      <c r="S391" s="9">
        <v>0.0</v>
      </c>
      <c r="T391" s="9">
        <v>0.0</v>
      </c>
      <c r="U391" s="9">
        <v>24.0</v>
      </c>
      <c r="V391" s="9" t="s">
        <v>2178</v>
      </c>
      <c r="W391" s="9" t="s">
        <v>2179</v>
      </c>
      <c r="X391" s="9" t="s">
        <v>122</v>
      </c>
      <c r="Y391" s="9" t="s">
        <v>97</v>
      </c>
      <c r="Z391" s="9" t="s">
        <v>132</v>
      </c>
      <c r="AA391" s="9" t="s">
        <v>61</v>
      </c>
      <c r="AC391" s="9">
        <v>7.0</v>
      </c>
      <c r="AD391" s="9">
        <v>3.0</v>
      </c>
      <c r="AE391" s="9">
        <v>4.0</v>
      </c>
      <c r="AF391" s="9">
        <v>5000.0</v>
      </c>
      <c r="AG391" s="9" t="s">
        <v>42</v>
      </c>
    </row>
    <row r="392">
      <c r="A392" s="7">
        <v>44405.42379916667</v>
      </c>
      <c r="B392" s="9" t="s">
        <v>49</v>
      </c>
      <c r="C392" s="9">
        <v>26.0</v>
      </c>
      <c r="D392" s="9" t="s">
        <v>35</v>
      </c>
      <c r="E392" s="9" t="s">
        <v>36</v>
      </c>
      <c r="F392" s="9" t="s">
        <v>363</v>
      </c>
      <c r="G392" s="9" t="s">
        <v>527</v>
      </c>
      <c r="H392" s="9" t="s">
        <v>38</v>
      </c>
      <c r="I392" s="9" t="s">
        <v>2368</v>
      </c>
      <c r="J392" s="9" t="s">
        <v>2666</v>
      </c>
      <c r="K392" s="9" t="s">
        <v>39</v>
      </c>
      <c r="L392" s="9" t="s">
        <v>40</v>
      </c>
      <c r="M392" s="9" t="s">
        <v>40</v>
      </c>
      <c r="P392" s="9" t="s">
        <v>128</v>
      </c>
      <c r="Q392" s="9" t="s">
        <v>42</v>
      </c>
      <c r="R392" s="9">
        <v>3700.0</v>
      </c>
      <c r="S392" s="9">
        <v>6000.0</v>
      </c>
      <c r="T392" s="9">
        <v>0.0</v>
      </c>
      <c r="U392" s="9">
        <v>15.0</v>
      </c>
      <c r="V392" s="9" t="s">
        <v>1697</v>
      </c>
      <c r="W392" s="9" t="s">
        <v>1698</v>
      </c>
      <c r="X392" s="9" t="s">
        <v>79</v>
      </c>
      <c r="Y392" s="9" t="s">
        <v>80</v>
      </c>
      <c r="Z392" s="9" t="s">
        <v>90</v>
      </c>
      <c r="AA392" s="9" t="s">
        <v>61</v>
      </c>
      <c r="AC392" s="9">
        <v>8.0</v>
      </c>
      <c r="AD392" s="9">
        <v>2.0</v>
      </c>
      <c r="AE392" s="9">
        <v>0.0</v>
      </c>
      <c r="AF392" s="9">
        <v>3300.0</v>
      </c>
      <c r="AG392" s="9" t="s">
        <v>42</v>
      </c>
    </row>
    <row r="393">
      <c r="A393" s="7">
        <v>44405.438268321755</v>
      </c>
      <c r="B393" s="9" t="s">
        <v>49</v>
      </c>
      <c r="C393" s="9">
        <v>27.0</v>
      </c>
      <c r="D393" s="9" t="s">
        <v>35</v>
      </c>
      <c r="E393" s="9" t="s">
        <v>36</v>
      </c>
      <c r="F393" s="9" t="s">
        <v>50</v>
      </c>
      <c r="G393" s="9" t="s">
        <v>2917</v>
      </c>
      <c r="H393" s="9" t="s">
        <v>38</v>
      </c>
      <c r="I393" s="9" t="s">
        <v>3086</v>
      </c>
      <c r="J393" s="9" t="s">
        <v>2566</v>
      </c>
      <c r="K393" s="9" t="s">
        <v>39</v>
      </c>
      <c r="L393" s="9" t="s">
        <v>40</v>
      </c>
      <c r="M393" s="9" t="s">
        <v>40</v>
      </c>
      <c r="P393" s="9" t="s">
        <v>308</v>
      </c>
      <c r="Q393" s="9" t="s">
        <v>42</v>
      </c>
      <c r="R393" s="9">
        <v>4700.0</v>
      </c>
      <c r="S393" s="9">
        <v>0.0</v>
      </c>
      <c r="T393" s="9" t="s">
        <v>1021</v>
      </c>
      <c r="U393" s="9">
        <v>14.0</v>
      </c>
      <c r="V393" s="9" t="s">
        <v>1022</v>
      </c>
      <c r="W393" s="9" t="s">
        <v>1023</v>
      </c>
      <c r="X393" s="9" t="s">
        <v>58</v>
      </c>
      <c r="Y393" s="9" t="s">
        <v>159</v>
      </c>
      <c r="Z393" s="9" t="s">
        <v>132</v>
      </c>
      <c r="AA393" s="9" t="s">
        <v>91</v>
      </c>
      <c r="AC393" s="9">
        <v>6.0</v>
      </c>
      <c r="AD393" s="9">
        <v>4.0</v>
      </c>
      <c r="AE393" s="9">
        <v>3.0</v>
      </c>
      <c r="AF393" s="9">
        <v>2700.0</v>
      </c>
      <c r="AG393" s="9" t="s">
        <v>3054</v>
      </c>
    </row>
    <row r="394">
      <c r="A394" s="7">
        <v>44405.49727569445</v>
      </c>
      <c r="B394" s="9" t="s">
        <v>49</v>
      </c>
      <c r="C394" s="9">
        <v>27.0</v>
      </c>
      <c r="D394" s="9" t="s">
        <v>35</v>
      </c>
      <c r="E394" s="9" t="s">
        <v>36</v>
      </c>
      <c r="F394" s="9" t="s">
        <v>50</v>
      </c>
      <c r="G394" s="9" t="s">
        <v>298</v>
      </c>
      <c r="H394" s="9" t="s">
        <v>38</v>
      </c>
      <c r="I394" s="9" t="s">
        <v>2388</v>
      </c>
      <c r="J394" s="9" t="s">
        <v>2366</v>
      </c>
      <c r="K394" s="9" t="s">
        <v>39</v>
      </c>
      <c r="L394" s="9" t="s">
        <v>40</v>
      </c>
      <c r="M394" s="9" t="s">
        <v>40</v>
      </c>
      <c r="P394" s="9" t="s">
        <v>3087</v>
      </c>
      <c r="Q394" s="9" t="s">
        <v>42</v>
      </c>
      <c r="R394" s="9">
        <v>11000.0</v>
      </c>
      <c r="S394" s="9">
        <v>25000.0</v>
      </c>
      <c r="T394" s="9">
        <v>0.0</v>
      </c>
      <c r="U394" s="9">
        <v>22.0</v>
      </c>
      <c r="V394" s="9" t="s">
        <v>1377</v>
      </c>
      <c r="W394" s="9" t="s">
        <v>1378</v>
      </c>
      <c r="X394" s="9" t="s">
        <v>131</v>
      </c>
      <c r="Y394" s="9" t="s">
        <v>105</v>
      </c>
      <c r="Z394" s="9" t="s">
        <v>60</v>
      </c>
      <c r="AA394" s="9" t="s">
        <v>91</v>
      </c>
      <c r="AC394" s="9">
        <v>7.0</v>
      </c>
      <c r="AD394" s="9">
        <v>6.0</v>
      </c>
      <c r="AE394" s="9">
        <v>1.0</v>
      </c>
      <c r="AF394" s="9">
        <v>3000.0</v>
      </c>
      <c r="AG394" s="9" t="s">
        <v>42</v>
      </c>
    </row>
    <row r="395">
      <c r="A395" s="7">
        <v>44405.4979021412</v>
      </c>
      <c r="B395" s="9" t="s">
        <v>49</v>
      </c>
      <c r="C395" s="9">
        <v>31.0</v>
      </c>
      <c r="D395" s="9" t="s">
        <v>35</v>
      </c>
      <c r="E395" s="9" t="s">
        <v>36</v>
      </c>
      <c r="F395" s="9" t="s">
        <v>50</v>
      </c>
      <c r="G395" s="9" t="s">
        <v>117</v>
      </c>
      <c r="H395" s="9" t="s">
        <v>302</v>
      </c>
      <c r="J395" s="9" t="s">
        <v>2421</v>
      </c>
      <c r="K395" s="9" t="s">
        <v>39</v>
      </c>
      <c r="L395" s="9" t="s">
        <v>40</v>
      </c>
      <c r="M395" s="9" t="s">
        <v>40</v>
      </c>
      <c r="P395" s="9" t="s">
        <v>2609</v>
      </c>
      <c r="Q395" s="9" t="s">
        <v>42</v>
      </c>
      <c r="R395" s="9">
        <v>6000.0</v>
      </c>
      <c r="S395" s="9">
        <v>3000.0</v>
      </c>
      <c r="T395" s="9">
        <v>0.0</v>
      </c>
      <c r="U395" s="9">
        <v>14.0</v>
      </c>
      <c r="V395" s="9" t="s">
        <v>1075</v>
      </c>
      <c r="W395" s="9" t="s">
        <v>1076</v>
      </c>
      <c r="X395" s="9" t="s">
        <v>1077</v>
      </c>
      <c r="Y395" s="9" t="s">
        <v>1078</v>
      </c>
      <c r="Z395" s="9" t="s">
        <v>71</v>
      </c>
      <c r="AA395" s="9" t="s">
        <v>91</v>
      </c>
      <c r="AC395" s="9">
        <v>8.0</v>
      </c>
      <c r="AD395" s="9">
        <v>11.0</v>
      </c>
      <c r="AE395" s="9">
        <v>3.0</v>
      </c>
      <c r="AF395" s="9">
        <v>2800.0</v>
      </c>
      <c r="AG395" s="9" t="s">
        <v>42</v>
      </c>
    </row>
    <row r="396">
      <c r="A396" s="7">
        <v>44405.507821886575</v>
      </c>
      <c r="B396" s="9" t="s">
        <v>49</v>
      </c>
      <c r="C396" s="9">
        <v>23.0</v>
      </c>
      <c r="D396" s="9" t="s">
        <v>35</v>
      </c>
      <c r="E396" s="9" t="s">
        <v>36</v>
      </c>
      <c r="F396" s="9" t="s">
        <v>2430</v>
      </c>
      <c r="H396" s="9" t="s">
        <v>38</v>
      </c>
      <c r="I396" s="9" t="s">
        <v>2388</v>
      </c>
      <c r="J396" s="9" t="s">
        <v>3080</v>
      </c>
      <c r="K396" s="9" t="s">
        <v>39</v>
      </c>
      <c r="L396" s="9" t="s">
        <v>40</v>
      </c>
      <c r="M396" s="9" t="s">
        <v>40</v>
      </c>
      <c r="P396" s="9" t="s">
        <v>3088</v>
      </c>
      <c r="Q396" s="9" t="s">
        <v>42</v>
      </c>
      <c r="R396" s="9">
        <v>4350.0</v>
      </c>
      <c r="S396" s="9">
        <v>4200.0</v>
      </c>
      <c r="T396" s="9">
        <v>0.0</v>
      </c>
      <c r="U396" s="9">
        <v>14.0</v>
      </c>
      <c r="V396" s="9" t="s">
        <v>1588</v>
      </c>
      <c r="W396" s="9" t="s">
        <v>1589</v>
      </c>
      <c r="X396" s="9" t="s">
        <v>2452</v>
      </c>
      <c r="Y396" s="9" t="s">
        <v>155</v>
      </c>
      <c r="Z396" s="9" t="s">
        <v>132</v>
      </c>
      <c r="AA396" s="9" t="s">
        <v>61</v>
      </c>
      <c r="AC396" s="9">
        <v>6.0</v>
      </c>
      <c r="AD396" s="9">
        <v>1.2</v>
      </c>
      <c r="AE396" s="9">
        <v>2.0</v>
      </c>
      <c r="AF396" s="9">
        <v>3200.0</v>
      </c>
      <c r="AG396" s="9" t="s">
        <v>42</v>
      </c>
    </row>
    <row r="397">
      <c r="A397" s="7">
        <v>44405.51802094908</v>
      </c>
      <c r="B397" s="9" t="s">
        <v>49</v>
      </c>
      <c r="C397" s="9">
        <v>22.0</v>
      </c>
      <c r="D397" s="9" t="s">
        <v>35</v>
      </c>
      <c r="E397" s="9" t="s">
        <v>36</v>
      </c>
      <c r="F397" s="9" t="s">
        <v>50</v>
      </c>
      <c r="G397" s="9" t="s">
        <v>82</v>
      </c>
      <c r="H397" s="9" t="s">
        <v>38</v>
      </c>
      <c r="I397" s="9" t="s">
        <v>3089</v>
      </c>
      <c r="J397" s="9" t="s">
        <v>72</v>
      </c>
      <c r="K397" s="9" t="s">
        <v>40</v>
      </c>
      <c r="L397" s="9" t="s">
        <v>39</v>
      </c>
      <c r="M397" s="9" t="s">
        <v>40</v>
      </c>
      <c r="N397" s="9" t="s">
        <v>2294</v>
      </c>
      <c r="P397" s="9" t="s">
        <v>584</v>
      </c>
      <c r="Q397" s="9" t="s">
        <v>42</v>
      </c>
      <c r="R397" s="9">
        <v>10000.0</v>
      </c>
      <c r="S397" s="9">
        <v>0.0</v>
      </c>
      <c r="T397" s="9">
        <v>0.0</v>
      </c>
      <c r="U397" s="9">
        <v>30.0</v>
      </c>
      <c r="V397" s="9" t="s">
        <v>2295</v>
      </c>
      <c r="W397" s="9" t="s">
        <v>2296</v>
      </c>
      <c r="X397" s="9" t="s">
        <v>131</v>
      </c>
      <c r="Y397" s="9" t="s">
        <v>59</v>
      </c>
      <c r="Z397" s="9" t="s">
        <v>71</v>
      </c>
      <c r="AA397" s="9" t="s">
        <v>61</v>
      </c>
      <c r="AC397" s="9">
        <v>10.0</v>
      </c>
      <c r="AD397" s="9">
        <v>2.0</v>
      </c>
      <c r="AE397" s="9">
        <v>0.0</v>
      </c>
      <c r="AF397" s="9">
        <v>10000.0</v>
      </c>
      <c r="AG397" s="9" t="s">
        <v>42</v>
      </c>
    </row>
    <row r="398">
      <c r="A398" s="7">
        <v>44405.52562571759</v>
      </c>
      <c r="B398" s="9" t="s">
        <v>49</v>
      </c>
      <c r="C398" s="9">
        <v>27.0</v>
      </c>
      <c r="D398" s="9" t="s">
        <v>35</v>
      </c>
      <c r="E398" s="9" t="s">
        <v>36</v>
      </c>
      <c r="F398" s="9" t="s">
        <v>50</v>
      </c>
      <c r="G398" s="9" t="s">
        <v>354</v>
      </c>
      <c r="H398" s="9" t="s">
        <v>38</v>
      </c>
      <c r="I398" s="9" t="s">
        <v>2582</v>
      </c>
      <c r="J398" s="9" t="s">
        <v>2583</v>
      </c>
      <c r="K398" s="9" t="s">
        <v>39</v>
      </c>
      <c r="L398" s="9" t="s">
        <v>40</v>
      </c>
      <c r="M398" s="9" t="s">
        <v>40</v>
      </c>
      <c r="O398" s="9" t="s">
        <v>356</v>
      </c>
      <c r="P398" s="9" t="s">
        <v>2377</v>
      </c>
      <c r="Q398" s="9" t="s">
        <v>42</v>
      </c>
      <c r="R398" s="9">
        <v>8500.0</v>
      </c>
      <c r="S398" s="9">
        <v>0.0</v>
      </c>
      <c r="T398" s="9">
        <v>0.0</v>
      </c>
      <c r="U398" s="9">
        <v>14.0</v>
      </c>
      <c r="V398" s="9" t="s">
        <v>357</v>
      </c>
      <c r="W398" s="9" t="s">
        <v>358</v>
      </c>
      <c r="X398" s="9" t="s">
        <v>58</v>
      </c>
      <c r="Y398" s="9" t="s">
        <v>116</v>
      </c>
      <c r="Z398" s="9" t="s">
        <v>71</v>
      </c>
      <c r="AA398" s="9" t="s">
        <v>61</v>
      </c>
      <c r="AC398" s="9">
        <v>8.0</v>
      </c>
      <c r="AD398" s="9">
        <v>6.0</v>
      </c>
      <c r="AE398" s="9">
        <v>4.0</v>
      </c>
      <c r="AF398" s="9">
        <v>1500.0</v>
      </c>
      <c r="AG398" s="9" t="s">
        <v>42</v>
      </c>
    </row>
    <row r="399">
      <c r="A399" s="7">
        <v>44405.57042584491</v>
      </c>
      <c r="B399" s="9" t="s">
        <v>49</v>
      </c>
      <c r="C399" s="9">
        <v>33.0</v>
      </c>
      <c r="D399" s="9" t="s">
        <v>35</v>
      </c>
      <c r="E399" s="9" t="s">
        <v>36</v>
      </c>
      <c r="F399" s="9" t="s">
        <v>412</v>
      </c>
      <c r="G399" s="9" t="s">
        <v>413</v>
      </c>
      <c r="H399" s="9" t="s">
        <v>3090</v>
      </c>
      <c r="I399" s="9" t="s">
        <v>3091</v>
      </c>
      <c r="J399" s="9" t="s">
        <v>2527</v>
      </c>
      <c r="K399" s="9" t="s">
        <v>39</v>
      </c>
      <c r="L399" s="9" t="s">
        <v>40</v>
      </c>
      <c r="M399" s="9" t="s">
        <v>40</v>
      </c>
      <c r="P399" s="9" t="s">
        <v>3092</v>
      </c>
      <c r="Q399" s="9" t="s">
        <v>42</v>
      </c>
      <c r="R399" s="9">
        <v>10500.0</v>
      </c>
      <c r="S399" s="9">
        <v>0.0</v>
      </c>
      <c r="T399" s="9">
        <v>51.0</v>
      </c>
      <c r="U399" s="9">
        <v>15.0</v>
      </c>
      <c r="V399" s="9" t="s">
        <v>416</v>
      </c>
      <c r="W399" s="9" t="s">
        <v>417</v>
      </c>
      <c r="X399" s="9" t="s">
        <v>418</v>
      </c>
      <c r="Y399" s="9" t="s">
        <v>105</v>
      </c>
      <c r="Z399" s="9" t="s">
        <v>47</v>
      </c>
      <c r="AA399" s="9" t="s">
        <v>61</v>
      </c>
      <c r="AB399" s="9" t="s">
        <v>419</v>
      </c>
      <c r="AC399" s="9">
        <v>10.0</v>
      </c>
      <c r="AD399" s="9">
        <v>9.0</v>
      </c>
      <c r="AE399" s="9">
        <v>2.0</v>
      </c>
      <c r="AF399" s="9">
        <v>1650.0</v>
      </c>
      <c r="AG399" s="9" t="s">
        <v>42</v>
      </c>
    </row>
    <row r="400">
      <c r="A400" s="7">
        <v>44405.598225787035</v>
      </c>
      <c r="B400" s="9" t="s">
        <v>49</v>
      </c>
      <c r="C400" s="9">
        <v>27.0</v>
      </c>
      <c r="D400" s="9" t="s">
        <v>35</v>
      </c>
      <c r="E400" s="9" t="s">
        <v>36</v>
      </c>
      <c r="F400" s="9" t="s">
        <v>36</v>
      </c>
      <c r="G400" s="9" t="s">
        <v>106</v>
      </c>
      <c r="H400" s="9" t="s">
        <v>247</v>
      </c>
      <c r="I400" s="9" t="s">
        <v>3093</v>
      </c>
      <c r="J400" s="9" t="s">
        <v>1749</v>
      </c>
      <c r="K400" s="9" t="s">
        <v>40</v>
      </c>
      <c r="L400" s="9" t="s">
        <v>39</v>
      </c>
      <c r="M400" s="9" t="s">
        <v>40</v>
      </c>
      <c r="N400" s="9" t="s">
        <v>642</v>
      </c>
      <c r="P400" s="9" t="s">
        <v>146</v>
      </c>
      <c r="Q400" s="9" t="s">
        <v>42</v>
      </c>
      <c r="R400" s="9">
        <v>6300.0</v>
      </c>
      <c r="S400" s="9">
        <v>7500.0</v>
      </c>
      <c r="T400" s="9">
        <v>0.0</v>
      </c>
      <c r="U400" s="9">
        <v>12.0</v>
      </c>
      <c r="V400" s="9" t="s">
        <v>1750</v>
      </c>
      <c r="W400" s="9" t="s">
        <v>712</v>
      </c>
      <c r="X400" s="9" t="s">
        <v>131</v>
      </c>
      <c r="Y400" s="9" t="s">
        <v>159</v>
      </c>
      <c r="Z400" s="9" t="s">
        <v>71</v>
      </c>
      <c r="AA400" s="9" t="s">
        <v>61</v>
      </c>
      <c r="AC400" s="9">
        <v>6.0</v>
      </c>
      <c r="AD400" s="9">
        <v>2.0</v>
      </c>
      <c r="AE400" s="9">
        <v>2.0</v>
      </c>
      <c r="AF400" s="9">
        <v>3350.0</v>
      </c>
      <c r="AG400" s="9" t="s">
        <v>42</v>
      </c>
    </row>
    <row r="401">
      <c r="A401" s="7">
        <v>44405.69218894676</v>
      </c>
      <c r="B401" s="9" t="s">
        <v>49</v>
      </c>
      <c r="C401" s="9">
        <v>29.0</v>
      </c>
      <c r="D401" s="9" t="s">
        <v>35</v>
      </c>
      <c r="E401" s="9" t="s">
        <v>36</v>
      </c>
      <c r="F401" s="9" t="s">
        <v>363</v>
      </c>
      <c r="G401" s="9" t="s">
        <v>1061</v>
      </c>
      <c r="H401" s="9" t="s">
        <v>247</v>
      </c>
      <c r="I401" s="9" t="s">
        <v>3094</v>
      </c>
      <c r="J401" s="9" t="s">
        <v>2602</v>
      </c>
      <c r="K401" s="9" t="s">
        <v>39</v>
      </c>
      <c r="L401" s="9" t="s">
        <v>39</v>
      </c>
      <c r="M401" s="9" t="s">
        <v>40</v>
      </c>
      <c r="P401" s="9" t="s">
        <v>584</v>
      </c>
      <c r="Q401" s="9" t="s">
        <v>42</v>
      </c>
      <c r="R401" s="9">
        <v>5000.0</v>
      </c>
      <c r="U401" s="9">
        <v>12.0</v>
      </c>
      <c r="V401" s="9" t="s">
        <v>1062</v>
      </c>
      <c r="W401" s="9" t="s">
        <v>1063</v>
      </c>
      <c r="X401" s="9" t="s">
        <v>79</v>
      </c>
      <c r="Y401" s="9" t="s">
        <v>80</v>
      </c>
      <c r="Z401" s="9" t="s">
        <v>81</v>
      </c>
      <c r="AA401" s="9" t="s">
        <v>91</v>
      </c>
      <c r="AC401" s="9">
        <v>8.0</v>
      </c>
      <c r="AD401" s="9">
        <v>6.0</v>
      </c>
      <c r="AE401" s="9">
        <v>2.0</v>
      </c>
      <c r="AF401" s="9">
        <v>2800.0</v>
      </c>
      <c r="AG401" s="9" t="s">
        <v>42</v>
      </c>
    </row>
    <row r="402">
      <c r="A402" s="7">
        <v>44405.7380570949</v>
      </c>
      <c r="B402" s="9" t="s">
        <v>73</v>
      </c>
      <c r="C402" s="9">
        <v>25.0</v>
      </c>
      <c r="D402" s="9" t="s">
        <v>35</v>
      </c>
      <c r="E402" s="9" t="s">
        <v>36</v>
      </c>
      <c r="F402" s="9" t="s">
        <v>50</v>
      </c>
      <c r="G402" s="9" t="s">
        <v>180</v>
      </c>
      <c r="H402" s="9" t="s">
        <v>38</v>
      </c>
      <c r="I402" s="9" t="s">
        <v>3095</v>
      </c>
      <c r="J402" s="9" t="s">
        <v>2566</v>
      </c>
      <c r="K402" s="9" t="s">
        <v>39</v>
      </c>
      <c r="L402" s="9" t="s">
        <v>40</v>
      </c>
      <c r="M402" s="9" t="s">
        <v>40</v>
      </c>
      <c r="P402" s="9" t="s">
        <v>41</v>
      </c>
      <c r="Q402" s="9" t="s">
        <v>42</v>
      </c>
      <c r="R402" s="9">
        <v>2700.0</v>
      </c>
      <c r="S402" s="9">
        <v>2400.0</v>
      </c>
      <c r="U402" s="9">
        <v>9.0</v>
      </c>
      <c r="V402" s="9" t="s">
        <v>157</v>
      </c>
      <c r="W402" s="9" t="s">
        <v>87</v>
      </c>
      <c r="X402" s="9" t="s">
        <v>50</v>
      </c>
      <c r="Y402" s="9" t="s">
        <v>155</v>
      </c>
      <c r="Z402" s="9" t="s">
        <v>47</v>
      </c>
      <c r="AA402" s="9" t="s">
        <v>61</v>
      </c>
      <c r="AC402" s="9">
        <v>7.0</v>
      </c>
      <c r="AD402" s="9">
        <v>0.0</v>
      </c>
      <c r="AE402" s="9">
        <v>2.0</v>
      </c>
      <c r="AF402" s="9">
        <v>1500.0</v>
      </c>
      <c r="AG402" s="9" t="s">
        <v>42</v>
      </c>
    </row>
    <row r="403">
      <c r="A403" s="7">
        <v>44405.759781875</v>
      </c>
      <c r="B403" s="9" t="s">
        <v>49</v>
      </c>
      <c r="C403" s="9">
        <v>27.0</v>
      </c>
      <c r="D403" s="9" t="s">
        <v>35</v>
      </c>
      <c r="E403" s="9" t="s">
        <v>36</v>
      </c>
      <c r="F403" s="9" t="s">
        <v>604</v>
      </c>
      <c r="G403" s="9" t="s">
        <v>604</v>
      </c>
      <c r="H403" s="9" t="s">
        <v>38</v>
      </c>
      <c r="I403" s="9" t="s">
        <v>3089</v>
      </c>
      <c r="J403" s="9" t="s">
        <v>1284</v>
      </c>
      <c r="K403" s="9" t="s">
        <v>40</v>
      </c>
      <c r="L403" s="9" t="s">
        <v>39</v>
      </c>
      <c r="M403" s="9" t="s">
        <v>40</v>
      </c>
      <c r="N403" s="9" t="s">
        <v>1285</v>
      </c>
      <c r="P403" s="9" t="s">
        <v>466</v>
      </c>
      <c r="Q403" s="9" t="s">
        <v>42</v>
      </c>
      <c r="R403" s="9">
        <v>10000.0</v>
      </c>
      <c r="S403" s="9">
        <v>0.0</v>
      </c>
      <c r="T403" s="9">
        <v>0.0</v>
      </c>
      <c r="U403" s="9">
        <v>14.0</v>
      </c>
      <c r="V403" s="9" t="s">
        <v>67</v>
      </c>
      <c r="W403" s="9" t="s">
        <v>196</v>
      </c>
      <c r="X403" s="9" t="s">
        <v>1286</v>
      </c>
      <c r="Y403" s="9" t="s">
        <v>297</v>
      </c>
      <c r="Z403" s="9" t="s">
        <v>47</v>
      </c>
      <c r="AA403" s="9" t="s">
        <v>61</v>
      </c>
      <c r="AC403" s="9">
        <v>4.0</v>
      </c>
      <c r="AD403" s="9">
        <v>3.0</v>
      </c>
      <c r="AE403" s="9">
        <v>5.0</v>
      </c>
      <c r="AF403" s="9">
        <v>3000.0</v>
      </c>
      <c r="AG403" s="9" t="s">
        <v>3054</v>
      </c>
    </row>
    <row r="404">
      <c r="A404" s="7">
        <v>44405.77084170139</v>
      </c>
      <c r="B404" s="9" t="s">
        <v>49</v>
      </c>
      <c r="C404" s="9">
        <v>32.0</v>
      </c>
      <c r="D404" s="9" t="s">
        <v>35</v>
      </c>
      <c r="E404" s="9" t="s">
        <v>36</v>
      </c>
      <c r="F404" s="9" t="s">
        <v>50</v>
      </c>
      <c r="G404" s="9" t="s">
        <v>117</v>
      </c>
      <c r="H404" s="9" t="s">
        <v>38</v>
      </c>
      <c r="I404" s="9" t="s">
        <v>2701</v>
      </c>
      <c r="J404" s="9" t="s">
        <v>2443</v>
      </c>
      <c r="K404" s="9" t="s">
        <v>39</v>
      </c>
      <c r="L404" s="9" t="s">
        <v>40</v>
      </c>
      <c r="M404" s="9" t="s">
        <v>40</v>
      </c>
      <c r="P404" s="9" t="s">
        <v>128</v>
      </c>
      <c r="Q404" s="9" t="s">
        <v>42</v>
      </c>
      <c r="R404" s="9">
        <v>7000.0</v>
      </c>
      <c r="S404" s="9">
        <v>0.0</v>
      </c>
      <c r="T404" s="9">
        <v>10000.0</v>
      </c>
      <c r="U404" s="9">
        <v>20.0</v>
      </c>
      <c r="V404" s="9" t="s">
        <v>2175</v>
      </c>
      <c r="W404" s="9" t="s">
        <v>2176</v>
      </c>
      <c r="X404" s="9" t="s">
        <v>131</v>
      </c>
      <c r="Y404" s="9" t="s">
        <v>59</v>
      </c>
      <c r="Z404" s="9" t="s">
        <v>60</v>
      </c>
      <c r="AA404" s="9" t="s">
        <v>133</v>
      </c>
      <c r="AC404" s="9">
        <v>8.0</v>
      </c>
      <c r="AD404" s="9">
        <v>3.0</v>
      </c>
      <c r="AE404" s="9">
        <v>2.0</v>
      </c>
      <c r="AF404" s="9">
        <v>5000.0</v>
      </c>
      <c r="AG404" s="9" t="s">
        <v>42</v>
      </c>
    </row>
    <row r="405">
      <c r="A405" s="7">
        <v>44405.80510966435</v>
      </c>
      <c r="B405" s="9" t="s">
        <v>49</v>
      </c>
      <c r="C405" s="9">
        <v>32.0</v>
      </c>
      <c r="D405" s="9" t="s">
        <v>35</v>
      </c>
      <c r="E405" s="9" t="s">
        <v>36</v>
      </c>
      <c r="F405" s="9" t="s">
        <v>349</v>
      </c>
      <c r="G405" s="9" t="s">
        <v>773</v>
      </c>
      <c r="H405" s="9" t="s">
        <v>38</v>
      </c>
      <c r="I405" s="9" t="s">
        <v>3096</v>
      </c>
      <c r="J405" s="9" t="s">
        <v>2627</v>
      </c>
      <c r="K405" s="9" t="s">
        <v>39</v>
      </c>
      <c r="L405" s="9" t="s">
        <v>40</v>
      </c>
      <c r="M405" s="9" t="s">
        <v>40</v>
      </c>
      <c r="P405" s="9" t="s">
        <v>272</v>
      </c>
      <c r="Q405" s="9" t="s">
        <v>42</v>
      </c>
      <c r="R405" s="9">
        <v>11000.0</v>
      </c>
      <c r="S405" s="9">
        <v>0.0</v>
      </c>
      <c r="T405" s="9">
        <v>0.0</v>
      </c>
      <c r="U405" s="9">
        <v>18.0</v>
      </c>
      <c r="V405" s="9" t="s">
        <v>1815</v>
      </c>
      <c r="W405" s="9" t="s">
        <v>1816</v>
      </c>
      <c r="X405" s="9" t="s">
        <v>131</v>
      </c>
      <c r="Y405" s="9" t="s">
        <v>59</v>
      </c>
      <c r="Z405" s="9" t="s">
        <v>132</v>
      </c>
      <c r="AA405" s="9" t="s">
        <v>91</v>
      </c>
      <c r="AC405" s="9">
        <v>9.0</v>
      </c>
      <c r="AD405" s="9">
        <v>8.0</v>
      </c>
      <c r="AE405" s="9">
        <v>4.0</v>
      </c>
      <c r="AF405" s="9">
        <v>3500.0</v>
      </c>
      <c r="AG405" s="9" t="s">
        <v>42</v>
      </c>
    </row>
    <row r="406">
      <c r="A406" s="7">
        <v>44405.84384780093</v>
      </c>
      <c r="B406" s="9" t="s">
        <v>49</v>
      </c>
      <c r="C406" s="9">
        <v>25.0</v>
      </c>
      <c r="D406" s="9" t="s">
        <v>35</v>
      </c>
      <c r="E406" s="9" t="s">
        <v>36</v>
      </c>
      <c r="F406" s="9" t="s">
        <v>50</v>
      </c>
      <c r="G406" s="9" t="s">
        <v>3097</v>
      </c>
      <c r="H406" s="9" t="s">
        <v>38</v>
      </c>
      <c r="I406" s="9" t="s">
        <v>2384</v>
      </c>
      <c r="J406" s="9" t="s">
        <v>3098</v>
      </c>
      <c r="K406" s="9" t="s">
        <v>40</v>
      </c>
      <c r="L406" s="9" t="s">
        <v>40</v>
      </c>
      <c r="M406" s="9" t="s">
        <v>40</v>
      </c>
      <c r="P406" s="9" t="s">
        <v>2597</v>
      </c>
      <c r="Q406" s="9" t="s">
        <v>42</v>
      </c>
      <c r="R406" s="9">
        <v>6500.0</v>
      </c>
      <c r="S406" s="9">
        <v>11700.0</v>
      </c>
      <c r="T406" s="9">
        <v>3000.0</v>
      </c>
      <c r="U406" s="9">
        <v>18.0</v>
      </c>
      <c r="V406" s="9" t="s">
        <v>2227</v>
      </c>
      <c r="W406" s="9" t="s">
        <v>2228</v>
      </c>
      <c r="X406" s="9" t="s">
        <v>50</v>
      </c>
      <c r="Y406" s="9" t="s">
        <v>2229</v>
      </c>
      <c r="Z406" s="9" t="s">
        <v>81</v>
      </c>
      <c r="AA406" s="9" t="s">
        <v>91</v>
      </c>
      <c r="AC406" s="9">
        <v>7.0</v>
      </c>
      <c r="AD406" s="9">
        <v>1.0</v>
      </c>
      <c r="AE406" s="9">
        <v>1.0</v>
      </c>
      <c r="AF406" s="9">
        <v>6500.0</v>
      </c>
      <c r="AG406" s="9" t="s">
        <v>42</v>
      </c>
    </row>
    <row r="407">
      <c r="A407" s="7">
        <v>44405.8661171412</v>
      </c>
      <c r="B407" s="9" t="s">
        <v>49</v>
      </c>
      <c r="C407" s="9">
        <v>33.0</v>
      </c>
      <c r="D407" s="9" t="s">
        <v>35</v>
      </c>
      <c r="E407" s="9" t="s">
        <v>36</v>
      </c>
      <c r="F407" s="9" t="s">
        <v>69</v>
      </c>
      <c r="G407" s="9" t="s">
        <v>3099</v>
      </c>
      <c r="H407" s="9" t="s">
        <v>93</v>
      </c>
      <c r="I407" s="9" t="s">
        <v>3100</v>
      </c>
      <c r="J407" s="9" t="s">
        <v>3101</v>
      </c>
      <c r="K407" s="9" t="s">
        <v>39</v>
      </c>
      <c r="L407" s="9" t="s">
        <v>40</v>
      </c>
      <c r="M407" s="9" t="s">
        <v>40</v>
      </c>
      <c r="P407" s="9" t="s">
        <v>3102</v>
      </c>
      <c r="Q407" s="9" t="s">
        <v>42</v>
      </c>
      <c r="R407" s="9">
        <v>15000.0</v>
      </c>
      <c r="S407" s="9">
        <v>30000.0</v>
      </c>
      <c r="U407" s="9">
        <v>20.0</v>
      </c>
      <c r="V407" s="9" t="s">
        <v>361</v>
      </c>
      <c r="W407" s="9" t="s">
        <v>3103</v>
      </c>
      <c r="X407" s="9" t="s">
        <v>363</v>
      </c>
      <c r="Y407" s="9" t="s">
        <v>59</v>
      </c>
      <c r="Z407" s="9" t="s">
        <v>60</v>
      </c>
      <c r="AA407" s="9" t="s">
        <v>91</v>
      </c>
      <c r="AC407" s="9">
        <v>7.0</v>
      </c>
      <c r="AD407" s="9">
        <v>10.0</v>
      </c>
      <c r="AE407" s="9">
        <v>4.0</v>
      </c>
      <c r="AF407" s="9">
        <v>1500.0</v>
      </c>
      <c r="AG407" s="9" t="s">
        <v>42</v>
      </c>
    </row>
    <row r="408">
      <c r="A408" s="7">
        <v>44405.896694270836</v>
      </c>
      <c r="B408" s="9" t="s">
        <v>49</v>
      </c>
      <c r="C408" s="9">
        <v>25.0</v>
      </c>
      <c r="D408" s="9" t="s">
        <v>35</v>
      </c>
      <c r="E408" s="9" t="s">
        <v>36</v>
      </c>
      <c r="F408" s="9" t="s">
        <v>124</v>
      </c>
      <c r="G408" s="9" t="s">
        <v>124</v>
      </c>
      <c r="H408" s="9" t="s">
        <v>38</v>
      </c>
      <c r="I408" s="9" t="s">
        <v>2592</v>
      </c>
      <c r="J408" s="9" t="s">
        <v>3104</v>
      </c>
      <c r="K408" s="9" t="s">
        <v>39</v>
      </c>
      <c r="L408" s="9" t="s">
        <v>40</v>
      </c>
      <c r="M408" s="9" t="s">
        <v>40</v>
      </c>
      <c r="P408" s="9" t="s">
        <v>2479</v>
      </c>
      <c r="Q408" s="9" t="s">
        <v>42</v>
      </c>
      <c r="R408" s="9">
        <v>4200.0</v>
      </c>
      <c r="S408" s="9">
        <v>0.0</v>
      </c>
      <c r="T408" s="9">
        <v>0.0</v>
      </c>
      <c r="U408" s="9">
        <v>14.0</v>
      </c>
      <c r="V408" s="9" t="s">
        <v>1044</v>
      </c>
      <c r="W408" s="9" t="s">
        <v>1586</v>
      </c>
      <c r="X408" s="9" t="s">
        <v>325</v>
      </c>
      <c r="Y408" s="9" t="s">
        <v>350</v>
      </c>
      <c r="Z408" s="9" t="s">
        <v>132</v>
      </c>
      <c r="AA408" s="9" t="s">
        <v>133</v>
      </c>
      <c r="AB408" s="9" t="s">
        <v>1566</v>
      </c>
      <c r="AC408" s="9">
        <v>5.0</v>
      </c>
      <c r="AD408" s="9">
        <v>1.5</v>
      </c>
      <c r="AE408" s="9">
        <v>1.0</v>
      </c>
      <c r="AF408" s="9">
        <v>3200.0</v>
      </c>
      <c r="AG408" s="9" t="s">
        <v>42</v>
      </c>
    </row>
    <row r="409">
      <c r="A409" s="7">
        <v>44405.954036875</v>
      </c>
      <c r="B409" s="9" t="s">
        <v>49</v>
      </c>
      <c r="C409" s="9">
        <v>36.0</v>
      </c>
      <c r="D409" s="9" t="s">
        <v>35</v>
      </c>
      <c r="E409" s="9" t="s">
        <v>36</v>
      </c>
      <c r="H409" s="9" t="s">
        <v>3090</v>
      </c>
      <c r="K409" s="9" t="s">
        <v>40</v>
      </c>
      <c r="L409" s="9" t="s">
        <v>40</v>
      </c>
      <c r="M409" s="9" t="s">
        <v>40</v>
      </c>
      <c r="P409" s="9" t="s">
        <v>293</v>
      </c>
      <c r="Q409" s="9" t="s">
        <v>42</v>
      </c>
      <c r="R409" s="9">
        <v>14000.0</v>
      </c>
      <c r="U409" s="9">
        <v>25.0</v>
      </c>
      <c r="V409" s="9" t="s">
        <v>2114</v>
      </c>
      <c r="W409" s="9" t="s">
        <v>2115</v>
      </c>
      <c r="X409" s="9" t="s">
        <v>122</v>
      </c>
      <c r="Y409" s="9" t="s">
        <v>59</v>
      </c>
      <c r="Z409" s="9" t="s">
        <v>90</v>
      </c>
      <c r="AA409" s="9" t="s">
        <v>91</v>
      </c>
      <c r="AC409" s="9">
        <v>7.0</v>
      </c>
      <c r="AD409" s="9">
        <v>7.0</v>
      </c>
      <c r="AE409" s="9">
        <v>3.0</v>
      </c>
      <c r="AF409" s="9">
        <v>4500.0</v>
      </c>
      <c r="AG409" s="9" t="s">
        <v>42</v>
      </c>
    </row>
    <row r="410">
      <c r="A410" s="7">
        <v>44405.97809380787</v>
      </c>
      <c r="B410" s="9" t="s">
        <v>73</v>
      </c>
      <c r="C410" s="9">
        <v>24.0</v>
      </c>
      <c r="D410" s="9" t="s">
        <v>35</v>
      </c>
      <c r="E410" s="9" t="s">
        <v>36</v>
      </c>
      <c r="F410" s="9" t="s">
        <v>50</v>
      </c>
      <c r="G410" s="9" t="s">
        <v>298</v>
      </c>
      <c r="H410" s="9" t="s">
        <v>38</v>
      </c>
      <c r="K410" s="9" t="s">
        <v>39</v>
      </c>
      <c r="L410" s="9" t="s">
        <v>40</v>
      </c>
      <c r="M410" s="9" t="s">
        <v>40</v>
      </c>
      <c r="P410" s="9" t="s">
        <v>2420</v>
      </c>
      <c r="Q410" s="9" t="s">
        <v>2934</v>
      </c>
      <c r="R410" s="9">
        <v>2400.0</v>
      </c>
      <c r="S410" s="9">
        <v>2000.0</v>
      </c>
      <c r="T410" s="9">
        <v>0.0</v>
      </c>
      <c r="U410" s="9">
        <v>12.0</v>
      </c>
      <c r="V410" s="9" t="s">
        <v>666</v>
      </c>
      <c r="W410" s="9" t="s">
        <v>3105</v>
      </c>
      <c r="X410" s="9" t="s">
        <v>668</v>
      </c>
      <c r="Y410" s="9" t="s">
        <v>423</v>
      </c>
      <c r="Z410" s="9" t="s">
        <v>132</v>
      </c>
      <c r="AA410" s="9" t="s">
        <v>61</v>
      </c>
      <c r="AC410" s="9">
        <v>8.0</v>
      </c>
      <c r="AD410" s="9">
        <v>1.0</v>
      </c>
      <c r="AE410" s="9">
        <v>0.0</v>
      </c>
      <c r="AF410" s="9">
        <v>2200.0</v>
      </c>
      <c r="AG410" s="9" t="s">
        <v>3054</v>
      </c>
    </row>
    <row r="411">
      <c r="A411" s="7">
        <v>44406.002823206014</v>
      </c>
      <c r="B411" s="9" t="s">
        <v>49</v>
      </c>
      <c r="C411" s="9">
        <v>27.0</v>
      </c>
      <c r="D411" s="9" t="s">
        <v>35</v>
      </c>
      <c r="E411" s="9" t="s">
        <v>36</v>
      </c>
      <c r="F411" s="9" t="s">
        <v>349</v>
      </c>
      <c r="G411" s="9" t="s">
        <v>349</v>
      </c>
      <c r="H411" s="9" t="s">
        <v>38</v>
      </c>
      <c r="I411" s="9" t="s">
        <v>3106</v>
      </c>
      <c r="J411" s="9" t="s">
        <v>2444</v>
      </c>
      <c r="K411" s="9" t="s">
        <v>39</v>
      </c>
      <c r="L411" s="9" t="s">
        <v>40</v>
      </c>
      <c r="M411" s="9" t="s">
        <v>40</v>
      </c>
      <c r="P411" s="9" t="s">
        <v>3107</v>
      </c>
      <c r="Q411" s="9" t="s">
        <v>42</v>
      </c>
      <c r="R411" s="9">
        <v>6000.0</v>
      </c>
      <c r="S411" s="9">
        <v>0.0</v>
      </c>
      <c r="T411" s="9">
        <v>0.0</v>
      </c>
      <c r="U411" s="9">
        <v>14.0</v>
      </c>
      <c r="V411" s="9" t="s">
        <v>223</v>
      </c>
      <c r="W411" s="9" t="s">
        <v>1912</v>
      </c>
      <c r="X411" s="9" t="s">
        <v>131</v>
      </c>
      <c r="Y411" s="9" t="s">
        <v>268</v>
      </c>
      <c r="Z411" s="9" t="s">
        <v>71</v>
      </c>
      <c r="AA411" s="9" t="s">
        <v>61</v>
      </c>
      <c r="AC411" s="9">
        <v>2.0</v>
      </c>
      <c r="AD411" s="9">
        <v>5.0</v>
      </c>
      <c r="AE411" s="9">
        <v>2.0</v>
      </c>
      <c r="AF411" s="9">
        <v>3600.0</v>
      </c>
      <c r="AG411" s="9" t="s">
        <v>42</v>
      </c>
    </row>
    <row r="412">
      <c r="A412" s="7">
        <v>44406.08215457176</v>
      </c>
      <c r="B412" s="9" t="s">
        <v>49</v>
      </c>
      <c r="C412" s="9">
        <v>27.0</v>
      </c>
      <c r="D412" s="9" t="s">
        <v>35</v>
      </c>
      <c r="E412" s="9" t="s">
        <v>36</v>
      </c>
      <c r="F412" s="9" t="s">
        <v>50</v>
      </c>
      <c r="G412" s="9" t="s">
        <v>812</v>
      </c>
      <c r="H412" s="9" t="s">
        <v>38</v>
      </c>
      <c r="I412" s="9" t="s">
        <v>3108</v>
      </c>
      <c r="J412" s="9" t="s">
        <v>3109</v>
      </c>
      <c r="K412" s="9" t="s">
        <v>39</v>
      </c>
      <c r="L412" s="9" t="s">
        <v>40</v>
      </c>
      <c r="M412" s="9" t="s">
        <v>40</v>
      </c>
      <c r="P412" s="9" t="s">
        <v>2912</v>
      </c>
      <c r="Q412" s="9" t="s">
        <v>42</v>
      </c>
      <c r="R412" s="9">
        <v>2900.0</v>
      </c>
      <c r="S412" s="9">
        <v>0.0</v>
      </c>
      <c r="T412" s="9">
        <v>0.0</v>
      </c>
      <c r="U412" s="9">
        <v>18.0</v>
      </c>
      <c r="V412" s="9" t="s">
        <v>456</v>
      </c>
      <c r="W412" s="9" t="s">
        <v>813</v>
      </c>
      <c r="X412" s="9" t="s">
        <v>812</v>
      </c>
      <c r="Y412" s="9" t="s">
        <v>59</v>
      </c>
      <c r="Z412" s="9" t="s">
        <v>47</v>
      </c>
      <c r="AA412" s="9" t="s">
        <v>61</v>
      </c>
      <c r="AC412" s="9">
        <v>6.0</v>
      </c>
      <c r="AD412" s="9">
        <v>2.0</v>
      </c>
      <c r="AE412" s="9">
        <v>1.0</v>
      </c>
      <c r="AF412" s="9">
        <v>2500.0</v>
      </c>
      <c r="AG412" s="9" t="s">
        <v>42</v>
      </c>
    </row>
    <row r="413">
      <c r="A413" s="7">
        <v>44406.43818327546</v>
      </c>
      <c r="B413" s="9" t="s">
        <v>49</v>
      </c>
      <c r="C413" s="9">
        <v>29.0</v>
      </c>
      <c r="D413" s="9" t="s">
        <v>35</v>
      </c>
      <c r="E413" s="9" t="s">
        <v>36</v>
      </c>
      <c r="F413" s="9" t="s">
        <v>50</v>
      </c>
      <c r="H413" s="9" t="s">
        <v>38</v>
      </c>
      <c r="I413" s="9" t="s">
        <v>3110</v>
      </c>
      <c r="J413" s="9" t="s">
        <v>2379</v>
      </c>
      <c r="K413" s="9" t="s">
        <v>39</v>
      </c>
      <c r="L413" s="9" t="s">
        <v>40</v>
      </c>
      <c r="M413" s="9" t="s">
        <v>39</v>
      </c>
      <c r="O413" s="9" t="s">
        <v>592</v>
      </c>
      <c r="P413" s="9" t="s">
        <v>3111</v>
      </c>
      <c r="Q413" s="9" t="s">
        <v>42</v>
      </c>
      <c r="R413" s="9">
        <v>8500.0</v>
      </c>
      <c r="U413" s="9">
        <v>20.0</v>
      </c>
      <c r="V413" s="9" t="s">
        <v>593</v>
      </c>
      <c r="W413" s="9" t="s">
        <v>594</v>
      </c>
      <c r="X413" s="9" t="s">
        <v>122</v>
      </c>
      <c r="Y413" s="9" t="s">
        <v>197</v>
      </c>
      <c r="Z413" s="9" t="s">
        <v>71</v>
      </c>
      <c r="AA413" s="9" t="s">
        <v>61</v>
      </c>
      <c r="AC413" s="9">
        <v>7.0</v>
      </c>
      <c r="AD413" s="9">
        <v>7.0</v>
      </c>
      <c r="AE413" s="9">
        <v>2.0</v>
      </c>
      <c r="AF413" s="9">
        <v>2000.0</v>
      </c>
      <c r="AG413" s="9" t="s">
        <v>42</v>
      </c>
    </row>
    <row r="414">
      <c r="A414" s="7">
        <v>44406.50236922454</v>
      </c>
      <c r="B414" s="9" t="s">
        <v>49</v>
      </c>
      <c r="C414" s="9">
        <v>34.0</v>
      </c>
      <c r="D414" s="9" t="s">
        <v>35</v>
      </c>
      <c r="E414" s="9" t="s">
        <v>445</v>
      </c>
      <c r="F414" s="9" t="s">
        <v>446</v>
      </c>
      <c r="G414" s="9" t="s">
        <v>446</v>
      </c>
      <c r="H414" s="9" t="s">
        <v>38</v>
      </c>
      <c r="K414" s="9" t="s">
        <v>39</v>
      </c>
      <c r="L414" s="9" t="s">
        <v>40</v>
      </c>
      <c r="M414" s="9" t="s">
        <v>39</v>
      </c>
      <c r="O414" s="9" t="s">
        <v>447</v>
      </c>
      <c r="P414" s="9" t="s">
        <v>448</v>
      </c>
      <c r="Q414" s="9" t="s">
        <v>449</v>
      </c>
      <c r="R414" s="9">
        <v>83000.0</v>
      </c>
      <c r="S414" s="9">
        <v>83000.0</v>
      </c>
      <c r="T414" s="9">
        <v>0.0</v>
      </c>
      <c r="U414" s="9">
        <v>10.0</v>
      </c>
      <c r="V414" s="9" t="s">
        <v>450</v>
      </c>
      <c r="W414" s="9" t="s">
        <v>451</v>
      </c>
      <c r="X414" s="9" t="s">
        <v>452</v>
      </c>
      <c r="Y414" s="9" t="s">
        <v>453</v>
      </c>
      <c r="Z414" s="9" t="s">
        <v>71</v>
      </c>
      <c r="AA414" s="9" t="s">
        <v>61</v>
      </c>
      <c r="AC414" s="9">
        <v>7.0</v>
      </c>
      <c r="AD414" s="9">
        <v>9.0</v>
      </c>
      <c r="AE414" s="9">
        <v>2.0</v>
      </c>
      <c r="AF414" s="9">
        <v>1800.0</v>
      </c>
      <c r="AG414" s="9" t="s">
        <v>42</v>
      </c>
    </row>
    <row r="415">
      <c r="A415" s="7">
        <v>44406.510222129626</v>
      </c>
      <c r="B415" s="9" t="s">
        <v>49</v>
      </c>
      <c r="C415" s="9">
        <v>20.0</v>
      </c>
      <c r="D415" s="9" t="s">
        <v>35</v>
      </c>
      <c r="E415" s="9" t="s">
        <v>445</v>
      </c>
      <c r="H415" s="9" t="s">
        <v>38</v>
      </c>
      <c r="I415" s="9" t="s">
        <v>2604</v>
      </c>
      <c r="K415" s="9" t="s">
        <v>39</v>
      </c>
      <c r="L415" s="9" t="s">
        <v>40</v>
      </c>
      <c r="M415" s="9" t="s">
        <v>40</v>
      </c>
      <c r="P415" s="9" t="s">
        <v>3112</v>
      </c>
      <c r="Q415" s="9" t="s">
        <v>449</v>
      </c>
      <c r="R415" s="9">
        <v>32000.0</v>
      </c>
      <c r="S415" s="9">
        <v>0.0</v>
      </c>
      <c r="T415" s="9">
        <v>0.0</v>
      </c>
      <c r="U415" s="9">
        <v>0.0</v>
      </c>
      <c r="V415" s="9" t="s">
        <v>269</v>
      </c>
      <c r="W415" s="23" t="s">
        <v>2345</v>
      </c>
      <c r="X415" s="9" t="s">
        <v>2346</v>
      </c>
      <c r="Y415" s="9" t="s">
        <v>481</v>
      </c>
      <c r="Z415" s="9" t="s">
        <v>71</v>
      </c>
      <c r="AA415" s="9" t="s">
        <v>61</v>
      </c>
      <c r="AC415" s="9">
        <v>4.0</v>
      </c>
      <c r="AD415" s="9">
        <v>1.0</v>
      </c>
      <c r="AE415" s="9">
        <v>1.0</v>
      </c>
      <c r="AF415" s="9">
        <v>24000.0</v>
      </c>
      <c r="AG415" s="9" t="s">
        <v>449</v>
      </c>
    </row>
    <row r="416">
      <c r="A416" s="7">
        <v>44406.576362974534</v>
      </c>
      <c r="B416" s="9" t="s">
        <v>49</v>
      </c>
      <c r="C416" s="9">
        <v>35.0</v>
      </c>
      <c r="D416" s="9" t="s">
        <v>35</v>
      </c>
      <c r="E416" s="9" t="s">
        <v>1533</v>
      </c>
      <c r="H416" s="9" t="s">
        <v>38</v>
      </c>
      <c r="I416" s="9" t="s">
        <v>2368</v>
      </c>
      <c r="K416" s="9" t="s">
        <v>39</v>
      </c>
      <c r="L416" s="9" t="s">
        <v>40</v>
      </c>
      <c r="M416" s="9" t="s">
        <v>40</v>
      </c>
      <c r="P416" s="9" t="s">
        <v>128</v>
      </c>
      <c r="Q416" s="9" t="s">
        <v>538</v>
      </c>
      <c r="R416" s="9">
        <v>6250.0</v>
      </c>
      <c r="S416" s="9">
        <v>0.0</v>
      </c>
      <c r="T416" s="9">
        <v>0.0</v>
      </c>
      <c r="U416" s="9">
        <v>14.0</v>
      </c>
      <c r="V416" s="9" t="s">
        <v>2230</v>
      </c>
      <c r="W416" s="9" t="s">
        <v>2231</v>
      </c>
      <c r="X416" s="9" t="s">
        <v>1535</v>
      </c>
      <c r="Y416" s="9" t="s">
        <v>2232</v>
      </c>
      <c r="Z416" s="9" t="s">
        <v>71</v>
      </c>
      <c r="AA416" s="9" t="s">
        <v>61</v>
      </c>
      <c r="AC416" s="9">
        <v>8.0</v>
      </c>
      <c r="AD416" s="9">
        <v>4.0</v>
      </c>
      <c r="AE416" s="9">
        <v>1.0</v>
      </c>
      <c r="AF416" s="9">
        <v>6666.0</v>
      </c>
      <c r="AG416" s="9" t="s">
        <v>538</v>
      </c>
    </row>
    <row r="417">
      <c r="A417" s="7">
        <v>44406.6020069213</v>
      </c>
      <c r="B417" s="9" t="s">
        <v>49</v>
      </c>
      <c r="C417" s="9">
        <v>29.0</v>
      </c>
      <c r="D417" s="9" t="s">
        <v>35</v>
      </c>
      <c r="E417" s="9" t="s">
        <v>36</v>
      </c>
      <c r="F417" s="9" t="s">
        <v>50</v>
      </c>
      <c r="G417" s="9" t="s">
        <v>3113</v>
      </c>
      <c r="H417" s="9" t="s">
        <v>38</v>
      </c>
      <c r="I417" s="9" t="s">
        <v>2368</v>
      </c>
      <c r="J417" s="9" t="s">
        <v>3114</v>
      </c>
      <c r="K417" s="9" t="s">
        <v>39</v>
      </c>
      <c r="L417" s="9" t="s">
        <v>40</v>
      </c>
      <c r="M417" s="9" t="s">
        <v>40</v>
      </c>
      <c r="P417" s="9" t="s">
        <v>2681</v>
      </c>
      <c r="Q417" s="9" t="s">
        <v>42</v>
      </c>
      <c r="R417" s="9">
        <v>7500.0</v>
      </c>
      <c r="S417" s="9" t="s">
        <v>3115</v>
      </c>
      <c r="T417" s="9">
        <v>0.0</v>
      </c>
      <c r="U417" s="9">
        <v>21.0</v>
      </c>
      <c r="V417" s="9" t="s">
        <v>711</v>
      </c>
      <c r="W417" s="9" t="s">
        <v>712</v>
      </c>
      <c r="X417" s="9" t="s">
        <v>122</v>
      </c>
      <c r="Y417" s="9" t="s">
        <v>59</v>
      </c>
      <c r="Z417" s="9" t="s">
        <v>90</v>
      </c>
      <c r="AA417" s="9" t="s">
        <v>91</v>
      </c>
      <c r="AC417" s="9">
        <v>5.0</v>
      </c>
      <c r="AD417" s="9">
        <v>4.0</v>
      </c>
      <c r="AE417" s="9">
        <v>2.0</v>
      </c>
      <c r="AF417" s="9">
        <v>2300.0</v>
      </c>
      <c r="AG417" s="9" t="s">
        <v>42</v>
      </c>
    </row>
    <row r="418">
      <c r="A418" s="7">
        <v>44406.73106086806</v>
      </c>
      <c r="B418" s="9" t="s">
        <v>49</v>
      </c>
      <c r="C418" s="9">
        <v>31.0</v>
      </c>
      <c r="D418" s="9" t="s">
        <v>35</v>
      </c>
      <c r="E418" s="9" t="s">
        <v>36</v>
      </c>
      <c r="F418" s="9" t="s">
        <v>50</v>
      </c>
      <c r="G418" s="9" t="s">
        <v>874</v>
      </c>
      <c r="H418" s="9" t="s">
        <v>38</v>
      </c>
      <c r="I418" s="9" t="s">
        <v>2368</v>
      </c>
      <c r="J418" s="9" t="s">
        <v>1079</v>
      </c>
      <c r="K418" s="9" t="s">
        <v>39</v>
      </c>
      <c r="L418" s="9" t="s">
        <v>40</v>
      </c>
      <c r="M418" s="9" t="s">
        <v>40</v>
      </c>
      <c r="P418" s="9" t="s">
        <v>3116</v>
      </c>
      <c r="Q418" s="9" t="s">
        <v>2934</v>
      </c>
      <c r="R418" s="9">
        <v>7000.0</v>
      </c>
      <c r="S418" s="9">
        <v>10000.0</v>
      </c>
      <c r="T418" s="9">
        <v>0.0</v>
      </c>
      <c r="U418" s="9">
        <v>14.0</v>
      </c>
      <c r="V418" s="9" t="s">
        <v>1080</v>
      </c>
      <c r="W418" s="9" t="s">
        <v>1081</v>
      </c>
      <c r="X418" s="9" t="s">
        <v>58</v>
      </c>
      <c r="Y418" s="9" t="s">
        <v>80</v>
      </c>
      <c r="Z418" s="9" t="s">
        <v>132</v>
      </c>
      <c r="AA418" s="9" t="s">
        <v>61</v>
      </c>
      <c r="AC418" s="9">
        <v>4.0</v>
      </c>
      <c r="AD418" s="9">
        <v>8.0</v>
      </c>
      <c r="AE418" s="9">
        <v>1.0</v>
      </c>
      <c r="AF418" s="9">
        <v>2800.0</v>
      </c>
      <c r="AG418" s="9" t="s">
        <v>2934</v>
      </c>
    </row>
    <row r="419">
      <c r="A419" s="7">
        <v>44406.85332365741</v>
      </c>
      <c r="B419" s="9" t="s">
        <v>49</v>
      </c>
      <c r="C419" s="9">
        <v>30.0</v>
      </c>
      <c r="D419" s="9" t="s">
        <v>35</v>
      </c>
      <c r="E419" s="9" t="s">
        <v>36</v>
      </c>
      <c r="F419" s="9" t="s">
        <v>50</v>
      </c>
      <c r="G419" s="9" t="s">
        <v>493</v>
      </c>
      <c r="H419" s="9" t="s">
        <v>38</v>
      </c>
      <c r="I419" s="9" t="s">
        <v>2368</v>
      </c>
      <c r="J419" s="9" t="s">
        <v>3117</v>
      </c>
      <c r="K419" s="9" t="s">
        <v>39</v>
      </c>
      <c r="L419" s="9" t="s">
        <v>40</v>
      </c>
      <c r="M419" s="9" t="s">
        <v>40</v>
      </c>
      <c r="P419" s="9" t="s">
        <v>2571</v>
      </c>
      <c r="Q419" s="9" t="s">
        <v>42</v>
      </c>
      <c r="R419" s="9">
        <v>8000.0</v>
      </c>
      <c r="S419" s="9">
        <v>0.0</v>
      </c>
      <c r="T419" s="9">
        <v>0.0</v>
      </c>
      <c r="U419" s="9">
        <v>14.0</v>
      </c>
      <c r="V419" s="9" t="s">
        <v>781</v>
      </c>
      <c r="W419" s="9" t="s">
        <v>782</v>
      </c>
      <c r="X419" s="9" t="s">
        <v>58</v>
      </c>
      <c r="Y419" s="9" t="s">
        <v>228</v>
      </c>
      <c r="Z419" s="9" t="s">
        <v>47</v>
      </c>
      <c r="AA419" s="9" t="s">
        <v>61</v>
      </c>
      <c r="AC419" s="9">
        <v>10.0</v>
      </c>
      <c r="AD419" s="9">
        <v>8.0</v>
      </c>
      <c r="AE419" s="9">
        <v>2.0</v>
      </c>
      <c r="AF419" s="9">
        <v>2500.0</v>
      </c>
      <c r="AG419" s="9" t="s">
        <v>42</v>
      </c>
    </row>
    <row r="420">
      <c r="A420" s="7">
        <v>44406.890182800926</v>
      </c>
      <c r="B420" s="9" t="s">
        <v>49</v>
      </c>
      <c r="C420" s="9">
        <v>30.0</v>
      </c>
      <c r="D420" s="9" t="s">
        <v>35</v>
      </c>
      <c r="E420" s="9" t="s">
        <v>36</v>
      </c>
      <c r="F420" s="9" t="s">
        <v>50</v>
      </c>
      <c r="G420" s="9" t="s">
        <v>106</v>
      </c>
      <c r="H420" s="9" t="s">
        <v>38</v>
      </c>
      <c r="I420" s="9" t="s">
        <v>3118</v>
      </c>
      <c r="J420" s="9" t="s">
        <v>2954</v>
      </c>
      <c r="K420" s="9" t="s">
        <v>40</v>
      </c>
      <c r="L420" s="9" t="s">
        <v>39</v>
      </c>
      <c r="M420" s="9" t="s">
        <v>40</v>
      </c>
      <c r="N420" s="9" t="s">
        <v>1364</v>
      </c>
      <c r="P420" s="9" t="s">
        <v>3119</v>
      </c>
      <c r="Q420" s="9" t="s">
        <v>42</v>
      </c>
      <c r="R420" s="9">
        <v>6500.0</v>
      </c>
      <c r="S420" s="9">
        <v>0.0</v>
      </c>
      <c r="T420" s="9">
        <v>0.0</v>
      </c>
      <c r="U420" s="9">
        <v>20.0</v>
      </c>
      <c r="V420" s="9" t="s">
        <v>1365</v>
      </c>
      <c r="W420" s="9" t="s">
        <v>1366</v>
      </c>
      <c r="X420" s="9" t="s">
        <v>58</v>
      </c>
      <c r="Y420" s="9" t="s">
        <v>268</v>
      </c>
      <c r="Z420" s="9" t="s">
        <v>81</v>
      </c>
      <c r="AA420" s="9" t="s">
        <v>61</v>
      </c>
      <c r="AB420" s="9" t="s">
        <v>1367</v>
      </c>
      <c r="AC420" s="9">
        <v>3.0</v>
      </c>
      <c r="AD420" s="9">
        <v>5.0</v>
      </c>
      <c r="AE420" s="9">
        <v>2.0</v>
      </c>
      <c r="AF420" s="9">
        <v>3000.0</v>
      </c>
      <c r="AG420" s="9" t="s">
        <v>42</v>
      </c>
    </row>
    <row r="421">
      <c r="A421" s="7">
        <v>44407.00568336806</v>
      </c>
      <c r="B421" s="9" t="s">
        <v>49</v>
      </c>
      <c r="C421" s="9">
        <v>25.0</v>
      </c>
      <c r="D421" s="9" t="s">
        <v>35</v>
      </c>
      <c r="E421" s="9" t="s">
        <v>36</v>
      </c>
      <c r="F421" s="9" t="s">
        <v>50</v>
      </c>
      <c r="G421" s="9" t="s">
        <v>106</v>
      </c>
      <c r="H421" s="9" t="s">
        <v>247</v>
      </c>
      <c r="I421" s="9" t="s">
        <v>3120</v>
      </c>
      <c r="J421" s="9" t="s">
        <v>2197</v>
      </c>
      <c r="K421" s="9" t="s">
        <v>40</v>
      </c>
      <c r="L421" s="9" t="s">
        <v>40</v>
      </c>
      <c r="M421" s="9" t="s">
        <v>40</v>
      </c>
      <c r="P421" s="9" t="s">
        <v>3121</v>
      </c>
      <c r="Q421" s="9" t="s">
        <v>42</v>
      </c>
      <c r="R421" s="9">
        <v>5500.0</v>
      </c>
      <c r="S421" s="9" t="s">
        <v>3122</v>
      </c>
      <c r="T421" s="9" t="s">
        <v>890</v>
      </c>
      <c r="U421" s="9">
        <v>16.0</v>
      </c>
      <c r="V421" s="9" t="s">
        <v>2198</v>
      </c>
      <c r="W421" s="9" t="s">
        <v>2199</v>
      </c>
      <c r="X421" s="9" t="s">
        <v>99</v>
      </c>
      <c r="Y421" s="9" t="s">
        <v>59</v>
      </c>
      <c r="Z421" s="9" t="s">
        <v>60</v>
      </c>
      <c r="AA421" s="9" t="s">
        <v>91</v>
      </c>
      <c r="AC421" s="9">
        <v>7.0</v>
      </c>
      <c r="AD421" s="9" t="s">
        <v>2200</v>
      </c>
      <c r="AE421" s="9" t="s">
        <v>2201</v>
      </c>
      <c r="AF421" s="9">
        <v>5350.0</v>
      </c>
      <c r="AG421" s="9" t="s">
        <v>42</v>
      </c>
    </row>
    <row r="422">
      <c r="A422" s="7">
        <v>44407.50271184028</v>
      </c>
      <c r="B422" s="9" t="s">
        <v>49</v>
      </c>
      <c r="C422" s="9">
        <v>26.0</v>
      </c>
      <c r="D422" s="9" t="s">
        <v>35</v>
      </c>
      <c r="E422" s="9" t="s">
        <v>36</v>
      </c>
      <c r="F422" s="9" t="s">
        <v>50</v>
      </c>
      <c r="G422" s="9" t="s">
        <v>3123</v>
      </c>
      <c r="H422" s="9" t="s">
        <v>38</v>
      </c>
      <c r="I422" s="9" t="s">
        <v>3124</v>
      </c>
      <c r="J422" s="9" t="s">
        <v>3125</v>
      </c>
      <c r="K422" s="9" t="s">
        <v>39</v>
      </c>
      <c r="L422" s="9" t="s">
        <v>40</v>
      </c>
      <c r="M422" s="9" t="s">
        <v>40</v>
      </c>
      <c r="N422" s="9" t="s">
        <v>3126</v>
      </c>
      <c r="P422" s="9" t="s">
        <v>1028</v>
      </c>
      <c r="Q422" s="9" t="s">
        <v>2934</v>
      </c>
      <c r="R422" s="9">
        <v>7500.0</v>
      </c>
      <c r="S422" s="9">
        <v>0.0</v>
      </c>
      <c r="T422" s="9">
        <v>0.0</v>
      </c>
      <c r="U422" s="9">
        <v>21.0</v>
      </c>
      <c r="V422" s="9" t="s">
        <v>1826</v>
      </c>
      <c r="W422" s="9" t="s">
        <v>1827</v>
      </c>
      <c r="X422" s="9" t="s">
        <v>1828</v>
      </c>
      <c r="Y422" s="9" t="s">
        <v>268</v>
      </c>
      <c r="Z422" s="9" t="s">
        <v>90</v>
      </c>
      <c r="AA422" s="9" t="s">
        <v>61</v>
      </c>
      <c r="AC422" s="9">
        <v>10.0</v>
      </c>
      <c r="AD422" s="9">
        <v>3.0</v>
      </c>
      <c r="AE422" s="9">
        <v>7.0</v>
      </c>
      <c r="AF422" s="9">
        <v>3500.0</v>
      </c>
      <c r="AG422" s="9" t="s">
        <v>2934</v>
      </c>
    </row>
    <row r="423">
      <c r="A423" s="7">
        <v>44407.5207030787</v>
      </c>
      <c r="B423" s="9" t="s">
        <v>49</v>
      </c>
      <c r="C423" s="9">
        <v>24.0</v>
      </c>
      <c r="D423" s="9" t="s">
        <v>35</v>
      </c>
      <c r="E423" s="9" t="s">
        <v>36</v>
      </c>
      <c r="F423" s="9" t="s">
        <v>50</v>
      </c>
      <c r="G423" s="9" t="s">
        <v>3127</v>
      </c>
      <c r="H423" s="9" t="s">
        <v>38</v>
      </c>
      <c r="I423" s="9" t="s">
        <v>2898</v>
      </c>
      <c r="J423" s="9" t="s">
        <v>2583</v>
      </c>
      <c r="K423" s="9" t="s">
        <v>39</v>
      </c>
      <c r="L423" s="9" t="s">
        <v>40</v>
      </c>
      <c r="M423" s="9" t="s">
        <v>39</v>
      </c>
      <c r="O423" s="9" t="s">
        <v>1616</v>
      </c>
      <c r="P423" s="9" t="s">
        <v>2152</v>
      </c>
      <c r="Q423" s="9" t="s">
        <v>42</v>
      </c>
      <c r="R423" s="9">
        <v>5000.0</v>
      </c>
      <c r="S423" s="9">
        <v>0.0</v>
      </c>
      <c r="T423" s="9">
        <v>0.0</v>
      </c>
      <c r="U423" s="9">
        <v>0.0</v>
      </c>
      <c r="V423" s="9" t="s">
        <v>2153</v>
      </c>
      <c r="W423" s="9" t="s">
        <v>2154</v>
      </c>
      <c r="X423" s="9" t="s">
        <v>124</v>
      </c>
      <c r="Y423" s="9" t="s">
        <v>1245</v>
      </c>
      <c r="Z423" s="9" t="s">
        <v>90</v>
      </c>
      <c r="AA423" s="9" t="s">
        <v>61</v>
      </c>
      <c r="AC423" s="9">
        <v>10.0</v>
      </c>
      <c r="AD423" s="9">
        <v>1.0</v>
      </c>
      <c r="AE423" s="9">
        <v>2.0</v>
      </c>
      <c r="AF423" s="9">
        <v>5000.0</v>
      </c>
      <c r="AG423" s="9" t="s">
        <v>42</v>
      </c>
    </row>
    <row r="424">
      <c r="A424" s="7">
        <v>44407.80629462963</v>
      </c>
      <c r="B424" s="9" t="s">
        <v>49</v>
      </c>
      <c r="C424" s="9">
        <v>24.0</v>
      </c>
      <c r="D424" s="9" t="s">
        <v>35</v>
      </c>
      <c r="E424" s="9" t="s">
        <v>36</v>
      </c>
      <c r="F424" s="9" t="s">
        <v>124</v>
      </c>
      <c r="G424" s="9" t="s">
        <v>124</v>
      </c>
      <c r="H424" s="9" t="s">
        <v>38</v>
      </c>
      <c r="I424" s="9" t="s">
        <v>3128</v>
      </c>
      <c r="J424" s="9" t="s">
        <v>3129</v>
      </c>
      <c r="K424" s="9" t="s">
        <v>39</v>
      </c>
      <c r="L424" s="9" t="s">
        <v>40</v>
      </c>
      <c r="M424" s="9" t="s">
        <v>40</v>
      </c>
      <c r="P424" s="9" t="s">
        <v>2438</v>
      </c>
      <c r="Q424" s="9" t="s">
        <v>42</v>
      </c>
      <c r="R424" s="9">
        <v>3030.0</v>
      </c>
      <c r="S424" s="9">
        <v>0.0</v>
      </c>
      <c r="T424" s="9">
        <v>0.0</v>
      </c>
      <c r="U424" s="9">
        <v>16.0</v>
      </c>
      <c r="V424" s="9" t="s">
        <v>1225</v>
      </c>
      <c r="W424" s="9" t="s">
        <v>1226</v>
      </c>
      <c r="X424" s="9" t="s">
        <v>58</v>
      </c>
      <c r="Y424" s="9" t="s">
        <v>185</v>
      </c>
      <c r="Z424" s="9" t="s">
        <v>132</v>
      </c>
      <c r="AA424" s="9" t="s">
        <v>61</v>
      </c>
      <c r="AB424" s="9" t="s">
        <v>1227</v>
      </c>
      <c r="AC424" s="9">
        <v>3.0</v>
      </c>
      <c r="AD424" s="9">
        <v>2.0</v>
      </c>
      <c r="AE424" s="9">
        <v>0.0</v>
      </c>
      <c r="AF424" s="9">
        <v>2920.0</v>
      </c>
      <c r="AG424" s="9" t="s">
        <v>42</v>
      </c>
    </row>
    <row r="425">
      <c r="A425" s="7">
        <v>44407.83484081019</v>
      </c>
      <c r="B425" s="9" t="s">
        <v>49</v>
      </c>
      <c r="C425" s="9">
        <v>35.0</v>
      </c>
      <c r="D425" s="9" t="s">
        <v>35</v>
      </c>
      <c r="E425" s="9" t="s">
        <v>36</v>
      </c>
      <c r="F425" s="9" t="s">
        <v>50</v>
      </c>
      <c r="G425" s="9" t="s">
        <v>341</v>
      </c>
      <c r="H425" s="9" t="s">
        <v>38</v>
      </c>
      <c r="I425" s="9" t="s">
        <v>2565</v>
      </c>
      <c r="J425" s="9" t="s">
        <v>343</v>
      </c>
      <c r="K425" s="9" t="s">
        <v>39</v>
      </c>
      <c r="L425" s="9" t="s">
        <v>40</v>
      </c>
      <c r="M425" s="9" t="s">
        <v>40</v>
      </c>
      <c r="P425" s="9" t="s">
        <v>344</v>
      </c>
      <c r="Q425" s="9" t="s">
        <v>42</v>
      </c>
      <c r="R425" s="9">
        <v>8000.0</v>
      </c>
      <c r="S425" s="9">
        <v>1000.0</v>
      </c>
      <c r="T425" s="9">
        <v>0.0</v>
      </c>
      <c r="U425" s="9">
        <v>12.0</v>
      </c>
      <c r="V425" s="9" t="s">
        <v>345</v>
      </c>
      <c r="W425" s="9" t="s">
        <v>346</v>
      </c>
      <c r="X425" s="9" t="s">
        <v>124</v>
      </c>
      <c r="Y425" s="9" t="s">
        <v>347</v>
      </c>
      <c r="Z425" s="9" t="s">
        <v>71</v>
      </c>
      <c r="AA425" s="9" t="s">
        <v>61</v>
      </c>
      <c r="AC425" s="9">
        <v>6.0</v>
      </c>
      <c r="AD425" s="9">
        <v>9.0</v>
      </c>
      <c r="AE425" s="9">
        <v>6.0</v>
      </c>
      <c r="AF425" s="9">
        <v>1500.0</v>
      </c>
      <c r="AG425" s="9" t="s">
        <v>42</v>
      </c>
    </row>
    <row r="426">
      <c r="A426" s="7">
        <v>44407.85473027777</v>
      </c>
      <c r="B426" s="9" t="s">
        <v>49</v>
      </c>
      <c r="C426" s="9">
        <v>33.0</v>
      </c>
      <c r="D426" s="9" t="s">
        <v>35</v>
      </c>
      <c r="E426" s="9" t="s">
        <v>36</v>
      </c>
      <c r="F426" s="9" t="s">
        <v>604</v>
      </c>
      <c r="G426" s="9" t="s">
        <v>604</v>
      </c>
      <c r="H426" s="9" t="s">
        <v>38</v>
      </c>
      <c r="I426" s="9" t="s">
        <v>3130</v>
      </c>
      <c r="J426" s="9" t="s">
        <v>3131</v>
      </c>
      <c r="K426" s="9" t="s">
        <v>39</v>
      </c>
      <c r="L426" s="9" t="s">
        <v>40</v>
      </c>
      <c r="M426" s="9" t="s">
        <v>40</v>
      </c>
      <c r="P426" s="9" t="s">
        <v>3132</v>
      </c>
      <c r="Q426" s="9" t="s">
        <v>3054</v>
      </c>
      <c r="R426" s="9">
        <v>11000.0</v>
      </c>
      <c r="S426" s="9">
        <v>0.0</v>
      </c>
      <c r="T426" s="9">
        <v>0.0</v>
      </c>
      <c r="U426" s="9">
        <v>24.0</v>
      </c>
      <c r="V426" s="9" t="s">
        <v>603</v>
      </c>
      <c r="W426" s="9" t="s">
        <v>384</v>
      </c>
      <c r="X426" s="9" t="s">
        <v>604</v>
      </c>
      <c r="Y426" s="9" t="s">
        <v>605</v>
      </c>
      <c r="Z426" s="9" t="s">
        <v>81</v>
      </c>
      <c r="AA426" s="9" t="s">
        <v>91</v>
      </c>
      <c r="AC426" s="9">
        <v>8.0</v>
      </c>
      <c r="AD426" s="9">
        <v>12.0</v>
      </c>
      <c r="AE426" s="9">
        <v>5.0</v>
      </c>
      <c r="AF426" s="9">
        <v>2000.0</v>
      </c>
      <c r="AG426" s="9" t="s">
        <v>3054</v>
      </c>
    </row>
    <row r="427">
      <c r="A427" s="7">
        <v>44407.9271299074</v>
      </c>
      <c r="B427" s="9" t="s">
        <v>49</v>
      </c>
      <c r="C427" s="9">
        <v>24.0</v>
      </c>
      <c r="D427" s="9" t="s">
        <v>35</v>
      </c>
      <c r="E427" s="9" t="s">
        <v>36</v>
      </c>
      <c r="F427" s="9" t="s">
        <v>3133</v>
      </c>
      <c r="H427" s="9" t="s">
        <v>38</v>
      </c>
      <c r="I427" s="9" t="s">
        <v>3134</v>
      </c>
      <c r="J427" s="9" t="s">
        <v>3135</v>
      </c>
      <c r="K427" s="9" t="s">
        <v>39</v>
      </c>
      <c r="L427" s="9" t="s">
        <v>40</v>
      </c>
      <c r="M427" s="9" t="s">
        <v>40</v>
      </c>
      <c r="P427" s="9" t="s">
        <v>128</v>
      </c>
      <c r="Q427" s="9" t="s">
        <v>42</v>
      </c>
      <c r="R427" s="9">
        <v>5500.0</v>
      </c>
      <c r="S427" s="9">
        <v>5500.0</v>
      </c>
      <c r="T427" s="9">
        <v>0.0</v>
      </c>
      <c r="U427" s="9">
        <v>14.0</v>
      </c>
      <c r="V427" s="9" t="s">
        <v>367</v>
      </c>
      <c r="W427" s="9" t="s">
        <v>1593</v>
      </c>
      <c r="X427" s="9" t="s">
        <v>131</v>
      </c>
      <c r="Y427" s="9" t="s">
        <v>70</v>
      </c>
      <c r="Z427" s="9" t="s">
        <v>71</v>
      </c>
      <c r="AA427" s="9" t="s">
        <v>61</v>
      </c>
      <c r="AC427" s="9">
        <v>7.0</v>
      </c>
      <c r="AD427" s="9">
        <v>2.5</v>
      </c>
      <c r="AE427" s="9">
        <v>1.0</v>
      </c>
      <c r="AF427" s="9">
        <v>3200.0</v>
      </c>
      <c r="AG427" s="9" t="s">
        <v>42</v>
      </c>
    </row>
    <row r="428">
      <c r="A428" s="7">
        <v>44408.00618434028</v>
      </c>
      <c r="B428" s="9" t="s">
        <v>49</v>
      </c>
      <c r="C428" s="9">
        <v>27.0</v>
      </c>
      <c r="D428" s="9" t="s">
        <v>35</v>
      </c>
      <c r="E428" s="9" t="s">
        <v>36</v>
      </c>
      <c r="F428" s="9" t="s">
        <v>50</v>
      </c>
      <c r="G428" s="9" t="s">
        <v>669</v>
      </c>
      <c r="H428" s="9" t="s">
        <v>93</v>
      </c>
      <c r="I428" s="9" t="s">
        <v>3136</v>
      </c>
      <c r="J428" s="9" t="s">
        <v>3137</v>
      </c>
      <c r="K428" s="9" t="s">
        <v>39</v>
      </c>
      <c r="L428" s="9" t="s">
        <v>40</v>
      </c>
      <c r="M428" s="9" t="s">
        <v>40</v>
      </c>
      <c r="P428" s="9" t="s">
        <v>3138</v>
      </c>
      <c r="Q428" s="9" t="s">
        <v>42</v>
      </c>
      <c r="R428" s="9">
        <v>2200.0</v>
      </c>
      <c r="S428" s="9">
        <v>0.0</v>
      </c>
      <c r="T428" s="9">
        <v>0.0</v>
      </c>
      <c r="U428" s="9">
        <v>14.0</v>
      </c>
      <c r="V428" s="9" t="s">
        <v>671</v>
      </c>
      <c r="W428" s="9" t="s">
        <v>672</v>
      </c>
      <c r="X428" s="9" t="s">
        <v>58</v>
      </c>
      <c r="Y428" s="9" t="s">
        <v>80</v>
      </c>
      <c r="Z428" s="9" t="s">
        <v>60</v>
      </c>
      <c r="AA428" s="9" t="s">
        <v>61</v>
      </c>
      <c r="AB428" s="9" t="s">
        <v>673</v>
      </c>
      <c r="AC428" s="9">
        <v>7.0</v>
      </c>
      <c r="AD428" s="9" t="s">
        <v>674</v>
      </c>
      <c r="AE428" s="9">
        <v>2.0</v>
      </c>
      <c r="AF428" s="9">
        <v>2200.0</v>
      </c>
      <c r="AG428" s="9" t="s">
        <v>42</v>
      </c>
    </row>
    <row r="429">
      <c r="A429" s="7">
        <v>44408.34267582176</v>
      </c>
      <c r="B429" s="9" t="s">
        <v>49</v>
      </c>
      <c r="C429" s="9">
        <v>38.0</v>
      </c>
      <c r="D429" s="9" t="s">
        <v>35</v>
      </c>
      <c r="E429" s="9" t="s">
        <v>36</v>
      </c>
      <c r="G429" s="9" t="s">
        <v>565</v>
      </c>
      <c r="H429" s="9" t="s">
        <v>38</v>
      </c>
      <c r="J429" s="9" t="s">
        <v>2675</v>
      </c>
      <c r="K429" s="9" t="s">
        <v>39</v>
      </c>
      <c r="L429" s="9" t="s">
        <v>40</v>
      </c>
      <c r="M429" s="9" t="s">
        <v>40</v>
      </c>
      <c r="P429" s="9" t="s">
        <v>146</v>
      </c>
      <c r="Q429" s="9" t="s">
        <v>42</v>
      </c>
      <c r="R429" s="9">
        <v>9500.0</v>
      </c>
      <c r="S429" s="9">
        <v>16000.0</v>
      </c>
      <c r="U429" s="9">
        <v>25.0</v>
      </c>
      <c r="V429" s="9" t="s">
        <v>612</v>
      </c>
      <c r="W429" s="9" t="s">
        <v>3139</v>
      </c>
      <c r="X429" s="9" t="s">
        <v>474</v>
      </c>
      <c r="Y429" s="9" t="s">
        <v>481</v>
      </c>
      <c r="Z429" s="9" t="s">
        <v>132</v>
      </c>
      <c r="AA429" s="9" t="s">
        <v>61</v>
      </c>
      <c r="AC429" s="9">
        <v>8.0</v>
      </c>
      <c r="AD429" s="9">
        <v>15.0</v>
      </c>
      <c r="AE429" s="9">
        <v>4.0</v>
      </c>
      <c r="AF429" s="9">
        <v>2000.0</v>
      </c>
      <c r="AG429" s="9" t="s">
        <v>42</v>
      </c>
    </row>
    <row r="430">
      <c r="A430" s="7">
        <v>44408.49155659722</v>
      </c>
      <c r="B430" s="9" t="s">
        <v>49</v>
      </c>
      <c r="C430" s="9">
        <v>30.0</v>
      </c>
      <c r="D430" s="9" t="s">
        <v>35</v>
      </c>
      <c r="E430" s="9" t="s">
        <v>36</v>
      </c>
      <c r="F430" s="9" t="s">
        <v>124</v>
      </c>
      <c r="G430" s="9" t="s">
        <v>124</v>
      </c>
      <c r="H430" s="9" t="s">
        <v>38</v>
      </c>
      <c r="I430" s="9" t="s">
        <v>3140</v>
      </c>
      <c r="J430" s="9" t="s">
        <v>2759</v>
      </c>
      <c r="K430" s="9" t="s">
        <v>40</v>
      </c>
      <c r="L430" s="9" t="s">
        <v>40</v>
      </c>
      <c r="M430" s="9" t="s">
        <v>39</v>
      </c>
      <c r="O430" s="9" t="s">
        <v>1277</v>
      </c>
      <c r="P430" s="9" t="s">
        <v>1278</v>
      </c>
      <c r="Q430" s="9" t="s">
        <v>42</v>
      </c>
      <c r="R430" s="9">
        <v>5200.0</v>
      </c>
      <c r="S430" s="9">
        <v>0.0</v>
      </c>
      <c r="T430" s="9">
        <v>0.0</v>
      </c>
      <c r="U430" s="9">
        <v>14.0</v>
      </c>
      <c r="V430" s="9" t="s">
        <v>1279</v>
      </c>
      <c r="W430" s="9" t="s">
        <v>1280</v>
      </c>
      <c r="X430" s="9" t="s">
        <v>122</v>
      </c>
      <c r="Y430" s="9" t="s">
        <v>116</v>
      </c>
      <c r="Z430" s="9" t="s">
        <v>132</v>
      </c>
      <c r="AA430" s="9" t="s">
        <v>61</v>
      </c>
      <c r="AC430" s="9">
        <v>7.0</v>
      </c>
      <c r="AD430" s="9">
        <v>2.0</v>
      </c>
      <c r="AE430" s="9">
        <v>5.0</v>
      </c>
      <c r="AF430" s="9">
        <v>3000.0</v>
      </c>
      <c r="AG430" s="9" t="s">
        <v>42</v>
      </c>
    </row>
    <row r="431">
      <c r="A431" s="7">
        <v>44408.579461875</v>
      </c>
      <c r="B431" s="9" t="s">
        <v>49</v>
      </c>
      <c r="C431" s="9">
        <v>28.0</v>
      </c>
      <c r="D431" s="9" t="s">
        <v>35</v>
      </c>
      <c r="E431" s="9" t="s">
        <v>36</v>
      </c>
      <c r="F431" s="9" t="s">
        <v>50</v>
      </c>
      <c r="G431" s="9" t="s">
        <v>570</v>
      </c>
      <c r="H431" s="9" t="s">
        <v>38</v>
      </c>
      <c r="I431" s="9" t="s">
        <v>3141</v>
      </c>
      <c r="J431" s="9" t="s">
        <v>2421</v>
      </c>
      <c r="K431" s="9" t="s">
        <v>39</v>
      </c>
      <c r="L431" s="9" t="s">
        <v>40</v>
      </c>
      <c r="M431" s="9" t="s">
        <v>40</v>
      </c>
      <c r="P431" s="9" t="s">
        <v>146</v>
      </c>
      <c r="Q431" s="9" t="s">
        <v>42</v>
      </c>
      <c r="R431" s="9">
        <v>4400.0</v>
      </c>
      <c r="S431" s="9">
        <v>0.0</v>
      </c>
      <c r="T431" s="9">
        <v>0.0</v>
      </c>
      <c r="U431" s="9">
        <v>14.0</v>
      </c>
      <c r="V431" s="9" t="s">
        <v>223</v>
      </c>
      <c r="W431" s="9" t="s">
        <v>712</v>
      </c>
      <c r="X431" s="9" t="s">
        <v>131</v>
      </c>
      <c r="Y431" s="9" t="s">
        <v>350</v>
      </c>
      <c r="Z431" s="9" t="s">
        <v>71</v>
      </c>
      <c r="AA431" s="9" t="s">
        <v>61</v>
      </c>
      <c r="AC431" s="9">
        <v>8.0</v>
      </c>
      <c r="AD431" s="9">
        <v>4.0</v>
      </c>
      <c r="AE431" s="9">
        <v>1.0</v>
      </c>
      <c r="AF431" s="9">
        <v>3500.0</v>
      </c>
      <c r="AG431" s="9" t="s">
        <v>42</v>
      </c>
    </row>
    <row r="432">
      <c r="A432" s="7">
        <v>44408.61985020833</v>
      </c>
      <c r="B432" s="9" t="s">
        <v>49</v>
      </c>
      <c r="C432" s="9">
        <v>22.0</v>
      </c>
      <c r="D432" s="9" t="s">
        <v>542</v>
      </c>
      <c r="E432" s="9" t="s">
        <v>36</v>
      </c>
      <c r="F432" s="9" t="s">
        <v>63</v>
      </c>
      <c r="G432" s="9" t="s">
        <v>3142</v>
      </c>
      <c r="H432" s="9" t="s">
        <v>38</v>
      </c>
      <c r="I432" s="9" t="s">
        <v>2368</v>
      </c>
      <c r="J432" s="9" t="s">
        <v>2675</v>
      </c>
      <c r="K432" s="9" t="s">
        <v>39</v>
      </c>
      <c r="L432" s="9" t="s">
        <v>40</v>
      </c>
      <c r="M432" s="9" t="s">
        <v>40</v>
      </c>
      <c r="N432" s="9" t="s">
        <v>3143</v>
      </c>
      <c r="P432" s="9" t="s">
        <v>146</v>
      </c>
      <c r="Q432" s="9" t="s">
        <v>42</v>
      </c>
      <c r="R432" s="9">
        <v>3000.0</v>
      </c>
      <c r="S432" s="9">
        <v>0.0</v>
      </c>
      <c r="T432" s="9">
        <v>0.0</v>
      </c>
      <c r="U432" s="9">
        <v>0.0</v>
      </c>
      <c r="V432" s="9" t="s">
        <v>223</v>
      </c>
      <c r="W432" s="9" t="s">
        <v>457</v>
      </c>
      <c r="X432" s="9" t="s">
        <v>63</v>
      </c>
      <c r="Y432" s="9" t="s">
        <v>155</v>
      </c>
      <c r="Z432" s="9" t="s">
        <v>47</v>
      </c>
      <c r="AA432" s="9" t="s">
        <v>61</v>
      </c>
      <c r="AC432" s="9">
        <v>6.0</v>
      </c>
      <c r="AD432" s="9">
        <v>1.0</v>
      </c>
      <c r="AE432" s="9">
        <v>1.0</v>
      </c>
      <c r="AF432" s="9">
        <v>2000.0</v>
      </c>
      <c r="AG432" s="9" t="s">
        <v>42</v>
      </c>
    </row>
    <row r="433">
      <c r="A433" s="7">
        <v>44408.626185625</v>
      </c>
      <c r="B433" s="9" t="s">
        <v>49</v>
      </c>
      <c r="C433" s="9">
        <v>27.0</v>
      </c>
      <c r="D433" s="9" t="s">
        <v>35</v>
      </c>
      <c r="E433" s="9" t="s">
        <v>36</v>
      </c>
      <c r="F433" s="9" t="s">
        <v>124</v>
      </c>
      <c r="G433" s="9" t="s">
        <v>206</v>
      </c>
      <c r="H433" s="9" t="s">
        <v>38</v>
      </c>
      <c r="I433" s="9" t="s">
        <v>3144</v>
      </c>
      <c r="J433" s="9" t="s">
        <v>234</v>
      </c>
      <c r="K433" s="9" t="s">
        <v>40</v>
      </c>
      <c r="L433" s="9" t="s">
        <v>40</v>
      </c>
      <c r="M433" s="9" t="s">
        <v>40</v>
      </c>
      <c r="P433" s="9" t="s">
        <v>128</v>
      </c>
      <c r="Q433" s="9" t="s">
        <v>2521</v>
      </c>
      <c r="R433" s="9">
        <v>5000.0</v>
      </c>
      <c r="S433" s="9">
        <v>3900.0</v>
      </c>
      <c r="T433" s="9">
        <v>0.0</v>
      </c>
      <c r="U433" s="9">
        <v>21.0</v>
      </c>
      <c r="V433" s="9" t="s">
        <v>1374</v>
      </c>
      <c r="W433" s="9" t="s">
        <v>224</v>
      </c>
      <c r="X433" s="9" t="s">
        <v>296</v>
      </c>
      <c r="Y433" s="9" t="s">
        <v>59</v>
      </c>
      <c r="Z433" s="9" t="s">
        <v>132</v>
      </c>
      <c r="AA433" s="9" t="s">
        <v>61</v>
      </c>
      <c r="AC433" s="9">
        <v>7.0</v>
      </c>
      <c r="AD433" s="9">
        <v>3.0</v>
      </c>
      <c r="AE433" s="9">
        <v>0.0</v>
      </c>
      <c r="AF433" s="9">
        <v>3000.0</v>
      </c>
      <c r="AG433" s="9" t="s">
        <v>42</v>
      </c>
    </row>
    <row r="434">
      <c r="A434" s="7">
        <v>44408.631309062504</v>
      </c>
      <c r="B434" s="9" t="s">
        <v>49</v>
      </c>
      <c r="C434" s="9">
        <v>24.0</v>
      </c>
      <c r="D434" s="9" t="s">
        <v>2286</v>
      </c>
      <c r="E434" s="9" t="s">
        <v>36</v>
      </c>
      <c r="F434" s="9" t="s">
        <v>301</v>
      </c>
      <c r="G434" s="9" t="s">
        <v>64</v>
      </c>
      <c r="H434" s="9" t="s">
        <v>38</v>
      </c>
      <c r="I434" s="9" t="s">
        <v>2670</v>
      </c>
      <c r="J434" s="9" t="s">
        <v>2675</v>
      </c>
      <c r="K434" s="9" t="s">
        <v>39</v>
      </c>
      <c r="L434" s="9" t="s">
        <v>39</v>
      </c>
      <c r="M434" s="9" t="s">
        <v>39</v>
      </c>
      <c r="N434" s="9" t="s">
        <v>3145</v>
      </c>
      <c r="O434" s="9" t="s">
        <v>2288</v>
      </c>
      <c r="P434" s="9" t="s">
        <v>146</v>
      </c>
      <c r="Q434" s="9" t="s">
        <v>42</v>
      </c>
      <c r="R434" s="9">
        <v>2500.0</v>
      </c>
      <c r="S434" s="9">
        <v>0.0</v>
      </c>
      <c r="T434" s="9">
        <v>0.0</v>
      </c>
      <c r="U434" s="9">
        <v>0.0</v>
      </c>
      <c r="V434" s="9" t="s">
        <v>67</v>
      </c>
      <c r="W434" s="9" t="s">
        <v>2289</v>
      </c>
      <c r="X434" s="9" t="s">
        <v>2290</v>
      </c>
      <c r="Y434" s="9" t="s">
        <v>2291</v>
      </c>
      <c r="Z434" s="9" t="s">
        <v>71</v>
      </c>
      <c r="AA434" s="9" t="s">
        <v>61</v>
      </c>
      <c r="AC434" s="9">
        <v>10.0</v>
      </c>
      <c r="AD434" s="9">
        <v>3.0</v>
      </c>
      <c r="AE434" s="9" t="s">
        <v>3146</v>
      </c>
      <c r="AF434" s="9">
        <v>10000.0</v>
      </c>
      <c r="AG434" s="9" t="s">
        <v>2293</v>
      </c>
    </row>
    <row r="435">
      <c r="A435" s="7">
        <v>44408.63608070602</v>
      </c>
      <c r="B435" s="9" t="s">
        <v>49</v>
      </c>
      <c r="C435" s="9">
        <v>22.0</v>
      </c>
      <c r="D435" s="9" t="s">
        <v>62</v>
      </c>
      <c r="E435" s="9" t="s">
        <v>36</v>
      </c>
      <c r="F435" s="9" t="s">
        <v>63</v>
      </c>
      <c r="G435" s="9" t="s">
        <v>64</v>
      </c>
      <c r="H435" s="9" t="s">
        <v>38</v>
      </c>
      <c r="I435" s="9" t="s">
        <v>65</v>
      </c>
      <c r="J435" s="9" t="s">
        <v>3147</v>
      </c>
      <c r="K435" s="9" t="s">
        <v>39</v>
      </c>
      <c r="L435" s="9" t="s">
        <v>40</v>
      </c>
      <c r="M435" s="9" t="s">
        <v>40</v>
      </c>
      <c r="P435" s="9" t="s">
        <v>3148</v>
      </c>
      <c r="Q435" s="9" t="s">
        <v>42</v>
      </c>
      <c r="R435" s="9">
        <v>3400.0</v>
      </c>
      <c r="U435" s="9">
        <v>15.0</v>
      </c>
      <c r="V435" s="9" t="s">
        <v>67</v>
      </c>
      <c r="W435" s="9" t="s">
        <v>68</v>
      </c>
      <c r="X435" s="9" t="s">
        <v>69</v>
      </c>
      <c r="Y435" s="9" t="s">
        <v>70</v>
      </c>
      <c r="Z435" s="9" t="s">
        <v>71</v>
      </c>
      <c r="AA435" s="9" t="s">
        <v>61</v>
      </c>
      <c r="AC435" s="9">
        <v>5.0</v>
      </c>
      <c r="AD435" s="9">
        <v>1.5</v>
      </c>
      <c r="AE435" s="9" t="s">
        <v>72</v>
      </c>
      <c r="AF435" s="9">
        <v>1.0</v>
      </c>
      <c r="AG435" s="9" t="s">
        <v>72</v>
      </c>
    </row>
    <row r="436">
      <c r="A436" s="7">
        <v>44408.67469443287</v>
      </c>
      <c r="B436" s="9" t="s">
        <v>49</v>
      </c>
      <c r="C436" s="9">
        <v>27.0</v>
      </c>
      <c r="D436" s="9" t="s">
        <v>35</v>
      </c>
      <c r="E436" s="9" t="s">
        <v>36</v>
      </c>
      <c r="F436" s="9" t="s">
        <v>50</v>
      </c>
      <c r="H436" s="9" t="s">
        <v>38</v>
      </c>
      <c r="I436" s="9" t="s">
        <v>574</v>
      </c>
      <c r="J436" s="9" t="s">
        <v>2421</v>
      </c>
      <c r="K436" s="9" t="s">
        <v>39</v>
      </c>
      <c r="L436" s="9" t="s">
        <v>40</v>
      </c>
      <c r="M436" s="9" t="s">
        <v>40</v>
      </c>
      <c r="P436" s="9" t="s">
        <v>3149</v>
      </c>
      <c r="Q436" s="9" t="s">
        <v>2934</v>
      </c>
      <c r="R436" s="9">
        <v>8000.0</v>
      </c>
      <c r="U436" s="9">
        <v>18.0</v>
      </c>
      <c r="V436" s="9" t="s">
        <v>575</v>
      </c>
      <c r="W436" s="9" t="s">
        <v>576</v>
      </c>
      <c r="X436" s="9" t="s">
        <v>36</v>
      </c>
      <c r="Y436" s="9" t="s">
        <v>59</v>
      </c>
      <c r="Z436" s="9" t="s">
        <v>71</v>
      </c>
      <c r="AA436" s="9" t="s">
        <v>61</v>
      </c>
      <c r="AC436" s="9">
        <v>8.0</v>
      </c>
      <c r="AD436" s="9">
        <v>3.0</v>
      </c>
      <c r="AE436" s="9">
        <v>4.0</v>
      </c>
      <c r="AF436" s="9">
        <v>2000.0</v>
      </c>
      <c r="AG436" s="9" t="s">
        <v>2934</v>
      </c>
    </row>
    <row r="437">
      <c r="A437" s="7">
        <v>44408.75613238426</v>
      </c>
      <c r="B437" s="9" t="s">
        <v>49</v>
      </c>
      <c r="C437" s="9">
        <v>27.0</v>
      </c>
      <c r="D437" s="9" t="s">
        <v>35</v>
      </c>
      <c r="E437" s="9" t="s">
        <v>36</v>
      </c>
      <c r="F437" s="9" t="s">
        <v>349</v>
      </c>
      <c r="G437" s="9" t="s">
        <v>1340</v>
      </c>
      <c r="H437" s="9" t="s">
        <v>38</v>
      </c>
      <c r="I437" s="9" t="s">
        <v>2368</v>
      </c>
      <c r="J437" s="9" t="s">
        <v>2699</v>
      </c>
      <c r="K437" s="9" t="s">
        <v>39</v>
      </c>
      <c r="L437" s="9" t="s">
        <v>40</v>
      </c>
      <c r="M437" s="9" t="s">
        <v>40</v>
      </c>
      <c r="P437" s="9" t="s">
        <v>119</v>
      </c>
      <c r="Q437" s="9" t="s">
        <v>42</v>
      </c>
      <c r="R437" s="9">
        <v>600.0</v>
      </c>
      <c r="S437" s="9">
        <v>600.0</v>
      </c>
      <c r="T437" s="9">
        <v>0.0</v>
      </c>
      <c r="U437" s="9">
        <v>17.0</v>
      </c>
      <c r="V437" s="9" t="s">
        <v>1341</v>
      </c>
      <c r="W437" s="9" t="s">
        <v>1342</v>
      </c>
      <c r="X437" s="9" t="s">
        <v>131</v>
      </c>
      <c r="Y437" s="9" t="s">
        <v>1343</v>
      </c>
      <c r="Z437" s="9" t="s">
        <v>132</v>
      </c>
      <c r="AA437" s="9" t="s">
        <v>61</v>
      </c>
      <c r="AC437" s="9">
        <v>6.0</v>
      </c>
      <c r="AD437" s="9">
        <v>5.0</v>
      </c>
      <c r="AE437" s="9">
        <v>1.0</v>
      </c>
      <c r="AF437" s="9">
        <v>3000.0</v>
      </c>
      <c r="AG437" s="9" t="s">
        <v>42</v>
      </c>
    </row>
    <row r="438">
      <c r="A438" s="7">
        <v>44408.75719638889</v>
      </c>
      <c r="B438" s="9" t="s">
        <v>49</v>
      </c>
      <c r="C438" s="9">
        <v>44.0</v>
      </c>
      <c r="D438" s="9" t="s">
        <v>35</v>
      </c>
      <c r="E438" s="9" t="s">
        <v>36</v>
      </c>
      <c r="F438" s="9" t="s">
        <v>50</v>
      </c>
      <c r="G438" s="9" t="s">
        <v>82</v>
      </c>
      <c r="H438" s="9" t="s">
        <v>302</v>
      </c>
      <c r="K438" s="9" t="s">
        <v>890</v>
      </c>
      <c r="L438" s="9" t="s">
        <v>40</v>
      </c>
      <c r="M438" s="9" t="s">
        <v>40</v>
      </c>
      <c r="P438" s="9" t="s">
        <v>420</v>
      </c>
      <c r="Q438" s="9" t="s">
        <v>3054</v>
      </c>
      <c r="R438" s="9">
        <v>10000.0</v>
      </c>
      <c r="S438" s="9">
        <v>0.0</v>
      </c>
      <c r="T438" s="9">
        <v>0.0</v>
      </c>
      <c r="U438" s="9">
        <v>21.0</v>
      </c>
      <c r="V438" s="9" t="s">
        <v>421</v>
      </c>
      <c r="W438" s="9" t="s">
        <v>422</v>
      </c>
      <c r="X438" s="9" t="s">
        <v>58</v>
      </c>
      <c r="Y438" s="9" t="s">
        <v>423</v>
      </c>
      <c r="Z438" s="9" t="s">
        <v>132</v>
      </c>
      <c r="AA438" s="9" t="s">
        <v>61</v>
      </c>
      <c r="AC438" s="9">
        <v>8.0</v>
      </c>
      <c r="AD438" s="9" t="s">
        <v>424</v>
      </c>
      <c r="AE438" s="9">
        <v>1.0</v>
      </c>
      <c r="AF438" s="9">
        <v>1700.0</v>
      </c>
      <c r="AG438" s="9" t="s">
        <v>3054</v>
      </c>
    </row>
    <row r="439">
      <c r="A439" s="7">
        <v>44408.75890247685</v>
      </c>
      <c r="B439" s="9" t="s">
        <v>49</v>
      </c>
      <c r="C439" s="9">
        <v>23.0</v>
      </c>
      <c r="D439" s="9" t="s">
        <v>35</v>
      </c>
      <c r="E439" s="9" t="s">
        <v>36</v>
      </c>
      <c r="G439" s="9" t="s">
        <v>225</v>
      </c>
      <c r="H439" s="9" t="s">
        <v>38</v>
      </c>
      <c r="I439" s="9" t="s">
        <v>2458</v>
      </c>
      <c r="J439" s="9" t="s">
        <v>3080</v>
      </c>
      <c r="K439" s="9" t="s">
        <v>39</v>
      </c>
      <c r="L439" s="9" t="s">
        <v>40</v>
      </c>
      <c r="M439" s="9" t="s">
        <v>40</v>
      </c>
      <c r="P439" s="9" t="s">
        <v>2465</v>
      </c>
      <c r="Q439" s="9" t="s">
        <v>2934</v>
      </c>
      <c r="R439" s="9">
        <v>2800.0</v>
      </c>
      <c r="S439" s="9">
        <v>0.0</v>
      </c>
      <c r="T439" s="9">
        <v>0.0</v>
      </c>
      <c r="U439" s="9">
        <v>0.0</v>
      </c>
      <c r="V439" s="9" t="s">
        <v>1135</v>
      </c>
      <c r="W439" s="9" t="s">
        <v>1136</v>
      </c>
      <c r="X439" s="9" t="s">
        <v>3150</v>
      </c>
      <c r="Y439" s="9" t="s">
        <v>59</v>
      </c>
      <c r="Z439" s="9" t="s">
        <v>81</v>
      </c>
      <c r="AA439" s="9" t="s">
        <v>61</v>
      </c>
      <c r="AC439" s="9">
        <v>9.0</v>
      </c>
      <c r="AD439" s="9">
        <v>0.0</v>
      </c>
      <c r="AE439" s="9">
        <v>2.0</v>
      </c>
      <c r="AF439" s="9">
        <v>2800.0</v>
      </c>
      <c r="AG439" s="9" t="s">
        <v>3151</v>
      </c>
    </row>
    <row r="440">
      <c r="A440" s="7">
        <v>44408.7638524537</v>
      </c>
      <c r="B440" s="9" t="s">
        <v>49</v>
      </c>
      <c r="C440" s="9">
        <v>23.0</v>
      </c>
      <c r="D440" s="9" t="s">
        <v>35</v>
      </c>
      <c r="E440" s="9" t="s">
        <v>36</v>
      </c>
      <c r="F440" s="9" t="s">
        <v>2649</v>
      </c>
      <c r="G440" s="9" t="s">
        <v>124</v>
      </c>
      <c r="H440" s="9" t="s">
        <v>38</v>
      </c>
      <c r="I440" s="9" t="s">
        <v>3152</v>
      </c>
      <c r="J440" s="9" t="s">
        <v>84</v>
      </c>
      <c r="K440" s="9" t="s">
        <v>39</v>
      </c>
      <c r="L440" s="9" t="s">
        <v>40</v>
      </c>
      <c r="M440" s="9" t="s">
        <v>40</v>
      </c>
      <c r="P440" s="9" t="s">
        <v>3153</v>
      </c>
      <c r="Q440" s="9" t="s">
        <v>42</v>
      </c>
      <c r="R440" s="9">
        <v>5200.0</v>
      </c>
      <c r="S440" s="9">
        <v>18720.0</v>
      </c>
      <c r="T440" s="9">
        <v>6000.0</v>
      </c>
      <c r="U440" s="9">
        <v>18.0</v>
      </c>
      <c r="V440" s="9" t="s">
        <v>2189</v>
      </c>
      <c r="W440" s="9" t="s">
        <v>2190</v>
      </c>
      <c r="X440" s="9" t="s">
        <v>58</v>
      </c>
      <c r="Y440" s="9" t="s">
        <v>197</v>
      </c>
      <c r="Z440" s="9" t="s">
        <v>81</v>
      </c>
      <c r="AA440" s="9" t="s">
        <v>611</v>
      </c>
      <c r="AC440" s="9">
        <v>8.0</v>
      </c>
      <c r="AD440" s="9">
        <v>1.0</v>
      </c>
      <c r="AE440" s="9">
        <v>2.0</v>
      </c>
      <c r="AF440" s="9">
        <v>5200.0</v>
      </c>
      <c r="AG440" s="9" t="s">
        <v>42</v>
      </c>
    </row>
    <row r="441">
      <c r="A441" s="7">
        <v>44408.765240162036</v>
      </c>
      <c r="B441" s="9" t="s">
        <v>49</v>
      </c>
      <c r="C441" s="9">
        <v>23.0</v>
      </c>
      <c r="D441" s="9" t="s">
        <v>35</v>
      </c>
      <c r="E441" s="9" t="s">
        <v>36</v>
      </c>
      <c r="F441" s="9" t="s">
        <v>124</v>
      </c>
      <c r="G441" s="9" t="s">
        <v>2971</v>
      </c>
      <c r="H441" s="9" t="s">
        <v>38</v>
      </c>
      <c r="I441" s="9" t="s">
        <v>2467</v>
      </c>
      <c r="J441" s="9" t="s">
        <v>100</v>
      </c>
      <c r="K441" s="9" t="s">
        <v>39</v>
      </c>
      <c r="L441" s="9" t="s">
        <v>40</v>
      </c>
      <c r="M441" s="9" t="s">
        <v>40</v>
      </c>
      <c r="P441" s="9" t="s">
        <v>146</v>
      </c>
      <c r="Q441" s="9" t="s">
        <v>42</v>
      </c>
      <c r="R441" s="9">
        <v>5100.0</v>
      </c>
      <c r="S441" s="9">
        <v>0.0</v>
      </c>
      <c r="T441" s="9">
        <v>0.0</v>
      </c>
      <c r="U441" s="9">
        <v>14.0</v>
      </c>
      <c r="V441" s="9" t="s">
        <v>1274</v>
      </c>
      <c r="W441" s="9" t="s">
        <v>1275</v>
      </c>
      <c r="X441" s="9" t="s">
        <v>678</v>
      </c>
      <c r="Y441" s="9" t="s">
        <v>89</v>
      </c>
      <c r="Z441" s="9" t="s">
        <v>81</v>
      </c>
      <c r="AA441" s="9" t="s">
        <v>61</v>
      </c>
      <c r="AC441" s="9">
        <v>8.0</v>
      </c>
      <c r="AD441" s="9">
        <v>2.0</v>
      </c>
      <c r="AE441" s="9">
        <v>0.0</v>
      </c>
      <c r="AF441" s="9">
        <v>3000.0</v>
      </c>
      <c r="AG441" s="9" t="s">
        <v>42</v>
      </c>
    </row>
    <row r="442">
      <c r="A442" s="7">
        <v>44408.77559319444</v>
      </c>
      <c r="B442" s="9" t="s">
        <v>49</v>
      </c>
      <c r="C442" s="9">
        <v>24.0</v>
      </c>
      <c r="D442" s="9" t="s">
        <v>35</v>
      </c>
      <c r="E442" s="9" t="s">
        <v>36</v>
      </c>
      <c r="F442" s="9" t="s">
        <v>69</v>
      </c>
      <c r="G442" s="9" t="s">
        <v>2917</v>
      </c>
      <c r="H442" s="9" t="s">
        <v>38</v>
      </c>
      <c r="I442" s="9" t="s">
        <v>3154</v>
      </c>
      <c r="J442" s="9" t="s">
        <v>3155</v>
      </c>
      <c r="K442" s="9" t="s">
        <v>39</v>
      </c>
      <c r="L442" s="9" t="s">
        <v>40</v>
      </c>
      <c r="M442" s="9" t="s">
        <v>39</v>
      </c>
      <c r="O442" s="9" t="s">
        <v>2086</v>
      </c>
      <c r="P442" s="9" t="s">
        <v>3156</v>
      </c>
      <c r="Q442" s="9" t="s">
        <v>3054</v>
      </c>
      <c r="R442" s="9">
        <v>5500.0</v>
      </c>
      <c r="S442" s="9">
        <v>15000.0</v>
      </c>
      <c r="T442" s="9">
        <v>0.0</v>
      </c>
      <c r="U442" s="9">
        <v>21.0</v>
      </c>
      <c r="V442" s="9" t="s">
        <v>2087</v>
      </c>
      <c r="W442" s="9" t="s">
        <v>2088</v>
      </c>
      <c r="X442" s="9" t="s">
        <v>604</v>
      </c>
      <c r="Y442" s="9" t="s">
        <v>70</v>
      </c>
      <c r="Z442" s="9" t="s">
        <v>81</v>
      </c>
      <c r="AA442" s="9" t="s">
        <v>61</v>
      </c>
      <c r="AC442" s="9">
        <v>6.0</v>
      </c>
      <c r="AD442" s="9">
        <v>3.0</v>
      </c>
      <c r="AE442" s="9">
        <v>1.0</v>
      </c>
      <c r="AF442" s="9">
        <v>4200.0</v>
      </c>
      <c r="AG442" s="9" t="s">
        <v>3054</v>
      </c>
    </row>
    <row r="443">
      <c r="A443" s="7">
        <v>44408.78249409722</v>
      </c>
      <c r="B443" s="9" t="s">
        <v>49</v>
      </c>
      <c r="C443" s="9">
        <v>26.0</v>
      </c>
      <c r="D443" s="9" t="s">
        <v>35</v>
      </c>
      <c r="E443" s="9" t="s">
        <v>36</v>
      </c>
      <c r="F443" s="9" t="s">
        <v>172</v>
      </c>
      <c r="G443" s="9" t="s">
        <v>173</v>
      </c>
      <c r="H443" s="9" t="s">
        <v>247</v>
      </c>
      <c r="I443" s="9" t="s">
        <v>3157</v>
      </c>
      <c r="J443" s="9" t="s">
        <v>3158</v>
      </c>
      <c r="K443" s="9" t="s">
        <v>39</v>
      </c>
      <c r="L443" s="9" t="s">
        <v>39</v>
      </c>
      <c r="M443" s="9" t="s">
        <v>39</v>
      </c>
      <c r="N443" s="9" t="s">
        <v>2109</v>
      </c>
      <c r="O443" s="9" t="s">
        <v>2110</v>
      </c>
      <c r="P443" s="9" t="s">
        <v>2111</v>
      </c>
      <c r="Q443" s="9" t="s">
        <v>42</v>
      </c>
      <c r="R443" s="9">
        <v>18000.0</v>
      </c>
      <c r="S443" s="9">
        <v>180000.0</v>
      </c>
      <c r="T443" s="9">
        <v>5000.0</v>
      </c>
      <c r="U443" s="9">
        <v>21.0</v>
      </c>
      <c r="V443" s="9" t="s">
        <v>2112</v>
      </c>
      <c r="W443" s="9" t="s">
        <v>2113</v>
      </c>
      <c r="X443" s="9" t="s">
        <v>178</v>
      </c>
      <c r="Y443" s="9" t="s">
        <v>155</v>
      </c>
      <c r="Z443" s="9" t="s">
        <v>71</v>
      </c>
      <c r="AA443" s="9" t="s">
        <v>61</v>
      </c>
      <c r="AB443" s="9" t="s">
        <v>72</v>
      </c>
      <c r="AC443" s="9">
        <v>9.0</v>
      </c>
      <c r="AD443" s="9">
        <v>8.0</v>
      </c>
      <c r="AE443" s="9">
        <v>3.0</v>
      </c>
      <c r="AF443" s="9">
        <v>4500.0</v>
      </c>
      <c r="AG443" s="9" t="s">
        <v>42</v>
      </c>
    </row>
    <row r="444">
      <c r="A444" s="7">
        <v>44408.79006672454</v>
      </c>
      <c r="B444" s="9" t="s">
        <v>73</v>
      </c>
      <c r="C444" s="9">
        <v>25.0</v>
      </c>
      <c r="D444" s="9" t="s">
        <v>35</v>
      </c>
      <c r="E444" s="9" t="s">
        <v>36</v>
      </c>
      <c r="F444" s="9" t="s">
        <v>349</v>
      </c>
      <c r="G444" s="9" t="s">
        <v>349</v>
      </c>
      <c r="H444" s="9" t="s">
        <v>38</v>
      </c>
      <c r="I444" s="9" t="s">
        <v>3159</v>
      </c>
      <c r="J444" s="9" t="s">
        <v>1710</v>
      </c>
      <c r="K444" s="9" t="s">
        <v>40</v>
      </c>
      <c r="L444" s="9" t="s">
        <v>40</v>
      </c>
      <c r="M444" s="9" t="s">
        <v>40</v>
      </c>
      <c r="P444" s="9" t="s">
        <v>1711</v>
      </c>
      <c r="Q444" s="9" t="s">
        <v>42</v>
      </c>
      <c r="R444" s="9">
        <v>4300.0</v>
      </c>
      <c r="S444" s="9">
        <v>10000.0</v>
      </c>
      <c r="U444" s="9">
        <v>23.0</v>
      </c>
      <c r="V444" s="9" t="s">
        <v>1712</v>
      </c>
      <c r="W444" s="9" t="s">
        <v>1713</v>
      </c>
      <c r="X444" s="9" t="s">
        <v>131</v>
      </c>
      <c r="Y444" s="9" t="s">
        <v>59</v>
      </c>
      <c r="Z444" s="9" t="s">
        <v>81</v>
      </c>
      <c r="AA444" s="9" t="s">
        <v>61</v>
      </c>
      <c r="AC444" s="9">
        <v>5.0</v>
      </c>
      <c r="AD444" s="9">
        <v>0.0</v>
      </c>
      <c r="AE444" s="9">
        <v>0.0</v>
      </c>
      <c r="AF444" s="9">
        <v>3300.0</v>
      </c>
      <c r="AG444" s="9" t="s">
        <v>42</v>
      </c>
    </row>
    <row r="445">
      <c r="A445" s="7">
        <v>44408.799641562495</v>
      </c>
      <c r="B445" s="9" t="s">
        <v>49</v>
      </c>
      <c r="C445" s="9">
        <v>24.0</v>
      </c>
      <c r="D445" s="9" t="s">
        <v>35</v>
      </c>
      <c r="E445" s="9" t="s">
        <v>36</v>
      </c>
      <c r="F445" s="9" t="s">
        <v>349</v>
      </c>
      <c r="G445" s="9" t="s">
        <v>349</v>
      </c>
      <c r="H445" s="9" t="s">
        <v>38</v>
      </c>
      <c r="I445" s="9" t="s">
        <v>2368</v>
      </c>
      <c r="J445" s="9" t="s">
        <v>3080</v>
      </c>
      <c r="K445" s="9" t="s">
        <v>39</v>
      </c>
      <c r="L445" s="9" t="s">
        <v>40</v>
      </c>
      <c r="M445" s="9" t="s">
        <v>40</v>
      </c>
      <c r="P445" s="9" t="s">
        <v>2755</v>
      </c>
      <c r="Q445" s="9" t="s">
        <v>42</v>
      </c>
      <c r="R445" s="9">
        <v>4600.0</v>
      </c>
      <c r="S445" s="9">
        <v>4600.0</v>
      </c>
      <c r="T445" s="9">
        <v>0.0</v>
      </c>
      <c r="U445" s="9">
        <v>21.0</v>
      </c>
      <c r="V445" s="9" t="s">
        <v>1567</v>
      </c>
      <c r="W445" s="9" t="s">
        <v>1568</v>
      </c>
      <c r="X445" s="9" t="s">
        <v>122</v>
      </c>
      <c r="Y445" s="9" t="s">
        <v>59</v>
      </c>
      <c r="Z445" s="9" t="s">
        <v>90</v>
      </c>
      <c r="AA445" s="9" t="s">
        <v>61</v>
      </c>
      <c r="AC445" s="9">
        <v>5.0</v>
      </c>
      <c r="AD445" s="9">
        <v>2.5</v>
      </c>
      <c r="AE445" s="9">
        <v>1.0</v>
      </c>
      <c r="AF445" s="9">
        <v>3100.0</v>
      </c>
      <c r="AG445" s="9" t="s">
        <v>42</v>
      </c>
    </row>
    <row r="446">
      <c r="A446" s="7">
        <v>44408.80486672454</v>
      </c>
      <c r="B446" s="9" t="s">
        <v>49</v>
      </c>
      <c r="C446" s="9">
        <v>36.0</v>
      </c>
      <c r="D446" s="9" t="s">
        <v>35</v>
      </c>
      <c r="E446" s="9" t="s">
        <v>36</v>
      </c>
      <c r="F446" s="9" t="s">
        <v>50</v>
      </c>
      <c r="G446" s="9" t="s">
        <v>800</v>
      </c>
      <c r="H446" s="9" t="s">
        <v>247</v>
      </c>
      <c r="I446" s="9" t="s">
        <v>3160</v>
      </c>
      <c r="J446" s="9" t="s">
        <v>2675</v>
      </c>
      <c r="K446" s="9" t="s">
        <v>39</v>
      </c>
      <c r="L446" s="9" t="s">
        <v>40</v>
      </c>
      <c r="M446" s="9" t="s">
        <v>40</v>
      </c>
      <c r="P446" s="9" t="s">
        <v>152</v>
      </c>
      <c r="Q446" s="9" t="s">
        <v>42</v>
      </c>
      <c r="R446" s="9">
        <v>8000.0</v>
      </c>
      <c r="S446" s="9">
        <v>0.0</v>
      </c>
      <c r="T446" s="9">
        <v>0.0</v>
      </c>
      <c r="U446" s="9">
        <v>16.0</v>
      </c>
      <c r="V446" s="9" t="s">
        <v>801</v>
      </c>
      <c r="W446" s="9" t="s">
        <v>802</v>
      </c>
      <c r="X446" s="9" t="s">
        <v>122</v>
      </c>
      <c r="Y446" s="9" t="s">
        <v>803</v>
      </c>
      <c r="Z446" s="9" t="s">
        <v>60</v>
      </c>
      <c r="AA446" s="9" t="s">
        <v>61</v>
      </c>
      <c r="AC446" s="9">
        <v>8.0</v>
      </c>
      <c r="AD446" s="9">
        <v>7.0</v>
      </c>
      <c r="AE446" s="9">
        <v>2.0</v>
      </c>
      <c r="AF446" s="9">
        <v>2500.0</v>
      </c>
      <c r="AG446" s="9" t="s">
        <v>42</v>
      </c>
    </row>
    <row r="447">
      <c r="A447" s="7">
        <v>44408.85683207176</v>
      </c>
      <c r="B447" s="9" t="s">
        <v>49</v>
      </c>
      <c r="C447" s="9">
        <v>23.0</v>
      </c>
      <c r="D447" s="9" t="s">
        <v>35</v>
      </c>
      <c r="E447" s="9" t="s">
        <v>36</v>
      </c>
      <c r="F447" s="9" t="s">
        <v>172</v>
      </c>
      <c r="G447" s="9" t="s">
        <v>173</v>
      </c>
      <c r="H447" s="9" t="s">
        <v>38</v>
      </c>
      <c r="I447" s="9" t="s">
        <v>3161</v>
      </c>
      <c r="J447" s="9" t="s">
        <v>2464</v>
      </c>
      <c r="K447" s="9" t="s">
        <v>39</v>
      </c>
      <c r="L447" s="9" t="s">
        <v>40</v>
      </c>
      <c r="M447" s="9" t="s">
        <v>40</v>
      </c>
      <c r="P447" s="9" t="s">
        <v>3162</v>
      </c>
      <c r="Q447" s="9" t="s">
        <v>42</v>
      </c>
      <c r="R447" s="9">
        <v>3500.0</v>
      </c>
      <c r="S447" s="9">
        <v>0.0</v>
      </c>
      <c r="T447" s="9">
        <v>0.0</v>
      </c>
      <c r="U447" s="9">
        <v>14.0</v>
      </c>
      <c r="V447" s="9" t="s">
        <v>223</v>
      </c>
      <c r="W447" s="9" t="s">
        <v>1780</v>
      </c>
      <c r="X447" s="9" t="s">
        <v>1781</v>
      </c>
      <c r="Y447" s="9" t="s">
        <v>80</v>
      </c>
      <c r="Z447" s="9" t="s">
        <v>47</v>
      </c>
      <c r="AA447" s="9" t="s">
        <v>48</v>
      </c>
      <c r="AC447" s="9">
        <v>9.0</v>
      </c>
      <c r="AD447" s="9" t="s">
        <v>1782</v>
      </c>
      <c r="AE447" s="9">
        <v>1.0</v>
      </c>
      <c r="AF447" s="9">
        <v>3500.0</v>
      </c>
      <c r="AG447" s="9" t="s">
        <v>42</v>
      </c>
    </row>
    <row r="448">
      <c r="A448" s="7">
        <v>44408.911167604165</v>
      </c>
      <c r="B448" s="9" t="s">
        <v>49</v>
      </c>
      <c r="C448" s="9">
        <v>31.0</v>
      </c>
      <c r="D448" s="9" t="s">
        <v>35</v>
      </c>
      <c r="E448" s="9" t="s">
        <v>36</v>
      </c>
      <c r="F448" s="9" t="s">
        <v>3163</v>
      </c>
      <c r="G448" s="9" t="s">
        <v>165</v>
      </c>
      <c r="H448" s="9" t="s">
        <v>38</v>
      </c>
      <c r="I448" s="9" t="s">
        <v>3164</v>
      </c>
      <c r="J448" s="9" t="s">
        <v>2602</v>
      </c>
      <c r="K448" s="9" t="s">
        <v>39</v>
      </c>
      <c r="L448" s="9" t="s">
        <v>40</v>
      </c>
      <c r="M448" s="9" t="s">
        <v>39</v>
      </c>
      <c r="O448" s="9" t="s">
        <v>1082</v>
      </c>
      <c r="P448" s="9" t="s">
        <v>146</v>
      </c>
      <c r="Q448" s="9" t="s">
        <v>42</v>
      </c>
      <c r="R448" s="9">
        <v>7500.0</v>
      </c>
      <c r="S448" s="9">
        <v>11250.0</v>
      </c>
      <c r="T448" s="9">
        <v>0.0</v>
      </c>
      <c r="U448" s="9">
        <v>14.0</v>
      </c>
      <c r="V448" s="9" t="s">
        <v>1083</v>
      </c>
      <c r="W448" s="9" t="s">
        <v>1084</v>
      </c>
      <c r="X448" s="9" t="s">
        <v>122</v>
      </c>
      <c r="Y448" s="9" t="s">
        <v>1085</v>
      </c>
      <c r="Z448" s="9" t="s">
        <v>81</v>
      </c>
      <c r="AA448" s="9" t="s">
        <v>61</v>
      </c>
      <c r="AC448" s="9">
        <v>7.0</v>
      </c>
      <c r="AD448" s="9">
        <v>8.0</v>
      </c>
      <c r="AE448" s="9">
        <v>2.0</v>
      </c>
      <c r="AF448" s="9">
        <v>2800.0</v>
      </c>
      <c r="AG448" s="9" t="s">
        <v>42</v>
      </c>
    </row>
    <row r="449">
      <c r="A449" s="7">
        <v>44409.01701892361</v>
      </c>
      <c r="B449" s="9" t="s">
        <v>49</v>
      </c>
      <c r="C449" s="9">
        <v>31.0</v>
      </c>
      <c r="D449" s="9" t="s">
        <v>35</v>
      </c>
      <c r="E449" s="9" t="s">
        <v>36</v>
      </c>
      <c r="F449" s="9" t="s">
        <v>50</v>
      </c>
      <c r="G449" s="9" t="s">
        <v>1302</v>
      </c>
      <c r="H449" s="9" t="s">
        <v>38</v>
      </c>
      <c r="I449" s="9" t="s">
        <v>2368</v>
      </c>
      <c r="J449" s="9" t="s">
        <v>3165</v>
      </c>
      <c r="K449" s="9" t="s">
        <v>39</v>
      </c>
      <c r="L449" s="9" t="s">
        <v>40</v>
      </c>
      <c r="M449" s="9" t="s">
        <v>40</v>
      </c>
      <c r="P449" s="9" t="s">
        <v>3166</v>
      </c>
      <c r="Q449" s="9" t="s">
        <v>42</v>
      </c>
      <c r="R449" s="9">
        <v>4930.0</v>
      </c>
      <c r="S449" s="9" t="s">
        <v>3167</v>
      </c>
      <c r="U449" s="9">
        <v>21.0</v>
      </c>
      <c r="V449" s="9" t="s">
        <v>2144</v>
      </c>
      <c r="W449" s="9" t="s">
        <v>2145</v>
      </c>
      <c r="X449" s="9" t="s">
        <v>58</v>
      </c>
      <c r="Y449" s="9" t="s">
        <v>59</v>
      </c>
      <c r="Z449" s="9" t="s">
        <v>132</v>
      </c>
      <c r="AA449" s="9" t="s">
        <v>61</v>
      </c>
      <c r="AC449" s="9">
        <v>9.0</v>
      </c>
      <c r="AD449" s="9">
        <v>7.0</v>
      </c>
      <c r="AE449" s="9">
        <v>3.0</v>
      </c>
      <c r="AF449" s="9">
        <v>4700.0</v>
      </c>
      <c r="AG449" s="9" t="s">
        <v>42</v>
      </c>
    </row>
    <row r="450">
      <c r="A450" s="7">
        <v>44409.07586563657</v>
      </c>
      <c r="B450" s="9" t="s">
        <v>73</v>
      </c>
      <c r="C450" s="9">
        <v>22.0</v>
      </c>
      <c r="D450" s="9" t="s">
        <v>35</v>
      </c>
      <c r="E450" s="9" t="s">
        <v>36</v>
      </c>
      <c r="F450" s="9" t="s">
        <v>363</v>
      </c>
      <c r="H450" s="9" t="s">
        <v>38</v>
      </c>
      <c r="I450" s="9" t="s">
        <v>2368</v>
      </c>
      <c r="K450" s="9" t="s">
        <v>39</v>
      </c>
      <c r="L450" s="9" t="s">
        <v>40</v>
      </c>
      <c r="M450" s="9" t="s">
        <v>40</v>
      </c>
      <c r="P450" s="9" t="s">
        <v>3168</v>
      </c>
      <c r="Q450" s="9" t="s">
        <v>42</v>
      </c>
      <c r="R450" s="9">
        <v>3300.0</v>
      </c>
      <c r="U450" s="9">
        <v>11.0</v>
      </c>
      <c r="V450" s="9" t="s">
        <v>77</v>
      </c>
      <c r="W450" s="9" t="s">
        <v>78</v>
      </c>
      <c r="X450" s="9" t="s">
        <v>79</v>
      </c>
      <c r="Y450" s="9" t="s">
        <v>80</v>
      </c>
      <c r="Z450" s="9" t="s">
        <v>81</v>
      </c>
      <c r="AA450" s="9" t="s">
        <v>61</v>
      </c>
      <c r="AC450" s="9">
        <v>8.0</v>
      </c>
      <c r="AD450" s="9">
        <v>0.0</v>
      </c>
      <c r="AE450" s="9">
        <v>0.0</v>
      </c>
      <c r="AF450" s="9">
        <v>1.0</v>
      </c>
      <c r="AG450" s="9" t="s">
        <v>42</v>
      </c>
    </row>
    <row r="451">
      <c r="A451" s="7">
        <v>44409.08740409723</v>
      </c>
      <c r="B451" s="9" t="s">
        <v>49</v>
      </c>
      <c r="C451" s="9">
        <v>23.0</v>
      </c>
      <c r="D451" s="9" t="s">
        <v>35</v>
      </c>
      <c r="E451" s="9" t="s">
        <v>36</v>
      </c>
      <c r="F451" s="9" t="s">
        <v>50</v>
      </c>
      <c r="G451" s="9" t="s">
        <v>82</v>
      </c>
      <c r="H451" s="9" t="s">
        <v>38</v>
      </c>
      <c r="I451" s="9" t="s">
        <v>2467</v>
      </c>
      <c r="J451" s="9" t="s">
        <v>84</v>
      </c>
      <c r="K451" s="9" t="s">
        <v>39</v>
      </c>
      <c r="L451" s="9" t="s">
        <v>40</v>
      </c>
      <c r="M451" s="9" t="s">
        <v>40</v>
      </c>
      <c r="P451" s="9" t="s">
        <v>54</v>
      </c>
      <c r="Q451" s="9" t="s">
        <v>42</v>
      </c>
      <c r="R451" s="9">
        <v>4200.0</v>
      </c>
      <c r="S451" s="9">
        <v>0.0</v>
      </c>
      <c r="T451" s="9">
        <v>0.0</v>
      </c>
      <c r="U451" s="9">
        <v>14.0</v>
      </c>
      <c r="V451" s="9" t="s">
        <v>2083</v>
      </c>
      <c r="W451" s="9" t="s">
        <v>2084</v>
      </c>
      <c r="X451" s="9" t="s">
        <v>2085</v>
      </c>
      <c r="Y451" s="9" t="s">
        <v>197</v>
      </c>
      <c r="Z451" s="9" t="s">
        <v>60</v>
      </c>
      <c r="AA451" s="9" t="s">
        <v>61</v>
      </c>
      <c r="AC451" s="9">
        <v>6.0</v>
      </c>
      <c r="AD451" s="9">
        <v>1.0</v>
      </c>
      <c r="AE451" s="9">
        <v>1.0</v>
      </c>
      <c r="AF451" s="9">
        <v>4200.0</v>
      </c>
      <c r="AG451" s="9" t="s">
        <v>2521</v>
      </c>
    </row>
    <row r="452">
      <c r="A452" s="7">
        <v>44409.419887881944</v>
      </c>
      <c r="B452" s="9" t="s">
        <v>49</v>
      </c>
      <c r="C452" s="9">
        <v>27.0</v>
      </c>
      <c r="D452" s="9" t="s">
        <v>35</v>
      </c>
      <c r="E452" s="9" t="s">
        <v>36</v>
      </c>
      <c r="F452" s="9" t="s">
        <v>50</v>
      </c>
      <c r="G452" s="9" t="s">
        <v>300</v>
      </c>
      <c r="H452" s="9" t="s">
        <v>38</v>
      </c>
      <c r="I452" s="9" t="s">
        <v>921</v>
      </c>
      <c r="J452" s="9" t="s">
        <v>2566</v>
      </c>
      <c r="K452" s="9" t="s">
        <v>39</v>
      </c>
      <c r="L452" s="9" t="s">
        <v>40</v>
      </c>
      <c r="M452" s="9" t="s">
        <v>40</v>
      </c>
      <c r="P452" s="9" t="s">
        <v>146</v>
      </c>
      <c r="Q452" s="9" t="s">
        <v>42</v>
      </c>
      <c r="R452" s="9">
        <v>3800.0</v>
      </c>
      <c r="S452" s="9">
        <v>0.0</v>
      </c>
      <c r="T452" s="9">
        <v>0.0</v>
      </c>
      <c r="U452" s="9">
        <v>8.0</v>
      </c>
      <c r="V452" s="9" t="s">
        <v>67</v>
      </c>
      <c r="W452" s="9" t="s">
        <v>546</v>
      </c>
      <c r="X452" s="9" t="s">
        <v>131</v>
      </c>
      <c r="Y452" s="9" t="s">
        <v>547</v>
      </c>
      <c r="Z452" s="9" t="s">
        <v>71</v>
      </c>
      <c r="AA452" s="9" t="s">
        <v>61</v>
      </c>
      <c r="AC452" s="9">
        <v>6.0</v>
      </c>
      <c r="AD452" s="9">
        <v>3.0</v>
      </c>
      <c r="AE452" s="9">
        <v>1.0</v>
      </c>
      <c r="AF452" s="9">
        <v>2000.0</v>
      </c>
      <c r="AG452" s="9" t="s">
        <v>42</v>
      </c>
    </row>
    <row r="453">
      <c r="A453" s="7">
        <v>44409.45658174768</v>
      </c>
      <c r="B453" s="9" t="s">
        <v>49</v>
      </c>
      <c r="C453" s="9">
        <v>26.0</v>
      </c>
      <c r="D453" s="9" t="s">
        <v>35</v>
      </c>
      <c r="E453" s="9" t="s">
        <v>36</v>
      </c>
      <c r="F453" s="9" t="s">
        <v>124</v>
      </c>
      <c r="G453" s="9" t="s">
        <v>124</v>
      </c>
      <c r="H453" s="9" t="s">
        <v>38</v>
      </c>
      <c r="I453" s="9" t="s">
        <v>2368</v>
      </c>
      <c r="J453" s="9" t="s">
        <v>875</v>
      </c>
      <c r="K453" s="9" t="s">
        <v>39</v>
      </c>
      <c r="L453" s="9" t="s">
        <v>40</v>
      </c>
      <c r="M453" s="9" t="s">
        <v>40</v>
      </c>
      <c r="P453" s="9" t="s">
        <v>128</v>
      </c>
      <c r="Q453" s="9" t="s">
        <v>42</v>
      </c>
      <c r="R453" s="9">
        <v>5200.0</v>
      </c>
      <c r="S453" s="9">
        <v>0.0</v>
      </c>
      <c r="T453" s="9">
        <v>0.0</v>
      </c>
      <c r="U453" s="9">
        <v>12.0</v>
      </c>
      <c r="V453" s="9" t="s">
        <v>2161</v>
      </c>
      <c r="W453" s="9" t="s">
        <v>2162</v>
      </c>
      <c r="X453" s="9" t="s">
        <v>2163</v>
      </c>
      <c r="Y453" s="9" t="s">
        <v>350</v>
      </c>
      <c r="Z453" s="9" t="s">
        <v>132</v>
      </c>
      <c r="AA453" s="9" t="s">
        <v>91</v>
      </c>
      <c r="AC453" s="9">
        <v>8.0</v>
      </c>
      <c r="AD453" s="9">
        <v>4.0</v>
      </c>
      <c r="AE453" s="9">
        <v>1.0</v>
      </c>
      <c r="AF453" s="9">
        <v>5000.0</v>
      </c>
      <c r="AG453" s="9" t="s">
        <v>42</v>
      </c>
    </row>
    <row r="454">
      <c r="A454" s="7">
        <v>44409.46124234954</v>
      </c>
      <c r="B454" s="9" t="s">
        <v>49</v>
      </c>
      <c r="C454" s="9">
        <v>27.0</v>
      </c>
      <c r="D454" s="9" t="s">
        <v>35</v>
      </c>
      <c r="E454" s="9" t="s">
        <v>36</v>
      </c>
      <c r="F454" s="9" t="s">
        <v>50</v>
      </c>
      <c r="G454" s="9" t="s">
        <v>51</v>
      </c>
      <c r="H454" s="9" t="s">
        <v>38</v>
      </c>
      <c r="I454" s="9" t="s">
        <v>2368</v>
      </c>
      <c r="J454" s="9" t="s">
        <v>3169</v>
      </c>
      <c r="K454" s="9" t="s">
        <v>39</v>
      </c>
      <c r="L454" s="9" t="s">
        <v>40</v>
      </c>
      <c r="M454" s="9" t="s">
        <v>40</v>
      </c>
      <c r="P454" s="9" t="s">
        <v>3009</v>
      </c>
      <c r="Q454" s="9" t="s">
        <v>42</v>
      </c>
      <c r="R454" s="9">
        <v>2500.0</v>
      </c>
      <c r="S454" s="9">
        <v>0.0</v>
      </c>
      <c r="T454" s="9">
        <v>0.0</v>
      </c>
      <c r="U454" s="9">
        <v>14.0</v>
      </c>
      <c r="V454" s="9" t="s">
        <v>320</v>
      </c>
      <c r="W454" s="9" t="s">
        <v>348</v>
      </c>
      <c r="X454" s="9" t="s">
        <v>349</v>
      </c>
      <c r="Y454" s="9" t="s">
        <v>350</v>
      </c>
      <c r="Z454" s="9" t="s">
        <v>132</v>
      </c>
      <c r="AA454" s="9" t="s">
        <v>91</v>
      </c>
      <c r="AC454" s="9">
        <v>9.0</v>
      </c>
      <c r="AD454" s="9">
        <v>4.0</v>
      </c>
      <c r="AE454" s="9">
        <v>1.0</v>
      </c>
      <c r="AF454" s="9">
        <v>1500.0</v>
      </c>
      <c r="AG454" s="9" t="s">
        <v>42</v>
      </c>
    </row>
    <row r="455">
      <c r="A455" s="7">
        <v>44409.479142233795</v>
      </c>
      <c r="B455" s="9" t="s">
        <v>73</v>
      </c>
      <c r="C455" s="9">
        <v>41.0</v>
      </c>
      <c r="D455" s="9" t="s">
        <v>35</v>
      </c>
      <c r="E455" s="9" t="s">
        <v>36</v>
      </c>
      <c r="F455" s="9" t="s">
        <v>50</v>
      </c>
      <c r="G455" s="9" t="s">
        <v>570</v>
      </c>
      <c r="H455" s="9" t="s">
        <v>38</v>
      </c>
      <c r="I455" s="9" t="s">
        <v>2907</v>
      </c>
      <c r="J455" s="9" t="s">
        <v>2683</v>
      </c>
      <c r="K455" s="9" t="s">
        <v>39</v>
      </c>
      <c r="L455" s="9" t="s">
        <v>40</v>
      </c>
      <c r="M455" s="9" t="s">
        <v>40</v>
      </c>
      <c r="P455" s="9" t="s">
        <v>3170</v>
      </c>
      <c r="Q455" s="9" t="s">
        <v>42</v>
      </c>
      <c r="R455" s="9">
        <v>11000.0</v>
      </c>
      <c r="S455" s="9">
        <v>0.2</v>
      </c>
      <c r="T455" s="9">
        <v>0.0</v>
      </c>
      <c r="U455" s="9">
        <v>16.0</v>
      </c>
      <c r="V455" s="9" t="s">
        <v>653</v>
      </c>
      <c r="W455" s="9" t="s">
        <v>87</v>
      </c>
      <c r="X455" s="9" t="s">
        <v>122</v>
      </c>
      <c r="Y455" s="9" t="s">
        <v>185</v>
      </c>
      <c r="Z455" s="9" t="s">
        <v>132</v>
      </c>
      <c r="AA455" s="9" t="s">
        <v>61</v>
      </c>
      <c r="AC455" s="9">
        <v>7.0</v>
      </c>
      <c r="AD455" s="9">
        <v>18.0</v>
      </c>
      <c r="AE455" s="9">
        <v>8.0</v>
      </c>
      <c r="AF455" s="9">
        <v>2100.0</v>
      </c>
      <c r="AG455" s="9" t="s">
        <v>42</v>
      </c>
    </row>
    <row r="456">
      <c r="A456" s="7">
        <v>44409.757032222224</v>
      </c>
      <c r="B456" s="9" t="s">
        <v>49</v>
      </c>
      <c r="C456" s="9">
        <v>25.0</v>
      </c>
      <c r="D456" s="9" t="s">
        <v>35</v>
      </c>
      <c r="E456" s="9" t="s">
        <v>36</v>
      </c>
      <c r="F456" s="9" t="s">
        <v>530</v>
      </c>
      <c r="G456" s="9" t="s">
        <v>3171</v>
      </c>
      <c r="H456" s="9" t="s">
        <v>38</v>
      </c>
      <c r="I456" s="9" t="s">
        <v>3172</v>
      </c>
      <c r="J456" s="9" t="s">
        <v>3173</v>
      </c>
      <c r="K456" s="9" t="s">
        <v>40</v>
      </c>
      <c r="L456" s="9" t="s">
        <v>40</v>
      </c>
      <c r="M456" s="9" t="s">
        <v>40</v>
      </c>
      <c r="P456" s="9" t="s">
        <v>3174</v>
      </c>
      <c r="Q456" s="9" t="s">
        <v>42</v>
      </c>
      <c r="R456" s="9">
        <v>3500.0</v>
      </c>
      <c r="S456" s="9">
        <v>0.0</v>
      </c>
      <c r="T456" s="9">
        <v>0.0</v>
      </c>
      <c r="U456" s="9">
        <v>12.0</v>
      </c>
      <c r="V456" s="9" t="s">
        <v>528</v>
      </c>
      <c r="W456" s="9" t="s">
        <v>529</v>
      </c>
      <c r="X456" s="9" t="s">
        <v>530</v>
      </c>
      <c r="Y456" s="9" t="s">
        <v>531</v>
      </c>
      <c r="Z456" s="9" t="s">
        <v>47</v>
      </c>
      <c r="AA456" s="9" t="s">
        <v>61</v>
      </c>
      <c r="AC456" s="9">
        <v>9.0</v>
      </c>
      <c r="AD456" s="9">
        <v>1.5</v>
      </c>
      <c r="AE456" s="9">
        <v>1.0</v>
      </c>
      <c r="AF456" s="9">
        <v>1950.0</v>
      </c>
      <c r="AG456" s="9" t="s">
        <v>42</v>
      </c>
    </row>
    <row r="457">
      <c r="A457" s="7">
        <v>44409.783684062495</v>
      </c>
      <c r="B457" s="9" t="s">
        <v>49</v>
      </c>
      <c r="C457" s="9">
        <v>26.0</v>
      </c>
      <c r="D457" s="9" t="s">
        <v>35</v>
      </c>
      <c r="E457" s="9" t="s">
        <v>36</v>
      </c>
      <c r="F457" s="9" t="s">
        <v>69</v>
      </c>
      <c r="G457" s="9" t="s">
        <v>493</v>
      </c>
      <c r="H457" s="9" t="s">
        <v>38</v>
      </c>
      <c r="I457" s="9" t="s">
        <v>2368</v>
      </c>
      <c r="J457" s="9" t="s">
        <v>3117</v>
      </c>
      <c r="K457" s="9" t="s">
        <v>39</v>
      </c>
      <c r="L457" s="9" t="s">
        <v>40</v>
      </c>
      <c r="M457" s="9" t="s">
        <v>39</v>
      </c>
      <c r="O457" s="9" t="s">
        <v>1251</v>
      </c>
      <c r="P457" s="9" t="s">
        <v>1252</v>
      </c>
      <c r="Q457" s="9" t="s">
        <v>42</v>
      </c>
      <c r="R457" s="9">
        <v>3000.0</v>
      </c>
      <c r="S457" s="9">
        <v>2900.0</v>
      </c>
      <c r="T457" s="9">
        <v>0.0</v>
      </c>
      <c r="U457" s="9">
        <v>12.0</v>
      </c>
      <c r="V457" s="9" t="s">
        <v>1253</v>
      </c>
      <c r="W457" s="9" t="s">
        <v>1254</v>
      </c>
      <c r="X457" s="9" t="s">
        <v>492</v>
      </c>
      <c r="Y457" s="9" t="s">
        <v>155</v>
      </c>
      <c r="Z457" s="9" t="s">
        <v>60</v>
      </c>
      <c r="AA457" s="9" t="s">
        <v>61</v>
      </c>
      <c r="AC457" s="9">
        <v>6.0</v>
      </c>
      <c r="AD457" s="9" t="s">
        <v>1255</v>
      </c>
      <c r="AE457" s="9">
        <v>0.0</v>
      </c>
      <c r="AF457" s="9">
        <v>3000.0</v>
      </c>
      <c r="AG457" s="9" t="s">
        <v>42</v>
      </c>
    </row>
    <row r="458">
      <c r="A458" s="7">
        <v>44409.93309475694</v>
      </c>
      <c r="B458" s="9" t="s">
        <v>73</v>
      </c>
      <c r="C458" s="9">
        <v>29.0</v>
      </c>
      <c r="D458" s="9" t="s">
        <v>35</v>
      </c>
      <c r="E458" s="9" t="s">
        <v>36</v>
      </c>
      <c r="F458" s="9" t="s">
        <v>124</v>
      </c>
      <c r="G458" s="9" t="s">
        <v>349</v>
      </c>
      <c r="H458" s="9" t="s">
        <v>38</v>
      </c>
      <c r="I458" s="9" t="s">
        <v>2410</v>
      </c>
      <c r="K458" s="9" t="s">
        <v>40</v>
      </c>
      <c r="L458" s="9" t="s">
        <v>40</v>
      </c>
      <c r="M458" s="9" t="s">
        <v>40</v>
      </c>
      <c r="P458" s="9" t="s">
        <v>746</v>
      </c>
      <c r="Q458" s="9" t="s">
        <v>42</v>
      </c>
      <c r="R458" s="9">
        <v>10000.0</v>
      </c>
      <c r="T458" s="9" t="s">
        <v>1130</v>
      </c>
      <c r="U458" s="9">
        <v>20.0</v>
      </c>
      <c r="V458" s="9" t="s">
        <v>1131</v>
      </c>
      <c r="W458" s="9" t="s">
        <v>1132</v>
      </c>
      <c r="X458" s="9" t="s">
        <v>349</v>
      </c>
      <c r="Y458" s="9" t="s">
        <v>59</v>
      </c>
      <c r="Z458" s="9" t="s">
        <v>60</v>
      </c>
      <c r="AA458" s="9" t="s">
        <v>133</v>
      </c>
      <c r="AC458" s="9">
        <v>6.0</v>
      </c>
      <c r="AD458" s="9">
        <v>4.0</v>
      </c>
      <c r="AE458" s="9">
        <v>5.0</v>
      </c>
      <c r="AF458" s="9">
        <v>2800.0</v>
      </c>
      <c r="AG458" s="9" t="s">
        <v>42</v>
      </c>
    </row>
    <row r="459">
      <c r="A459" s="7">
        <v>44409.941814328704</v>
      </c>
      <c r="B459" s="9" t="s">
        <v>49</v>
      </c>
      <c r="C459" s="9">
        <v>26.0</v>
      </c>
      <c r="D459" s="9" t="s">
        <v>35</v>
      </c>
      <c r="E459" s="9" t="s">
        <v>36</v>
      </c>
      <c r="F459" s="9" t="s">
        <v>363</v>
      </c>
      <c r="G459" s="9" t="s">
        <v>437</v>
      </c>
      <c r="H459" s="9" t="s">
        <v>38</v>
      </c>
      <c r="I459" s="9" t="s">
        <v>3175</v>
      </c>
      <c r="J459" s="9" t="s">
        <v>3176</v>
      </c>
      <c r="K459" s="9" t="s">
        <v>40</v>
      </c>
      <c r="L459" s="9" t="s">
        <v>40</v>
      </c>
      <c r="M459" s="9" t="s">
        <v>40</v>
      </c>
      <c r="P459" s="9" t="s">
        <v>3177</v>
      </c>
      <c r="Q459" s="9" t="s">
        <v>2934</v>
      </c>
      <c r="R459" s="9">
        <v>3600.0</v>
      </c>
      <c r="S459" s="9">
        <v>0.0</v>
      </c>
      <c r="T459" s="9">
        <v>0.0</v>
      </c>
      <c r="U459" s="9">
        <v>12.0</v>
      </c>
      <c r="V459" s="9" t="s">
        <v>1904</v>
      </c>
      <c r="W459" s="9" t="s">
        <v>1905</v>
      </c>
      <c r="X459" s="9" t="s">
        <v>1906</v>
      </c>
      <c r="Y459" s="9" t="s">
        <v>123</v>
      </c>
      <c r="Z459" s="9" t="s">
        <v>132</v>
      </c>
      <c r="AA459" s="9" t="s">
        <v>61</v>
      </c>
      <c r="AC459" s="9">
        <v>5.0</v>
      </c>
      <c r="AD459" s="9" t="s">
        <v>3178</v>
      </c>
      <c r="AE459" s="9">
        <v>1.0</v>
      </c>
      <c r="AF459" s="9">
        <v>3600.0</v>
      </c>
      <c r="AG459" s="9" t="s">
        <v>2934</v>
      </c>
    </row>
    <row r="460">
      <c r="A460" s="7">
        <v>44410.48966224537</v>
      </c>
      <c r="B460" s="9" t="s">
        <v>49</v>
      </c>
      <c r="C460" s="9">
        <v>27.0</v>
      </c>
      <c r="D460" s="9" t="s">
        <v>35</v>
      </c>
      <c r="E460" s="9" t="s">
        <v>36</v>
      </c>
      <c r="F460" s="9" t="s">
        <v>124</v>
      </c>
      <c r="G460" s="9" t="s">
        <v>124</v>
      </c>
      <c r="H460" s="9" t="s">
        <v>118</v>
      </c>
      <c r="K460" s="9" t="s">
        <v>890</v>
      </c>
      <c r="L460" s="9" t="s">
        <v>39</v>
      </c>
      <c r="M460" s="9" t="s">
        <v>39</v>
      </c>
      <c r="N460" s="9" t="s">
        <v>193</v>
      </c>
      <c r="O460" s="9" t="s">
        <v>194</v>
      </c>
      <c r="P460" s="9" t="s">
        <v>128</v>
      </c>
      <c r="Q460" s="9" t="s">
        <v>42</v>
      </c>
      <c r="R460" s="9">
        <v>5500.0</v>
      </c>
      <c r="S460" s="9">
        <v>0.0</v>
      </c>
      <c r="T460" s="9">
        <v>0.0</v>
      </c>
      <c r="U460" s="9">
        <v>14.0</v>
      </c>
      <c r="V460" s="9" t="s">
        <v>195</v>
      </c>
      <c r="W460" s="9" t="s">
        <v>196</v>
      </c>
      <c r="X460" s="9" t="s">
        <v>124</v>
      </c>
      <c r="Y460" s="9" t="s">
        <v>197</v>
      </c>
      <c r="Z460" s="9" t="s">
        <v>132</v>
      </c>
      <c r="AA460" s="9" t="s">
        <v>61</v>
      </c>
      <c r="AB460" s="9" t="s">
        <v>198</v>
      </c>
      <c r="AC460" s="9">
        <v>8.0</v>
      </c>
      <c r="AD460" s="9">
        <v>8.0</v>
      </c>
      <c r="AE460" s="9">
        <v>4.0</v>
      </c>
      <c r="AF460" s="9">
        <v>900.0</v>
      </c>
      <c r="AG460" s="9" t="s">
        <v>42</v>
      </c>
    </row>
    <row r="461">
      <c r="A461" s="7">
        <v>44410.58550534722</v>
      </c>
      <c r="B461" s="9" t="s">
        <v>49</v>
      </c>
      <c r="C461" s="9">
        <v>29.0</v>
      </c>
      <c r="D461" s="9" t="s">
        <v>35</v>
      </c>
      <c r="E461" s="9" t="s">
        <v>36</v>
      </c>
      <c r="F461" s="9" t="s">
        <v>124</v>
      </c>
      <c r="G461" s="9" t="s">
        <v>206</v>
      </c>
      <c r="H461" s="9" t="s">
        <v>38</v>
      </c>
      <c r="I461" s="9" t="s">
        <v>2961</v>
      </c>
      <c r="J461" s="9" t="s">
        <v>2389</v>
      </c>
      <c r="K461" s="9" t="s">
        <v>40</v>
      </c>
      <c r="L461" s="9" t="s">
        <v>39</v>
      </c>
      <c r="M461" s="9" t="s">
        <v>40</v>
      </c>
      <c r="N461" s="9" t="s">
        <v>642</v>
      </c>
      <c r="P461" s="9" t="s">
        <v>146</v>
      </c>
      <c r="Q461" s="9" t="s">
        <v>42</v>
      </c>
      <c r="R461" s="9">
        <v>285000.0</v>
      </c>
      <c r="S461" s="9">
        <v>0.0</v>
      </c>
      <c r="T461" s="9">
        <v>0.0</v>
      </c>
      <c r="U461" s="9">
        <v>28.0</v>
      </c>
      <c r="V461" s="9" t="s">
        <v>829</v>
      </c>
      <c r="W461" s="9" t="s">
        <v>830</v>
      </c>
      <c r="X461" s="9" t="s">
        <v>831</v>
      </c>
      <c r="Y461" s="9" t="s">
        <v>832</v>
      </c>
      <c r="Z461" s="9" t="s">
        <v>47</v>
      </c>
      <c r="AA461" s="9" t="s">
        <v>61</v>
      </c>
      <c r="AC461" s="9">
        <v>8.0</v>
      </c>
      <c r="AD461" s="9">
        <v>4.0</v>
      </c>
      <c r="AE461" s="9">
        <v>3.0</v>
      </c>
      <c r="AF461" s="9">
        <v>2500.0</v>
      </c>
      <c r="AG461" s="9" t="s">
        <v>42</v>
      </c>
    </row>
    <row r="462">
      <c r="A462" s="7">
        <v>44410.602692071756</v>
      </c>
      <c r="B462" s="9" t="s">
        <v>73</v>
      </c>
      <c r="C462" s="9">
        <v>27.0</v>
      </c>
      <c r="D462" s="9" t="s">
        <v>35</v>
      </c>
      <c r="E462" s="9" t="s">
        <v>36</v>
      </c>
      <c r="F462" s="9" t="s">
        <v>50</v>
      </c>
      <c r="G462" s="9" t="s">
        <v>106</v>
      </c>
      <c r="H462" s="9" t="s">
        <v>38</v>
      </c>
      <c r="I462" s="9" t="s">
        <v>3179</v>
      </c>
      <c r="J462" s="9" t="s">
        <v>1600</v>
      </c>
      <c r="K462" s="9" t="s">
        <v>39</v>
      </c>
      <c r="L462" s="9" t="s">
        <v>40</v>
      </c>
      <c r="M462" s="9" t="s">
        <v>40</v>
      </c>
      <c r="P462" s="9" t="s">
        <v>128</v>
      </c>
      <c r="Q462" s="9" t="s">
        <v>42</v>
      </c>
      <c r="R462" s="9">
        <v>6300.0</v>
      </c>
      <c r="S462" s="21">
        <v>6000.0</v>
      </c>
      <c r="T462" s="9">
        <v>0.0</v>
      </c>
      <c r="U462" s="9">
        <v>20.0</v>
      </c>
      <c r="V462" s="9" t="s">
        <v>1601</v>
      </c>
      <c r="W462" s="9" t="s">
        <v>1602</v>
      </c>
      <c r="X462" s="9" t="s">
        <v>122</v>
      </c>
      <c r="Y462" s="9" t="s">
        <v>1603</v>
      </c>
      <c r="Z462" s="9" t="s">
        <v>60</v>
      </c>
      <c r="AA462" s="9" t="s">
        <v>61</v>
      </c>
      <c r="AC462" s="9">
        <v>9.0</v>
      </c>
      <c r="AD462" s="9">
        <v>4.0</v>
      </c>
      <c r="AE462" s="9">
        <v>1.0</v>
      </c>
      <c r="AF462" s="9">
        <v>3200.0</v>
      </c>
      <c r="AG462" s="9" t="s">
        <v>42</v>
      </c>
    </row>
    <row r="463">
      <c r="A463" s="7">
        <v>44410.60270729166</v>
      </c>
      <c r="B463" s="9" t="s">
        <v>49</v>
      </c>
      <c r="C463" s="9">
        <v>25.0</v>
      </c>
      <c r="D463" s="9" t="s">
        <v>35</v>
      </c>
      <c r="E463" s="9" t="s">
        <v>36</v>
      </c>
      <c r="F463" s="9" t="s">
        <v>63</v>
      </c>
      <c r="G463" s="9" t="s">
        <v>955</v>
      </c>
      <c r="H463" s="9" t="s">
        <v>38</v>
      </c>
      <c r="I463" s="9" t="s">
        <v>3118</v>
      </c>
      <c r="J463" s="9" t="s">
        <v>2563</v>
      </c>
      <c r="K463" s="9" t="s">
        <v>39</v>
      </c>
      <c r="L463" s="9" t="s">
        <v>40</v>
      </c>
      <c r="M463" s="9" t="s">
        <v>40</v>
      </c>
      <c r="P463" s="9" t="s">
        <v>956</v>
      </c>
      <c r="Q463" s="9" t="s">
        <v>42</v>
      </c>
      <c r="R463" s="9">
        <v>2600.0</v>
      </c>
      <c r="S463" s="9">
        <v>0.0</v>
      </c>
      <c r="T463" s="9">
        <v>0.0</v>
      </c>
      <c r="U463" s="9">
        <v>14.0</v>
      </c>
      <c r="V463" s="9" t="s">
        <v>957</v>
      </c>
      <c r="W463" s="9" t="s">
        <v>958</v>
      </c>
      <c r="X463" s="9" t="s">
        <v>79</v>
      </c>
      <c r="Y463" s="9" t="s">
        <v>80</v>
      </c>
      <c r="Z463" s="9" t="s">
        <v>60</v>
      </c>
      <c r="AA463" s="9" t="s">
        <v>91</v>
      </c>
      <c r="AC463" s="9">
        <v>3.0</v>
      </c>
      <c r="AD463" s="9">
        <v>1.0</v>
      </c>
      <c r="AE463" s="9">
        <v>0.0</v>
      </c>
      <c r="AF463" s="9">
        <v>2600.0</v>
      </c>
      <c r="AG463" s="9" t="s">
        <v>42</v>
      </c>
    </row>
    <row r="464">
      <c r="A464" s="7">
        <v>44410.90891729167</v>
      </c>
      <c r="B464" s="9" t="s">
        <v>49</v>
      </c>
      <c r="C464" s="9">
        <v>29.0</v>
      </c>
      <c r="D464" s="9" t="s">
        <v>35</v>
      </c>
      <c r="E464" s="9" t="s">
        <v>36</v>
      </c>
      <c r="F464" s="9" t="s">
        <v>124</v>
      </c>
      <c r="G464" s="9" t="s">
        <v>124</v>
      </c>
      <c r="H464" s="9" t="s">
        <v>247</v>
      </c>
      <c r="K464" s="9" t="s">
        <v>40</v>
      </c>
      <c r="L464" s="9" t="s">
        <v>40</v>
      </c>
      <c r="M464" s="9" t="s">
        <v>40</v>
      </c>
      <c r="P464" s="9" t="s">
        <v>119</v>
      </c>
      <c r="Q464" s="9" t="s">
        <v>42</v>
      </c>
      <c r="R464" s="9">
        <v>6000.0</v>
      </c>
      <c r="T464" s="9">
        <v>0.0</v>
      </c>
      <c r="U464" s="9">
        <v>14.0</v>
      </c>
      <c r="V464" s="9" t="s">
        <v>1594</v>
      </c>
      <c r="W464" s="9" t="s">
        <v>163</v>
      </c>
      <c r="X464" s="9" t="s">
        <v>58</v>
      </c>
      <c r="Y464" s="9" t="s">
        <v>116</v>
      </c>
      <c r="Z464" s="9" t="s">
        <v>132</v>
      </c>
      <c r="AA464" s="9" t="s">
        <v>91</v>
      </c>
      <c r="AC464" s="9">
        <v>5.0</v>
      </c>
      <c r="AD464" s="9">
        <v>5.0</v>
      </c>
      <c r="AE464" s="9">
        <v>1.0</v>
      </c>
      <c r="AF464" s="9">
        <v>3200.0</v>
      </c>
      <c r="AG464" s="9" t="s">
        <v>42</v>
      </c>
    </row>
    <row r="465">
      <c r="A465" s="7">
        <v>44411.00565840278</v>
      </c>
      <c r="B465" s="9" t="s">
        <v>49</v>
      </c>
      <c r="C465" s="9">
        <v>28.0</v>
      </c>
      <c r="D465" s="9" t="s">
        <v>35</v>
      </c>
      <c r="E465" s="9" t="s">
        <v>36</v>
      </c>
      <c r="F465" s="9" t="s">
        <v>2544</v>
      </c>
      <c r="G465" s="9" t="s">
        <v>2544</v>
      </c>
      <c r="H465" s="9" t="s">
        <v>38</v>
      </c>
      <c r="I465" s="9" t="s">
        <v>3180</v>
      </c>
      <c r="J465" s="9" t="s">
        <v>2443</v>
      </c>
      <c r="K465" s="9" t="s">
        <v>40</v>
      </c>
      <c r="L465" s="9" t="s">
        <v>40</v>
      </c>
      <c r="M465" s="9" t="s">
        <v>40</v>
      </c>
      <c r="P465" s="9" t="s">
        <v>3181</v>
      </c>
      <c r="Q465" s="9" t="s">
        <v>2934</v>
      </c>
      <c r="R465" s="9">
        <v>4000.0</v>
      </c>
      <c r="S465" s="9">
        <v>12000.0</v>
      </c>
      <c r="U465" s="9">
        <v>20.0</v>
      </c>
      <c r="V465" s="9" t="s">
        <v>1937</v>
      </c>
      <c r="W465" s="9" t="s">
        <v>1938</v>
      </c>
      <c r="X465" s="9" t="s">
        <v>3182</v>
      </c>
      <c r="Y465" s="9" t="s">
        <v>155</v>
      </c>
      <c r="Z465" s="9" t="s">
        <v>81</v>
      </c>
      <c r="AA465" s="9" t="s">
        <v>91</v>
      </c>
      <c r="AC465" s="9">
        <v>7.0</v>
      </c>
      <c r="AD465" s="9">
        <v>1.5</v>
      </c>
      <c r="AE465" s="9">
        <v>1.0</v>
      </c>
      <c r="AF465" s="9">
        <v>3700.0</v>
      </c>
      <c r="AG465" s="9" t="s">
        <v>2934</v>
      </c>
    </row>
    <row r="466">
      <c r="A466" s="7">
        <v>44411.376242962964</v>
      </c>
      <c r="B466" s="9" t="s">
        <v>49</v>
      </c>
      <c r="C466" s="9">
        <v>29.0</v>
      </c>
      <c r="D466" s="9" t="s">
        <v>35</v>
      </c>
      <c r="E466" s="9" t="s">
        <v>36</v>
      </c>
      <c r="F466" s="9" t="s">
        <v>50</v>
      </c>
      <c r="G466" s="9" t="s">
        <v>180</v>
      </c>
      <c r="H466" s="9" t="s">
        <v>38</v>
      </c>
      <c r="I466" s="9" t="s">
        <v>3183</v>
      </c>
      <c r="J466" s="9" t="s">
        <v>2389</v>
      </c>
      <c r="K466" s="9" t="s">
        <v>39</v>
      </c>
      <c r="L466" s="9" t="s">
        <v>40</v>
      </c>
      <c r="M466" s="9" t="s">
        <v>40</v>
      </c>
      <c r="O466" s="9" t="s">
        <v>1360</v>
      </c>
      <c r="P466" s="9" t="s">
        <v>1361</v>
      </c>
      <c r="Q466" s="9" t="s">
        <v>42</v>
      </c>
      <c r="R466" s="9">
        <v>8000.0</v>
      </c>
      <c r="S466" s="9">
        <v>50000.0</v>
      </c>
      <c r="T466" s="9">
        <v>0.0</v>
      </c>
      <c r="U466" s="9">
        <v>18.0</v>
      </c>
      <c r="V466" s="9" t="s">
        <v>1362</v>
      </c>
      <c r="W466" s="9" t="s">
        <v>1363</v>
      </c>
      <c r="X466" s="9" t="s">
        <v>122</v>
      </c>
      <c r="Y466" s="9" t="s">
        <v>59</v>
      </c>
      <c r="Z466" s="9" t="s">
        <v>81</v>
      </c>
      <c r="AA466" s="9" t="s">
        <v>91</v>
      </c>
      <c r="AC466" s="9">
        <v>10.0</v>
      </c>
      <c r="AD466" s="9">
        <v>6.0</v>
      </c>
      <c r="AE466" s="9">
        <v>4.0</v>
      </c>
      <c r="AF466" s="9">
        <v>3000.0</v>
      </c>
      <c r="AG466" s="9" t="s">
        <v>42</v>
      </c>
    </row>
    <row r="467">
      <c r="A467" s="7">
        <v>44411.40803663194</v>
      </c>
      <c r="B467" s="9" t="s">
        <v>49</v>
      </c>
      <c r="C467" s="9">
        <v>24.0</v>
      </c>
      <c r="D467" s="9" t="s">
        <v>35</v>
      </c>
      <c r="E467" s="9" t="s">
        <v>36</v>
      </c>
      <c r="F467" s="9" t="s">
        <v>50</v>
      </c>
      <c r="G467" s="9" t="s">
        <v>106</v>
      </c>
      <c r="H467" s="9" t="s">
        <v>38</v>
      </c>
      <c r="I467" s="9" t="s">
        <v>2368</v>
      </c>
      <c r="J467" s="9" t="s">
        <v>2381</v>
      </c>
      <c r="K467" s="9" t="s">
        <v>39</v>
      </c>
      <c r="L467" s="9" t="s">
        <v>40</v>
      </c>
      <c r="M467" s="9" t="s">
        <v>40</v>
      </c>
      <c r="P467" s="9" t="s">
        <v>3184</v>
      </c>
      <c r="Q467" s="9" t="s">
        <v>42</v>
      </c>
      <c r="R467" s="9">
        <v>3500.0</v>
      </c>
      <c r="S467" s="9">
        <v>7176.0</v>
      </c>
      <c r="T467" s="9">
        <v>0.0</v>
      </c>
      <c r="U467" s="9">
        <v>15.0</v>
      </c>
      <c r="V467" s="9" t="s">
        <v>288</v>
      </c>
      <c r="W467" s="9" t="s">
        <v>289</v>
      </c>
      <c r="X467" s="9" t="s">
        <v>290</v>
      </c>
      <c r="Y467" s="9" t="s">
        <v>116</v>
      </c>
      <c r="Z467" s="9" t="s">
        <v>81</v>
      </c>
      <c r="AA467" s="9" t="s">
        <v>61</v>
      </c>
      <c r="AB467" s="9" t="s">
        <v>291</v>
      </c>
      <c r="AC467" s="9">
        <v>10.0</v>
      </c>
      <c r="AD467" s="9">
        <v>0.5</v>
      </c>
      <c r="AE467" s="9">
        <v>1.0</v>
      </c>
      <c r="AF467" s="9">
        <v>1200.0</v>
      </c>
      <c r="AG467" s="9" t="s">
        <v>42</v>
      </c>
    </row>
    <row r="468">
      <c r="A468" s="7">
        <v>44411.82215482639</v>
      </c>
      <c r="B468" s="9" t="s">
        <v>49</v>
      </c>
      <c r="C468" s="9">
        <v>27.0</v>
      </c>
      <c r="D468" s="9" t="s">
        <v>35</v>
      </c>
      <c r="E468" s="9" t="s">
        <v>36</v>
      </c>
      <c r="F468" s="9" t="s">
        <v>63</v>
      </c>
      <c r="G468" s="9" t="s">
        <v>301</v>
      </c>
      <c r="H468" s="9" t="s">
        <v>38</v>
      </c>
      <c r="I468" s="9" t="s">
        <v>3185</v>
      </c>
      <c r="J468" s="9" t="s">
        <v>2385</v>
      </c>
      <c r="K468" s="9" t="s">
        <v>39</v>
      </c>
      <c r="L468" s="9" t="s">
        <v>40</v>
      </c>
      <c r="M468" s="9" t="s">
        <v>40</v>
      </c>
      <c r="P468" s="9" t="s">
        <v>128</v>
      </c>
      <c r="Q468" s="9" t="s">
        <v>42</v>
      </c>
      <c r="R468" s="9">
        <v>5000.0</v>
      </c>
      <c r="S468" s="9">
        <v>5000.0</v>
      </c>
      <c r="U468" s="9">
        <v>12.0</v>
      </c>
      <c r="V468" s="9" t="s">
        <v>1005</v>
      </c>
      <c r="W468" s="9" t="s">
        <v>1006</v>
      </c>
      <c r="X468" s="9" t="s">
        <v>1007</v>
      </c>
      <c r="Y468" s="9" t="s">
        <v>80</v>
      </c>
      <c r="Z468" s="9" t="s">
        <v>47</v>
      </c>
      <c r="AA468" s="9" t="s">
        <v>61</v>
      </c>
      <c r="AC468" s="9">
        <v>8.0</v>
      </c>
      <c r="AD468" s="9">
        <v>4.0</v>
      </c>
      <c r="AE468" s="9">
        <v>3.0</v>
      </c>
      <c r="AF468" s="9">
        <v>2700.0</v>
      </c>
      <c r="AG468" s="9" t="s">
        <v>42</v>
      </c>
    </row>
    <row r="469">
      <c r="A469" s="7">
        <v>44411.83168046296</v>
      </c>
      <c r="B469" s="9" t="s">
        <v>49</v>
      </c>
      <c r="C469" s="9">
        <v>27.0</v>
      </c>
      <c r="D469" s="9" t="s">
        <v>35</v>
      </c>
      <c r="E469" s="9" t="s">
        <v>36</v>
      </c>
      <c r="F469" s="9" t="s">
        <v>124</v>
      </c>
      <c r="G469" s="9" t="s">
        <v>124</v>
      </c>
      <c r="H469" s="9" t="s">
        <v>38</v>
      </c>
      <c r="I469" s="9" t="s">
        <v>2368</v>
      </c>
      <c r="J469" s="9" t="s">
        <v>2326</v>
      </c>
      <c r="K469" s="9" t="s">
        <v>39</v>
      </c>
      <c r="L469" s="9" t="s">
        <v>40</v>
      </c>
      <c r="M469" s="9" t="s">
        <v>40</v>
      </c>
      <c r="P469" s="9" t="s">
        <v>119</v>
      </c>
      <c r="Q469" s="9" t="s">
        <v>42</v>
      </c>
      <c r="R469" s="9">
        <v>16000.0</v>
      </c>
      <c r="U469" s="9">
        <v>12.0</v>
      </c>
      <c r="V469" s="9" t="s">
        <v>2327</v>
      </c>
      <c r="W469" s="9" t="s">
        <v>2328</v>
      </c>
      <c r="X469" s="9" t="s">
        <v>820</v>
      </c>
      <c r="Y469" s="9" t="s">
        <v>59</v>
      </c>
      <c r="Z469" s="9" t="s">
        <v>60</v>
      </c>
      <c r="AA469" s="9" t="s">
        <v>133</v>
      </c>
      <c r="AC469" s="9">
        <v>10.0</v>
      </c>
      <c r="AD469" s="9">
        <v>6.0</v>
      </c>
      <c r="AE469" s="9">
        <v>2.0</v>
      </c>
      <c r="AF469" s="9">
        <v>15000.0</v>
      </c>
      <c r="AG469" s="9" t="s">
        <v>42</v>
      </c>
    </row>
    <row r="470">
      <c r="A470" s="7">
        <v>44411.88591789352</v>
      </c>
      <c r="B470" s="9" t="s">
        <v>49</v>
      </c>
      <c r="C470" s="9">
        <v>28.0</v>
      </c>
      <c r="D470" s="9" t="s">
        <v>35</v>
      </c>
      <c r="E470" s="9" t="s">
        <v>36</v>
      </c>
      <c r="F470" s="9" t="s">
        <v>50</v>
      </c>
      <c r="G470" s="9" t="s">
        <v>570</v>
      </c>
      <c r="H470" s="9" t="s">
        <v>38</v>
      </c>
      <c r="I470" s="9" t="s">
        <v>3186</v>
      </c>
      <c r="J470" s="9" t="s">
        <v>2532</v>
      </c>
      <c r="K470" s="9" t="s">
        <v>40</v>
      </c>
      <c r="L470" s="9" t="s">
        <v>40</v>
      </c>
      <c r="M470" s="9" t="s">
        <v>40</v>
      </c>
      <c r="P470" s="9" t="s">
        <v>128</v>
      </c>
      <c r="Q470" s="9" t="s">
        <v>42</v>
      </c>
      <c r="R470" s="9">
        <v>4500.0</v>
      </c>
      <c r="S470" s="9">
        <v>0.0</v>
      </c>
      <c r="T470" s="9">
        <v>0.0</v>
      </c>
      <c r="U470" s="9">
        <v>14.0</v>
      </c>
      <c r="V470" s="9" t="s">
        <v>157</v>
      </c>
      <c r="W470" s="9" t="s">
        <v>1016</v>
      </c>
      <c r="X470" s="9" t="s">
        <v>58</v>
      </c>
      <c r="Y470" s="9" t="s">
        <v>350</v>
      </c>
      <c r="Z470" s="9" t="s">
        <v>71</v>
      </c>
      <c r="AA470" s="9" t="s">
        <v>61</v>
      </c>
      <c r="AC470" s="9">
        <v>7.0</v>
      </c>
      <c r="AD470" s="9">
        <v>1.0</v>
      </c>
      <c r="AE470" s="9">
        <v>4.0</v>
      </c>
      <c r="AF470" s="9">
        <v>2700.0</v>
      </c>
      <c r="AG470" s="9" t="s">
        <v>42</v>
      </c>
    </row>
    <row r="471">
      <c r="A471" s="7">
        <v>44411.94918546296</v>
      </c>
      <c r="B471" s="9" t="s">
        <v>49</v>
      </c>
      <c r="C471" s="9">
        <v>25.0</v>
      </c>
      <c r="D471" s="9" t="s">
        <v>35</v>
      </c>
      <c r="E471" s="9" t="s">
        <v>36</v>
      </c>
      <c r="F471" s="9" t="s">
        <v>164</v>
      </c>
      <c r="G471" s="9" t="s">
        <v>165</v>
      </c>
      <c r="H471" s="9" t="s">
        <v>38</v>
      </c>
      <c r="I471" s="9" t="s">
        <v>3187</v>
      </c>
      <c r="J471" s="9" t="s">
        <v>2680</v>
      </c>
      <c r="K471" s="9" t="s">
        <v>40</v>
      </c>
      <c r="L471" s="9" t="s">
        <v>39</v>
      </c>
      <c r="M471" s="9" t="s">
        <v>40</v>
      </c>
      <c r="N471" s="9" t="s">
        <v>3188</v>
      </c>
      <c r="P471" s="9" t="s">
        <v>584</v>
      </c>
      <c r="Q471" s="9" t="s">
        <v>42</v>
      </c>
      <c r="R471" s="9">
        <v>5000.0</v>
      </c>
      <c r="S471" s="9">
        <v>0.0</v>
      </c>
      <c r="T471" s="9">
        <v>0.0</v>
      </c>
      <c r="U471" s="9">
        <v>20.0</v>
      </c>
      <c r="V471" s="9" t="s">
        <v>585</v>
      </c>
      <c r="W471" s="9" t="s">
        <v>586</v>
      </c>
      <c r="X471" s="9" t="s">
        <v>587</v>
      </c>
      <c r="Y471" s="9" t="s">
        <v>59</v>
      </c>
      <c r="Z471" s="9" t="s">
        <v>60</v>
      </c>
      <c r="AA471" s="9" t="s">
        <v>61</v>
      </c>
      <c r="AB471" s="9" t="s">
        <v>588</v>
      </c>
      <c r="AC471" s="9">
        <v>8.0</v>
      </c>
      <c r="AD471" s="9">
        <v>2.0</v>
      </c>
      <c r="AE471" s="9">
        <v>3.0</v>
      </c>
      <c r="AF471" s="9">
        <v>2000.0</v>
      </c>
      <c r="AG471" s="9" t="s">
        <v>42</v>
      </c>
    </row>
    <row r="472">
      <c r="A472" s="7">
        <v>44412.70004167824</v>
      </c>
      <c r="B472" s="9" t="s">
        <v>73</v>
      </c>
      <c r="C472" s="9">
        <v>21.0</v>
      </c>
      <c r="D472" s="9" t="s">
        <v>35</v>
      </c>
      <c r="E472" s="9" t="s">
        <v>36</v>
      </c>
      <c r="G472" s="9" t="s">
        <v>124</v>
      </c>
      <c r="H472" s="9" t="s">
        <v>93</v>
      </c>
      <c r="I472" s="9" t="s">
        <v>72</v>
      </c>
      <c r="J472" s="9" t="s">
        <v>2419</v>
      </c>
      <c r="K472" s="9" t="s">
        <v>890</v>
      </c>
      <c r="L472" s="9" t="s">
        <v>40</v>
      </c>
      <c r="M472" s="9" t="s">
        <v>40</v>
      </c>
      <c r="P472" s="9" t="s">
        <v>3189</v>
      </c>
      <c r="Q472" s="9" t="s">
        <v>2934</v>
      </c>
      <c r="R472" s="9">
        <v>3000.0</v>
      </c>
      <c r="S472" s="9" t="s">
        <v>72</v>
      </c>
      <c r="T472" s="9" t="s">
        <v>72</v>
      </c>
      <c r="U472" s="9">
        <v>11.0</v>
      </c>
      <c r="V472" s="9" t="s">
        <v>1247</v>
      </c>
      <c r="W472" s="9" t="s">
        <v>72</v>
      </c>
      <c r="X472" s="9" t="s">
        <v>72</v>
      </c>
      <c r="Y472" s="9" t="s">
        <v>72</v>
      </c>
      <c r="Z472" s="9" t="s">
        <v>132</v>
      </c>
      <c r="AA472" s="9" t="s">
        <v>91</v>
      </c>
      <c r="AB472" s="9" t="s">
        <v>72</v>
      </c>
      <c r="AC472" s="9">
        <v>8.0</v>
      </c>
      <c r="AD472" s="9" t="s">
        <v>1248</v>
      </c>
      <c r="AE472" s="9">
        <v>0.0</v>
      </c>
      <c r="AF472" s="9">
        <v>3000.0</v>
      </c>
      <c r="AG472" s="9" t="s">
        <v>2934</v>
      </c>
    </row>
    <row r="473">
      <c r="A473" s="7">
        <v>44412.815129421295</v>
      </c>
      <c r="B473" s="9" t="s">
        <v>49</v>
      </c>
      <c r="C473" s="9">
        <v>36.0</v>
      </c>
      <c r="D473" s="9" t="s">
        <v>35</v>
      </c>
      <c r="E473" s="9" t="s">
        <v>36</v>
      </c>
      <c r="F473" s="9" t="s">
        <v>50</v>
      </c>
      <c r="G473" s="9" t="s">
        <v>1338</v>
      </c>
      <c r="H473" s="9" t="s">
        <v>38</v>
      </c>
      <c r="I473" s="9" t="s">
        <v>3190</v>
      </c>
      <c r="J473" s="9" t="s">
        <v>2421</v>
      </c>
      <c r="K473" s="9" t="s">
        <v>40</v>
      </c>
      <c r="L473" s="9" t="s">
        <v>39</v>
      </c>
      <c r="M473" s="9" t="s">
        <v>40</v>
      </c>
      <c r="N473" s="9" t="s">
        <v>642</v>
      </c>
      <c r="P473" s="9" t="s">
        <v>152</v>
      </c>
      <c r="Q473" s="9" t="s">
        <v>42</v>
      </c>
      <c r="R473" s="9">
        <v>6500.0</v>
      </c>
      <c r="S473" s="9">
        <v>0.0</v>
      </c>
      <c r="T473" s="9">
        <v>0.0</v>
      </c>
      <c r="U473" s="9">
        <v>12.0</v>
      </c>
      <c r="V473" s="9" t="s">
        <v>157</v>
      </c>
      <c r="W473" s="9" t="s">
        <v>2226</v>
      </c>
      <c r="X473" s="9" t="s">
        <v>58</v>
      </c>
      <c r="Y473" s="9" t="s">
        <v>116</v>
      </c>
      <c r="Z473" s="9" t="s">
        <v>71</v>
      </c>
      <c r="AA473" s="9" t="s">
        <v>61</v>
      </c>
      <c r="AC473" s="9">
        <v>2.0</v>
      </c>
      <c r="AD473" s="9">
        <v>13.0</v>
      </c>
      <c r="AE473" s="9">
        <v>9.0</v>
      </c>
      <c r="AF473" s="9">
        <v>6500.0</v>
      </c>
      <c r="AG473" s="9" t="s">
        <v>42</v>
      </c>
    </row>
    <row r="474">
      <c r="A474" s="7">
        <v>44413.636767627315</v>
      </c>
      <c r="B474" s="9" t="s">
        <v>49</v>
      </c>
      <c r="C474" s="9">
        <v>25.0</v>
      </c>
      <c r="D474" s="9" t="s">
        <v>35</v>
      </c>
      <c r="E474" s="9" t="s">
        <v>36</v>
      </c>
      <c r="F474" s="9" t="s">
        <v>50</v>
      </c>
      <c r="G474" s="9" t="s">
        <v>206</v>
      </c>
      <c r="H474" s="9" t="s">
        <v>38</v>
      </c>
      <c r="I474" s="9" t="s">
        <v>2749</v>
      </c>
      <c r="J474" s="9" t="s">
        <v>2699</v>
      </c>
      <c r="K474" s="9" t="s">
        <v>40</v>
      </c>
      <c r="L474" s="9" t="s">
        <v>40</v>
      </c>
      <c r="M474" s="9" t="s">
        <v>40</v>
      </c>
      <c r="P474" s="9" t="s">
        <v>3191</v>
      </c>
      <c r="Q474" s="9" t="s">
        <v>42</v>
      </c>
      <c r="R474" s="9">
        <v>4300.0</v>
      </c>
      <c r="S474" s="9">
        <v>0.0</v>
      </c>
      <c r="T474" s="9">
        <v>0.0</v>
      </c>
      <c r="U474" s="9">
        <v>15.0</v>
      </c>
      <c r="V474" s="9" t="s">
        <v>1688</v>
      </c>
      <c r="W474" s="9" t="s">
        <v>1689</v>
      </c>
      <c r="X474" s="9" t="s">
        <v>1690</v>
      </c>
      <c r="Y474" s="9" t="s">
        <v>59</v>
      </c>
      <c r="Z474" s="9" t="s">
        <v>132</v>
      </c>
      <c r="AA474" s="9" t="s">
        <v>91</v>
      </c>
      <c r="AB474" s="9" t="s">
        <v>1691</v>
      </c>
      <c r="AC474" s="9">
        <v>6.0</v>
      </c>
      <c r="AD474" s="9">
        <v>2.0</v>
      </c>
      <c r="AE474" s="9">
        <v>1.0</v>
      </c>
      <c r="AF474" s="9">
        <v>3300.0</v>
      </c>
      <c r="AG474" s="9" t="s">
        <v>42</v>
      </c>
    </row>
    <row r="475">
      <c r="A475" s="7">
        <v>44413.8801962963</v>
      </c>
      <c r="B475" s="9" t="s">
        <v>49</v>
      </c>
      <c r="C475" s="9">
        <v>30.0</v>
      </c>
      <c r="D475" s="9" t="s">
        <v>35</v>
      </c>
      <c r="E475" s="9" t="s">
        <v>36</v>
      </c>
      <c r="F475" s="9" t="s">
        <v>124</v>
      </c>
      <c r="G475" s="9" t="s">
        <v>124</v>
      </c>
      <c r="H475" s="9" t="s">
        <v>38</v>
      </c>
      <c r="K475" s="9" t="s">
        <v>39</v>
      </c>
      <c r="L475" s="9" t="s">
        <v>40</v>
      </c>
      <c r="M475" s="9" t="s">
        <v>40</v>
      </c>
      <c r="P475" s="9" t="s">
        <v>3192</v>
      </c>
      <c r="Q475" s="9" t="s">
        <v>42</v>
      </c>
      <c r="R475" s="9">
        <v>8500.0</v>
      </c>
      <c r="S475" s="9">
        <v>0.0</v>
      </c>
      <c r="U475" s="9">
        <v>14.0</v>
      </c>
      <c r="V475" s="9" t="s">
        <v>1297</v>
      </c>
      <c r="W475" s="9" t="s">
        <v>1298</v>
      </c>
      <c r="X475" s="9" t="s">
        <v>124</v>
      </c>
      <c r="Y475" s="9" t="s">
        <v>89</v>
      </c>
      <c r="Z475" s="9" t="s">
        <v>132</v>
      </c>
      <c r="AA475" s="9" t="s">
        <v>61</v>
      </c>
      <c r="AC475" s="9">
        <v>7.0</v>
      </c>
      <c r="AD475" s="9">
        <v>7.0</v>
      </c>
      <c r="AE475" s="9">
        <v>4.0</v>
      </c>
      <c r="AF475" s="9">
        <v>3000.0</v>
      </c>
      <c r="AG475" s="9" t="s">
        <v>2934</v>
      </c>
    </row>
    <row r="476">
      <c r="A476" s="7">
        <v>44414.00200638889</v>
      </c>
      <c r="B476" s="9" t="s">
        <v>49</v>
      </c>
      <c r="C476" s="9">
        <v>26.0</v>
      </c>
      <c r="D476" s="9" t="s">
        <v>35</v>
      </c>
      <c r="E476" s="9" t="s">
        <v>36</v>
      </c>
      <c r="F476" s="9" t="s">
        <v>50</v>
      </c>
      <c r="G476" s="9" t="s">
        <v>493</v>
      </c>
      <c r="H476" s="9" t="s">
        <v>38</v>
      </c>
      <c r="I476" s="9" t="s">
        <v>2368</v>
      </c>
      <c r="J476" s="9" t="s">
        <v>2699</v>
      </c>
      <c r="K476" s="9" t="s">
        <v>39</v>
      </c>
      <c r="L476" s="9" t="s">
        <v>40</v>
      </c>
      <c r="M476" s="9" t="s">
        <v>40</v>
      </c>
      <c r="P476" s="9" t="s">
        <v>1791</v>
      </c>
      <c r="Q476" s="9" t="s">
        <v>42</v>
      </c>
      <c r="R476" s="9">
        <v>5660.0</v>
      </c>
      <c r="S476" s="9">
        <v>0.0</v>
      </c>
      <c r="T476" s="9">
        <v>0.0</v>
      </c>
      <c r="U476" s="9">
        <v>14.0</v>
      </c>
      <c r="V476" s="9" t="s">
        <v>1792</v>
      </c>
      <c r="W476" s="9" t="s">
        <v>1793</v>
      </c>
      <c r="X476" s="9" t="s">
        <v>58</v>
      </c>
      <c r="Y476" s="9" t="s">
        <v>97</v>
      </c>
      <c r="Z476" s="9" t="s">
        <v>60</v>
      </c>
      <c r="AA476" s="9" t="s">
        <v>91</v>
      </c>
      <c r="AC476" s="9">
        <v>9.0</v>
      </c>
      <c r="AD476" s="9">
        <v>4.0</v>
      </c>
      <c r="AE476" s="9">
        <v>1.0</v>
      </c>
      <c r="AF476" s="9">
        <v>3500.0</v>
      </c>
      <c r="AG476" s="9" t="s">
        <v>42</v>
      </c>
    </row>
    <row r="477">
      <c r="A477" s="7">
        <v>44414.459133136574</v>
      </c>
      <c r="B477" s="9" t="s">
        <v>73</v>
      </c>
      <c r="C477" s="9">
        <v>26.0</v>
      </c>
      <c r="D477" s="9" t="s">
        <v>35</v>
      </c>
      <c r="E477" s="9" t="s">
        <v>36</v>
      </c>
      <c r="F477" s="9" t="s">
        <v>363</v>
      </c>
      <c r="G477" s="9" t="s">
        <v>2386</v>
      </c>
      <c r="H477" s="9" t="s">
        <v>247</v>
      </c>
      <c r="I477" s="9" t="s">
        <v>3193</v>
      </c>
      <c r="J477" s="9" t="s">
        <v>3194</v>
      </c>
      <c r="K477" s="9" t="s">
        <v>40</v>
      </c>
      <c r="L477" s="9" t="s">
        <v>39</v>
      </c>
      <c r="M477" s="9" t="s">
        <v>40</v>
      </c>
      <c r="N477" s="9" t="s">
        <v>1370</v>
      </c>
      <c r="P477" s="9" t="s">
        <v>2831</v>
      </c>
      <c r="Q477" s="9" t="s">
        <v>42</v>
      </c>
      <c r="R477" s="9">
        <v>4400.0</v>
      </c>
      <c r="S477" s="9">
        <v>3000.0</v>
      </c>
      <c r="T477" s="9">
        <v>0.0</v>
      </c>
      <c r="U477" s="9">
        <v>20.0</v>
      </c>
      <c r="V477" s="9" t="s">
        <v>1371</v>
      </c>
      <c r="W477" s="9" t="s">
        <v>1372</v>
      </c>
      <c r="X477" s="9" t="s">
        <v>79</v>
      </c>
      <c r="Y477" s="9" t="s">
        <v>481</v>
      </c>
      <c r="Z477" s="9" t="s">
        <v>71</v>
      </c>
      <c r="AA477" s="9" t="s">
        <v>61</v>
      </c>
      <c r="AC477" s="9">
        <v>8.0</v>
      </c>
      <c r="AD477" s="9">
        <v>3.0</v>
      </c>
      <c r="AE477" s="9">
        <v>3.0</v>
      </c>
      <c r="AF477" s="9">
        <v>3000.0</v>
      </c>
      <c r="AG477" s="9" t="s">
        <v>42</v>
      </c>
    </row>
    <row r="478">
      <c r="A478" s="7">
        <v>44414.55233439815</v>
      </c>
      <c r="B478" s="9" t="s">
        <v>49</v>
      </c>
      <c r="C478" s="9">
        <v>23.0</v>
      </c>
      <c r="D478" s="9" t="s">
        <v>35</v>
      </c>
      <c r="E478" s="9" t="s">
        <v>36</v>
      </c>
      <c r="H478" s="9" t="s">
        <v>38</v>
      </c>
      <c r="I478" s="9" t="s">
        <v>2437</v>
      </c>
      <c r="J478" s="9" t="s">
        <v>3195</v>
      </c>
      <c r="K478" s="9" t="s">
        <v>39</v>
      </c>
      <c r="L478" s="9" t="s">
        <v>40</v>
      </c>
      <c r="M478" s="9" t="s">
        <v>40</v>
      </c>
      <c r="P478" s="9" t="s">
        <v>128</v>
      </c>
      <c r="Q478" s="9" t="s">
        <v>42</v>
      </c>
      <c r="R478" s="9">
        <v>6200.0</v>
      </c>
      <c r="S478" s="9">
        <v>0.0</v>
      </c>
      <c r="T478" s="9">
        <v>0.0</v>
      </c>
      <c r="U478" s="9">
        <v>15.0</v>
      </c>
      <c r="V478" s="9" t="s">
        <v>320</v>
      </c>
      <c r="W478" s="9" t="s">
        <v>1951</v>
      </c>
      <c r="X478" s="9" t="s">
        <v>1952</v>
      </c>
      <c r="Y478" s="9" t="s">
        <v>228</v>
      </c>
      <c r="Z478" s="9" t="s">
        <v>90</v>
      </c>
      <c r="AA478" s="9" t="s">
        <v>91</v>
      </c>
      <c r="AC478" s="9">
        <v>8.0</v>
      </c>
      <c r="AD478" s="9">
        <v>1.0</v>
      </c>
      <c r="AE478" s="9">
        <v>1.0</v>
      </c>
      <c r="AF478" s="9">
        <v>3800.0</v>
      </c>
      <c r="AG478" s="9" t="s">
        <v>42</v>
      </c>
    </row>
    <row r="479">
      <c r="A479" s="7">
        <v>44414.92224980324</v>
      </c>
      <c r="B479" s="9" t="s">
        <v>49</v>
      </c>
      <c r="C479" s="9">
        <v>28.0</v>
      </c>
      <c r="D479" s="9" t="s">
        <v>35</v>
      </c>
      <c r="E479" s="9" t="s">
        <v>36</v>
      </c>
      <c r="F479" s="9" t="s">
        <v>50</v>
      </c>
      <c r="G479" s="9" t="s">
        <v>539</v>
      </c>
      <c r="H479" s="9" t="s">
        <v>38</v>
      </c>
      <c r="I479" s="9" t="s">
        <v>2368</v>
      </c>
      <c r="J479" s="9" t="s">
        <v>2389</v>
      </c>
      <c r="K479" s="9" t="s">
        <v>39</v>
      </c>
      <c r="L479" s="9" t="s">
        <v>40</v>
      </c>
      <c r="M479" s="9" t="s">
        <v>40</v>
      </c>
      <c r="P479" s="9" t="s">
        <v>2538</v>
      </c>
      <c r="Q479" s="9" t="s">
        <v>42</v>
      </c>
      <c r="R479" s="9">
        <v>4850.0</v>
      </c>
      <c r="S479" s="9">
        <v>4850.0</v>
      </c>
      <c r="T479" s="9">
        <v>0.0</v>
      </c>
      <c r="U479" s="9">
        <v>20.0</v>
      </c>
      <c r="V479" s="9" t="s">
        <v>1708</v>
      </c>
      <c r="W479" s="9" t="s">
        <v>1709</v>
      </c>
      <c r="X479" s="9" t="s">
        <v>122</v>
      </c>
      <c r="Y479" s="9" t="s">
        <v>59</v>
      </c>
      <c r="Z479" s="9" t="s">
        <v>60</v>
      </c>
      <c r="AA479" s="9" t="s">
        <v>91</v>
      </c>
      <c r="AC479" s="9">
        <v>10.0</v>
      </c>
      <c r="AD479" s="9">
        <v>3.0</v>
      </c>
      <c r="AE479" s="9">
        <v>1.0</v>
      </c>
      <c r="AF479" s="9">
        <v>3300.0</v>
      </c>
      <c r="AG479" s="9" t="s">
        <v>42</v>
      </c>
    </row>
    <row r="480">
      <c r="A480" s="7">
        <v>44415.29255103009</v>
      </c>
      <c r="B480" s="9" t="s">
        <v>49</v>
      </c>
      <c r="C480" s="9">
        <v>24.0</v>
      </c>
      <c r="D480" s="9" t="s">
        <v>2104</v>
      </c>
      <c r="E480" s="9" t="s">
        <v>36</v>
      </c>
      <c r="F480" s="9" t="s">
        <v>50</v>
      </c>
      <c r="G480" s="9" t="s">
        <v>300</v>
      </c>
      <c r="H480" s="9" t="s">
        <v>38</v>
      </c>
      <c r="I480" s="9" t="s">
        <v>3196</v>
      </c>
      <c r="J480" s="9" t="s">
        <v>2472</v>
      </c>
      <c r="K480" s="9" t="s">
        <v>39</v>
      </c>
      <c r="L480" s="9" t="s">
        <v>40</v>
      </c>
      <c r="M480" s="9" t="s">
        <v>40</v>
      </c>
      <c r="P480" s="9" t="s">
        <v>128</v>
      </c>
      <c r="Q480" s="9" t="s">
        <v>42</v>
      </c>
      <c r="R480" s="9">
        <v>5000.0</v>
      </c>
      <c r="S480" s="22" t="s">
        <v>3197</v>
      </c>
      <c r="T480" s="9">
        <v>0.0</v>
      </c>
      <c r="U480" s="9">
        <v>18.0</v>
      </c>
      <c r="V480" s="9" t="s">
        <v>2105</v>
      </c>
      <c r="W480" s="9" t="s">
        <v>2106</v>
      </c>
      <c r="X480" s="9" t="s">
        <v>88</v>
      </c>
      <c r="Y480" s="9" t="s">
        <v>116</v>
      </c>
      <c r="Z480" s="9" t="s">
        <v>71</v>
      </c>
      <c r="AA480" s="9" t="s">
        <v>61</v>
      </c>
      <c r="AC480" s="9">
        <v>8.0</v>
      </c>
      <c r="AD480" s="9" t="s">
        <v>3198</v>
      </c>
      <c r="AE480" s="9" t="s">
        <v>3199</v>
      </c>
      <c r="AF480" s="9">
        <v>4500.0</v>
      </c>
      <c r="AG480" s="9" t="s">
        <v>42</v>
      </c>
    </row>
    <row r="481">
      <c r="A481" s="7">
        <v>44415.41995831019</v>
      </c>
      <c r="B481" s="9" t="s">
        <v>49</v>
      </c>
      <c r="C481" s="9">
        <v>29.0</v>
      </c>
      <c r="D481" s="9" t="s">
        <v>35</v>
      </c>
      <c r="E481" s="9" t="s">
        <v>36</v>
      </c>
      <c r="F481" s="9" t="s">
        <v>363</v>
      </c>
      <c r="G481" s="9" t="s">
        <v>1293</v>
      </c>
      <c r="H481" s="9" t="s">
        <v>38</v>
      </c>
      <c r="I481" s="9" t="s">
        <v>3200</v>
      </c>
      <c r="J481" s="9" t="s">
        <v>2666</v>
      </c>
      <c r="K481" s="9" t="s">
        <v>39</v>
      </c>
      <c r="L481" s="9" t="s">
        <v>40</v>
      </c>
      <c r="M481" s="9" t="s">
        <v>40</v>
      </c>
      <c r="P481" s="9" t="s">
        <v>3201</v>
      </c>
      <c r="Q481" s="9" t="s">
        <v>42</v>
      </c>
      <c r="R481" s="9">
        <v>4970.0</v>
      </c>
      <c r="S481" s="9">
        <v>4970.0</v>
      </c>
      <c r="T481" s="9">
        <v>4791.0</v>
      </c>
      <c r="U481" s="9">
        <v>14.0</v>
      </c>
      <c r="V481" s="9" t="s">
        <v>1294</v>
      </c>
      <c r="W481" s="9" t="s">
        <v>1295</v>
      </c>
      <c r="X481" s="9" t="s">
        <v>238</v>
      </c>
      <c r="Y481" s="9" t="s">
        <v>80</v>
      </c>
      <c r="Z481" s="9" t="s">
        <v>132</v>
      </c>
      <c r="AA481" s="9" t="s">
        <v>91</v>
      </c>
      <c r="AB481" s="9" t="s">
        <v>1296</v>
      </c>
      <c r="AC481" s="9">
        <v>8.0</v>
      </c>
      <c r="AD481" s="9">
        <v>6.0</v>
      </c>
      <c r="AE481" s="9">
        <v>0.0</v>
      </c>
      <c r="AF481" s="9">
        <v>3000.0</v>
      </c>
      <c r="AG481" s="9" t="s">
        <v>42</v>
      </c>
    </row>
    <row r="482">
      <c r="A482" s="7">
        <v>44415.89479446759</v>
      </c>
      <c r="B482" s="9" t="s">
        <v>49</v>
      </c>
      <c r="C482" s="9">
        <v>30.0</v>
      </c>
      <c r="D482" s="9" t="s">
        <v>35</v>
      </c>
      <c r="E482" s="9" t="s">
        <v>36</v>
      </c>
      <c r="F482" s="9" t="s">
        <v>50</v>
      </c>
      <c r="G482" s="9" t="s">
        <v>99</v>
      </c>
      <c r="H482" s="9" t="s">
        <v>38</v>
      </c>
      <c r="I482" s="9" t="s">
        <v>2467</v>
      </c>
      <c r="J482" s="9" t="s">
        <v>2421</v>
      </c>
      <c r="K482" s="9" t="s">
        <v>39</v>
      </c>
      <c r="L482" s="9" t="s">
        <v>40</v>
      </c>
      <c r="M482" s="9" t="s">
        <v>40</v>
      </c>
      <c r="P482" s="9" t="s">
        <v>119</v>
      </c>
      <c r="Q482" s="9" t="s">
        <v>42</v>
      </c>
      <c r="R482" s="9">
        <v>9350.0</v>
      </c>
      <c r="S482" s="9">
        <v>18000.0</v>
      </c>
      <c r="U482" s="9">
        <v>16.0</v>
      </c>
      <c r="V482" s="9" t="s">
        <v>1336</v>
      </c>
      <c r="W482" s="9" t="s">
        <v>1337</v>
      </c>
      <c r="X482" s="9" t="s">
        <v>1338</v>
      </c>
      <c r="Y482" s="9" t="s">
        <v>70</v>
      </c>
      <c r="Z482" s="9" t="s">
        <v>132</v>
      </c>
      <c r="AA482" s="9" t="s">
        <v>91</v>
      </c>
      <c r="AB482" s="9" t="s">
        <v>1339</v>
      </c>
      <c r="AC482" s="9">
        <v>7.0</v>
      </c>
      <c r="AD482" s="9">
        <v>8.0</v>
      </c>
      <c r="AE482" s="9">
        <v>3.0</v>
      </c>
      <c r="AF482" s="9">
        <v>3000.0</v>
      </c>
      <c r="AG482" s="9" t="s">
        <v>42</v>
      </c>
    </row>
    <row r="483">
      <c r="A483" s="7">
        <v>44415.926080370366</v>
      </c>
      <c r="B483" s="9" t="s">
        <v>49</v>
      </c>
      <c r="C483" s="9">
        <v>27.0</v>
      </c>
      <c r="D483" s="9" t="s">
        <v>142</v>
      </c>
      <c r="E483" s="9" t="s">
        <v>36</v>
      </c>
      <c r="G483" s="9" t="s">
        <v>349</v>
      </c>
      <c r="H483" s="9" t="s">
        <v>38</v>
      </c>
      <c r="I483" s="9" t="s">
        <v>2368</v>
      </c>
      <c r="J483" s="9" t="s">
        <v>2464</v>
      </c>
      <c r="K483" s="9" t="s">
        <v>39</v>
      </c>
      <c r="L483" s="9" t="s">
        <v>40</v>
      </c>
      <c r="M483" s="9" t="s">
        <v>39</v>
      </c>
      <c r="O483" s="9" t="s">
        <v>1348</v>
      </c>
      <c r="P483" s="9" t="s">
        <v>128</v>
      </c>
      <c r="Q483" s="9" t="s">
        <v>42</v>
      </c>
      <c r="R483" s="9">
        <v>5830.0</v>
      </c>
      <c r="S483" s="9">
        <v>2520.0</v>
      </c>
      <c r="T483" s="9">
        <v>0.0</v>
      </c>
      <c r="U483" s="9">
        <v>18.0</v>
      </c>
      <c r="V483" s="9" t="s">
        <v>1349</v>
      </c>
      <c r="W483" s="23" t="s">
        <v>1350</v>
      </c>
      <c r="X483" s="9" t="s">
        <v>122</v>
      </c>
      <c r="Y483" s="9" t="s">
        <v>59</v>
      </c>
      <c r="Z483" s="9" t="s">
        <v>81</v>
      </c>
      <c r="AA483" s="9" t="s">
        <v>61</v>
      </c>
      <c r="AB483" s="9" t="s">
        <v>1351</v>
      </c>
      <c r="AC483" s="9">
        <v>7.0</v>
      </c>
      <c r="AD483" s="9">
        <v>6.0</v>
      </c>
      <c r="AE483" s="9">
        <v>1.0</v>
      </c>
      <c r="AF483" s="9">
        <v>3000.0</v>
      </c>
      <c r="AG483" s="9" t="s">
        <v>42</v>
      </c>
    </row>
    <row r="484">
      <c r="A484" s="7">
        <v>44416.554201527775</v>
      </c>
      <c r="B484" s="9" t="s">
        <v>49</v>
      </c>
      <c r="C484" s="9">
        <v>24.0</v>
      </c>
      <c r="D484" s="9" t="s">
        <v>35</v>
      </c>
      <c r="E484" s="9" t="s">
        <v>36</v>
      </c>
      <c r="F484" s="9" t="s">
        <v>363</v>
      </c>
      <c r="G484" s="9" t="s">
        <v>2625</v>
      </c>
      <c r="H484" s="9" t="s">
        <v>38</v>
      </c>
      <c r="I484" s="9" t="s">
        <v>3202</v>
      </c>
      <c r="J484" s="9" t="s">
        <v>3203</v>
      </c>
      <c r="K484" s="9" t="s">
        <v>39</v>
      </c>
      <c r="L484" s="9" t="s">
        <v>39</v>
      </c>
      <c r="M484" s="9" t="s">
        <v>40</v>
      </c>
      <c r="N484" s="9" t="s">
        <v>1992</v>
      </c>
      <c r="P484" s="9" t="s">
        <v>3204</v>
      </c>
      <c r="Q484" s="9" t="s">
        <v>42</v>
      </c>
      <c r="R484" s="9">
        <v>4000.0</v>
      </c>
      <c r="S484" s="9">
        <v>0.0</v>
      </c>
      <c r="T484" s="9">
        <v>0.0</v>
      </c>
      <c r="U484" s="9">
        <v>0.0</v>
      </c>
      <c r="V484" s="9" t="s">
        <v>1994</v>
      </c>
      <c r="W484" s="9" t="s">
        <v>1995</v>
      </c>
      <c r="X484" s="9" t="s">
        <v>2427</v>
      </c>
      <c r="Y484" s="9" t="s">
        <v>2488</v>
      </c>
      <c r="Z484" s="9" t="s">
        <v>132</v>
      </c>
      <c r="AA484" s="9" t="s">
        <v>133</v>
      </c>
      <c r="AB484" s="9" t="s">
        <v>1997</v>
      </c>
      <c r="AC484" s="9">
        <v>10.0</v>
      </c>
      <c r="AD484" s="9" t="s">
        <v>3205</v>
      </c>
      <c r="AE484" s="9">
        <v>0.0</v>
      </c>
      <c r="AF484" s="9">
        <v>4000.0</v>
      </c>
      <c r="AG484" s="9" t="s">
        <v>42</v>
      </c>
    </row>
    <row r="485">
      <c r="A485" s="7">
        <v>44416.567586296296</v>
      </c>
      <c r="B485" s="9" t="s">
        <v>49</v>
      </c>
      <c r="C485" s="9">
        <v>25.0</v>
      </c>
      <c r="D485" s="9" t="s">
        <v>35</v>
      </c>
      <c r="E485" s="9" t="s">
        <v>36</v>
      </c>
      <c r="F485" s="9" t="s">
        <v>124</v>
      </c>
      <c r="H485" s="9" t="s">
        <v>118</v>
      </c>
      <c r="K485" s="9" t="s">
        <v>890</v>
      </c>
      <c r="L485" s="9" t="s">
        <v>40</v>
      </c>
      <c r="M485" s="9" t="s">
        <v>40</v>
      </c>
      <c r="P485" s="9" t="s">
        <v>3121</v>
      </c>
      <c r="Q485" s="9" t="s">
        <v>42</v>
      </c>
      <c r="R485" s="9">
        <v>4000.0</v>
      </c>
      <c r="S485" s="9">
        <v>4000.0</v>
      </c>
      <c r="T485" s="9">
        <v>0.0</v>
      </c>
      <c r="U485" s="9">
        <v>7.0</v>
      </c>
      <c r="V485" s="9" t="s">
        <v>730</v>
      </c>
      <c r="W485" s="9" t="s">
        <v>3039</v>
      </c>
      <c r="X485" s="9" t="s">
        <v>124</v>
      </c>
      <c r="Y485" s="9" t="s">
        <v>159</v>
      </c>
      <c r="Z485" s="9" t="s">
        <v>60</v>
      </c>
      <c r="AA485" s="9" t="s">
        <v>61</v>
      </c>
      <c r="AC485" s="9">
        <v>5.0</v>
      </c>
      <c r="AD485" s="9">
        <v>1.5</v>
      </c>
      <c r="AE485" s="9">
        <v>1.0</v>
      </c>
      <c r="AF485" s="9">
        <v>2400.0</v>
      </c>
      <c r="AG485" s="9" t="s">
        <v>42</v>
      </c>
    </row>
    <row r="486">
      <c r="A486" s="7">
        <v>44416.66001306713</v>
      </c>
      <c r="B486" s="9" t="s">
        <v>49</v>
      </c>
      <c r="C486" s="9">
        <v>24.0</v>
      </c>
      <c r="D486" s="9" t="s">
        <v>35</v>
      </c>
      <c r="E486" s="9" t="s">
        <v>36</v>
      </c>
      <c r="H486" s="9" t="s">
        <v>38</v>
      </c>
      <c r="I486" s="9" t="s">
        <v>2368</v>
      </c>
      <c r="J486" s="9" t="s">
        <v>2781</v>
      </c>
      <c r="K486" s="9" t="s">
        <v>39</v>
      </c>
      <c r="L486" s="9" t="s">
        <v>40</v>
      </c>
      <c r="M486" s="9" t="s">
        <v>40</v>
      </c>
      <c r="P486" s="9" t="s">
        <v>3206</v>
      </c>
      <c r="Q486" s="9" t="s">
        <v>112</v>
      </c>
      <c r="R486" s="9">
        <v>15000.0</v>
      </c>
      <c r="U486" s="9">
        <v>0.0</v>
      </c>
      <c r="V486" s="9" t="s">
        <v>1752</v>
      </c>
      <c r="W486" s="9" t="s">
        <v>1753</v>
      </c>
      <c r="X486" s="9" t="s">
        <v>1754</v>
      </c>
      <c r="Y486" s="9" t="s">
        <v>105</v>
      </c>
      <c r="Z486" s="9" t="s">
        <v>71</v>
      </c>
      <c r="AA486" s="9" t="s">
        <v>61</v>
      </c>
      <c r="AC486" s="9">
        <v>10.0</v>
      </c>
      <c r="AD486" s="9">
        <v>5.0</v>
      </c>
      <c r="AE486" s="9">
        <v>3.0</v>
      </c>
      <c r="AF486" s="9">
        <v>3400.0</v>
      </c>
      <c r="AG486" s="9" t="s">
        <v>42</v>
      </c>
    </row>
    <row r="487">
      <c r="A487" s="7">
        <v>44416.911722986115</v>
      </c>
      <c r="B487" s="9" t="s">
        <v>49</v>
      </c>
      <c r="C487" s="9">
        <v>26.0</v>
      </c>
      <c r="D487" s="9" t="s">
        <v>35</v>
      </c>
      <c r="E487" s="9" t="s">
        <v>36</v>
      </c>
      <c r="F487" s="9" t="s">
        <v>349</v>
      </c>
      <c r="G487" s="9" t="s">
        <v>296</v>
      </c>
      <c r="H487" s="9" t="s">
        <v>38</v>
      </c>
      <c r="I487" s="9" t="s">
        <v>3207</v>
      </c>
      <c r="J487" s="9" t="s">
        <v>161</v>
      </c>
      <c r="K487" s="9" t="s">
        <v>39</v>
      </c>
      <c r="L487" s="9" t="s">
        <v>40</v>
      </c>
      <c r="M487" s="9" t="s">
        <v>40</v>
      </c>
      <c r="P487" s="9" t="s">
        <v>146</v>
      </c>
      <c r="Q487" s="9" t="s">
        <v>42</v>
      </c>
      <c r="R487" s="9">
        <v>4200.0</v>
      </c>
      <c r="S487" s="9">
        <v>2100.0</v>
      </c>
      <c r="T487" s="9">
        <v>0.0</v>
      </c>
      <c r="U487" s="9">
        <v>22.0</v>
      </c>
      <c r="V487" s="9" t="s">
        <v>1375</v>
      </c>
      <c r="W487" s="9" t="s">
        <v>1376</v>
      </c>
      <c r="X487" s="9" t="s">
        <v>122</v>
      </c>
      <c r="Y487" s="9" t="s">
        <v>1343</v>
      </c>
      <c r="Z487" s="9" t="s">
        <v>132</v>
      </c>
      <c r="AA487" s="9" t="s">
        <v>61</v>
      </c>
      <c r="AC487" s="9">
        <v>6.0</v>
      </c>
      <c r="AD487" s="9">
        <v>3.0</v>
      </c>
      <c r="AE487" s="9">
        <v>1.0</v>
      </c>
      <c r="AF487" s="9">
        <v>3000.0</v>
      </c>
      <c r="AG487" s="9" t="s">
        <v>42</v>
      </c>
    </row>
    <row r="488">
      <c r="A488" s="7">
        <v>44417.55943865741</v>
      </c>
      <c r="B488" s="9" t="s">
        <v>49</v>
      </c>
      <c r="C488" s="9">
        <v>32.0</v>
      </c>
      <c r="D488" s="9" t="s">
        <v>35</v>
      </c>
      <c r="E488" s="9" t="s">
        <v>36</v>
      </c>
      <c r="F488" s="9" t="s">
        <v>50</v>
      </c>
      <c r="G488" s="9" t="s">
        <v>539</v>
      </c>
      <c r="H488" s="9" t="s">
        <v>38</v>
      </c>
      <c r="I488" s="9" t="s">
        <v>3208</v>
      </c>
      <c r="J488" s="9" t="s">
        <v>2389</v>
      </c>
      <c r="K488" s="9" t="s">
        <v>39</v>
      </c>
      <c r="L488" s="9" t="s">
        <v>40</v>
      </c>
      <c r="M488" s="9" t="s">
        <v>40</v>
      </c>
      <c r="P488" s="9" t="s">
        <v>119</v>
      </c>
      <c r="Q488" s="9" t="s">
        <v>42</v>
      </c>
      <c r="R488" s="9">
        <v>5000.0</v>
      </c>
      <c r="S488" s="9">
        <v>0.0</v>
      </c>
      <c r="T488" s="9">
        <v>0.0</v>
      </c>
      <c r="U488" s="9">
        <v>-1.0</v>
      </c>
      <c r="V488" s="9" t="s">
        <v>540</v>
      </c>
      <c r="W488" s="9" t="s">
        <v>541</v>
      </c>
      <c r="X488" s="9" t="s">
        <v>131</v>
      </c>
      <c r="Y488" s="9" t="s">
        <v>97</v>
      </c>
      <c r="Z488" s="9" t="s">
        <v>47</v>
      </c>
      <c r="AA488" s="9" t="s">
        <v>48</v>
      </c>
      <c r="AC488" s="9">
        <v>2.0</v>
      </c>
      <c r="AD488" s="9">
        <v>10.0</v>
      </c>
      <c r="AE488" s="9">
        <v>3.0</v>
      </c>
      <c r="AF488" s="9">
        <v>2000.0</v>
      </c>
      <c r="AG488" s="9" t="s">
        <v>42</v>
      </c>
    </row>
    <row r="489">
      <c r="A489" s="7">
        <v>44417.68643184028</v>
      </c>
      <c r="B489" s="9" t="s">
        <v>49</v>
      </c>
      <c r="C489" s="9">
        <v>25.0</v>
      </c>
      <c r="D489" s="9" t="s">
        <v>35</v>
      </c>
      <c r="E489" s="9" t="s">
        <v>36</v>
      </c>
      <c r="F489" s="9" t="s">
        <v>3209</v>
      </c>
      <c r="G489" s="9" t="s">
        <v>124</v>
      </c>
      <c r="H489" s="9" t="s">
        <v>38</v>
      </c>
      <c r="I489" s="9" t="s">
        <v>2368</v>
      </c>
      <c r="J489" s="9" t="s">
        <v>3210</v>
      </c>
      <c r="K489" s="9" t="s">
        <v>39</v>
      </c>
      <c r="L489" s="9" t="s">
        <v>40</v>
      </c>
      <c r="M489" s="9" t="s">
        <v>40</v>
      </c>
      <c r="P489" s="9" t="s">
        <v>1278</v>
      </c>
      <c r="Q489" s="9" t="s">
        <v>42</v>
      </c>
      <c r="R489" s="9">
        <v>3500.0</v>
      </c>
      <c r="S489" s="9">
        <v>0.0</v>
      </c>
      <c r="T489" s="9">
        <v>0.0</v>
      </c>
      <c r="U489" s="9">
        <v>12.0</v>
      </c>
      <c r="V489" s="9" t="s">
        <v>523</v>
      </c>
      <c r="W489" s="9" t="s">
        <v>1664</v>
      </c>
      <c r="X489" s="9" t="s">
        <v>1665</v>
      </c>
      <c r="Y489" s="9" t="s">
        <v>159</v>
      </c>
      <c r="Z489" s="9" t="s">
        <v>71</v>
      </c>
      <c r="AA489" s="9" t="s">
        <v>61</v>
      </c>
      <c r="AC489" s="9">
        <v>5.0</v>
      </c>
      <c r="AD489" s="9">
        <v>1.0</v>
      </c>
      <c r="AE489" s="9">
        <v>0.0</v>
      </c>
      <c r="AF489" s="9">
        <v>3300.0</v>
      </c>
      <c r="AG489" s="9" t="s">
        <v>42</v>
      </c>
    </row>
    <row r="490">
      <c r="A490" s="7">
        <v>44417.86252792824</v>
      </c>
      <c r="B490" s="9" t="s">
        <v>49</v>
      </c>
      <c r="C490" s="9">
        <v>24.0</v>
      </c>
      <c r="D490" s="9" t="s">
        <v>34</v>
      </c>
      <c r="E490" s="9" t="s">
        <v>36</v>
      </c>
      <c r="F490" s="9" t="s">
        <v>50</v>
      </c>
      <c r="G490" s="9" t="s">
        <v>124</v>
      </c>
      <c r="H490" s="9" t="s">
        <v>38</v>
      </c>
      <c r="I490" s="9" t="s">
        <v>2368</v>
      </c>
      <c r="K490" s="9" t="s">
        <v>39</v>
      </c>
      <c r="L490" s="9" t="s">
        <v>40</v>
      </c>
      <c r="M490" s="9" t="s">
        <v>39</v>
      </c>
      <c r="O490" s="9" t="s">
        <v>543</v>
      </c>
      <c r="P490" s="9" t="s">
        <v>544</v>
      </c>
      <c r="Q490" s="9" t="s">
        <v>42</v>
      </c>
      <c r="R490" s="9">
        <v>8000.0</v>
      </c>
      <c r="S490" s="9">
        <v>0.0</v>
      </c>
      <c r="T490" s="9">
        <v>0.0</v>
      </c>
      <c r="U490" s="9">
        <v>0.0</v>
      </c>
      <c r="V490" s="9" t="s">
        <v>320</v>
      </c>
      <c r="W490" s="9" t="s">
        <v>545</v>
      </c>
      <c r="X490" s="9" t="s">
        <v>122</v>
      </c>
      <c r="Y490" s="9" t="s">
        <v>59</v>
      </c>
      <c r="Z490" s="9" t="s">
        <v>71</v>
      </c>
      <c r="AA490" s="9" t="s">
        <v>61</v>
      </c>
      <c r="AC490" s="9">
        <v>3.0</v>
      </c>
      <c r="AD490" s="9">
        <v>3.0</v>
      </c>
      <c r="AE490" s="9">
        <v>5.0</v>
      </c>
      <c r="AF490" s="9">
        <v>2000.0</v>
      </c>
      <c r="AG490" s="9" t="s">
        <v>42</v>
      </c>
    </row>
    <row r="491">
      <c r="A491" s="7">
        <v>44418.40999003472</v>
      </c>
      <c r="B491" s="9" t="s">
        <v>49</v>
      </c>
      <c r="C491" s="9">
        <v>28.0</v>
      </c>
      <c r="D491" s="9" t="s">
        <v>35</v>
      </c>
      <c r="E491" s="9" t="s">
        <v>36</v>
      </c>
      <c r="F491" s="9" t="s">
        <v>50</v>
      </c>
      <c r="G491" s="9" t="s">
        <v>124</v>
      </c>
      <c r="H491" s="9" t="s">
        <v>38</v>
      </c>
      <c r="I491" s="9" t="s">
        <v>2368</v>
      </c>
      <c r="J491" s="9" t="s">
        <v>3211</v>
      </c>
      <c r="K491" s="9" t="s">
        <v>39</v>
      </c>
      <c r="L491" s="9" t="s">
        <v>40</v>
      </c>
      <c r="M491" s="9" t="s">
        <v>40</v>
      </c>
      <c r="P491" s="9" t="s">
        <v>2838</v>
      </c>
      <c r="Q491" s="9" t="s">
        <v>42</v>
      </c>
      <c r="R491" s="9">
        <v>3500.0</v>
      </c>
      <c r="S491" s="9">
        <v>0.0</v>
      </c>
      <c r="T491" s="9">
        <v>0.0</v>
      </c>
      <c r="U491" s="9">
        <v>14.0</v>
      </c>
      <c r="V491" s="9" t="s">
        <v>157</v>
      </c>
      <c r="W491" s="9" t="s">
        <v>158</v>
      </c>
      <c r="X491" s="9" t="s">
        <v>122</v>
      </c>
      <c r="Y491" s="9" t="s">
        <v>159</v>
      </c>
      <c r="Z491" s="9" t="s">
        <v>71</v>
      </c>
      <c r="AA491" s="9" t="s">
        <v>61</v>
      </c>
      <c r="AC491" s="9">
        <v>6.0</v>
      </c>
      <c r="AD491" s="9">
        <v>0.5</v>
      </c>
      <c r="AE491" s="9">
        <v>0.0</v>
      </c>
      <c r="AF491" s="9">
        <v>800.0</v>
      </c>
      <c r="AG491" s="9">
        <v>0.0</v>
      </c>
    </row>
    <row r="492">
      <c r="A492" s="7">
        <v>44420.11103177084</v>
      </c>
      <c r="B492" s="9" t="s">
        <v>49</v>
      </c>
      <c r="C492" s="9">
        <v>30.0</v>
      </c>
      <c r="D492" s="9" t="s">
        <v>35</v>
      </c>
      <c r="E492" s="9" t="s">
        <v>36</v>
      </c>
      <c r="F492" s="9" t="s">
        <v>50</v>
      </c>
      <c r="G492" s="9" t="s">
        <v>1704</v>
      </c>
      <c r="H492" s="9" t="s">
        <v>38</v>
      </c>
      <c r="I492" s="9" t="s">
        <v>2978</v>
      </c>
      <c r="J492" s="9" t="s">
        <v>2421</v>
      </c>
      <c r="K492" s="9" t="s">
        <v>39</v>
      </c>
      <c r="L492" s="9" t="s">
        <v>40</v>
      </c>
      <c r="M492" s="9" t="s">
        <v>40</v>
      </c>
      <c r="P492" s="9" t="s">
        <v>3212</v>
      </c>
      <c r="Q492" s="9" t="s">
        <v>2934</v>
      </c>
      <c r="R492" s="9">
        <v>8200.0</v>
      </c>
      <c r="S492" s="9">
        <v>0.0</v>
      </c>
      <c r="T492" s="9">
        <v>0.0</v>
      </c>
      <c r="U492" s="9">
        <v>14.0</v>
      </c>
      <c r="V492" s="9" t="s">
        <v>1676</v>
      </c>
      <c r="W492" s="9" t="s">
        <v>731</v>
      </c>
      <c r="X492" s="9" t="s">
        <v>122</v>
      </c>
      <c r="Y492" s="9" t="s">
        <v>1677</v>
      </c>
      <c r="Z492" s="9" t="s">
        <v>90</v>
      </c>
      <c r="AA492" s="9" t="s">
        <v>611</v>
      </c>
      <c r="AB492" s="9" t="s">
        <v>1678</v>
      </c>
      <c r="AC492" s="9">
        <v>7.0</v>
      </c>
      <c r="AD492" s="9">
        <v>7.0</v>
      </c>
      <c r="AE492" s="9">
        <v>5.0</v>
      </c>
      <c r="AF492" s="9">
        <v>3300.0</v>
      </c>
      <c r="AG492" s="9" t="s">
        <v>42</v>
      </c>
    </row>
    <row r="493">
      <c r="A493" s="7">
        <v>44420.5477321412</v>
      </c>
      <c r="B493" s="9" t="s">
        <v>73</v>
      </c>
      <c r="C493" s="9">
        <v>33.0</v>
      </c>
      <c r="D493" s="9" t="s">
        <v>35</v>
      </c>
      <c r="E493" s="9" t="s">
        <v>36</v>
      </c>
      <c r="F493" s="9" t="s">
        <v>50</v>
      </c>
      <c r="G493" s="9" t="s">
        <v>2651</v>
      </c>
      <c r="H493" s="9" t="s">
        <v>3090</v>
      </c>
      <c r="I493" s="9" t="s">
        <v>3213</v>
      </c>
      <c r="J493" s="9" t="s">
        <v>2385</v>
      </c>
      <c r="K493" s="9" t="s">
        <v>39</v>
      </c>
      <c r="L493" s="9" t="s">
        <v>40</v>
      </c>
      <c r="M493" s="9" t="s">
        <v>40</v>
      </c>
      <c r="P493" s="9" t="s">
        <v>2242</v>
      </c>
      <c r="Q493" s="9" t="s">
        <v>42</v>
      </c>
      <c r="R493" s="9">
        <v>8150.0</v>
      </c>
      <c r="S493" s="9">
        <v>7900.0</v>
      </c>
      <c r="T493" s="9">
        <v>0.0</v>
      </c>
      <c r="U493" s="9">
        <v>14.0</v>
      </c>
      <c r="V493" s="9" t="s">
        <v>2243</v>
      </c>
      <c r="W493" s="9" t="s">
        <v>2244</v>
      </c>
      <c r="X493" s="9" t="s">
        <v>246</v>
      </c>
      <c r="Y493" s="9" t="s">
        <v>2245</v>
      </c>
      <c r="Z493" s="9" t="s">
        <v>47</v>
      </c>
      <c r="AA493" s="9" t="s">
        <v>61</v>
      </c>
      <c r="AC493" s="9">
        <v>8.0</v>
      </c>
      <c r="AD493" s="9">
        <v>4.0</v>
      </c>
      <c r="AE493" s="9">
        <v>0.0</v>
      </c>
      <c r="AF493" s="9">
        <v>7000.0</v>
      </c>
      <c r="AG493" s="9" t="s">
        <v>42</v>
      </c>
    </row>
    <row r="494">
      <c r="A494" s="7">
        <v>44421.548946469906</v>
      </c>
      <c r="B494" s="9" t="s">
        <v>49</v>
      </c>
      <c r="C494" s="9">
        <v>29.0</v>
      </c>
      <c r="D494" s="9" t="s">
        <v>35</v>
      </c>
      <c r="E494" s="9" t="s">
        <v>246</v>
      </c>
      <c r="F494" s="9" t="s">
        <v>246</v>
      </c>
      <c r="G494" s="9" t="s">
        <v>246</v>
      </c>
      <c r="H494" s="9" t="s">
        <v>38</v>
      </c>
      <c r="K494" s="9" t="s">
        <v>39</v>
      </c>
      <c r="L494" s="9" t="s">
        <v>40</v>
      </c>
      <c r="M494" s="9" t="s">
        <v>40</v>
      </c>
      <c r="P494" s="9" t="s">
        <v>128</v>
      </c>
      <c r="Q494" s="9" t="s">
        <v>250</v>
      </c>
      <c r="R494" s="9">
        <v>6800.0</v>
      </c>
      <c r="S494" s="9">
        <v>0.0</v>
      </c>
      <c r="U494" s="9">
        <v>16.0</v>
      </c>
      <c r="V494" s="9" t="s">
        <v>393</v>
      </c>
      <c r="W494" s="9" t="s">
        <v>1331</v>
      </c>
      <c r="X494" s="9" t="s">
        <v>246</v>
      </c>
      <c r="Y494" s="9" t="s">
        <v>59</v>
      </c>
      <c r="Z494" s="9" t="s">
        <v>71</v>
      </c>
      <c r="AA494" s="9" t="s">
        <v>61</v>
      </c>
      <c r="AC494" s="9">
        <v>8.0</v>
      </c>
      <c r="AD494" s="9">
        <v>7.0</v>
      </c>
      <c r="AE494" s="9">
        <v>2.0</v>
      </c>
      <c r="AF494" s="9">
        <v>3000.0</v>
      </c>
      <c r="AG494" s="9" t="s">
        <v>42</v>
      </c>
    </row>
    <row r="495">
      <c r="A495" s="7">
        <v>44421.55735765046</v>
      </c>
      <c r="B495" s="9" t="s">
        <v>49</v>
      </c>
      <c r="C495" s="9">
        <v>27.0</v>
      </c>
      <c r="D495" s="9" t="s">
        <v>35</v>
      </c>
      <c r="E495" s="9" t="s">
        <v>36</v>
      </c>
      <c r="F495" s="9" t="s">
        <v>50</v>
      </c>
      <c r="G495" s="9" t="s">
        <v>51</v>
      </c>
      <c r="H495" s="9" t="s">
        <v>302</v>
      </c>
      <c r="K495" s="9" t="s">
        <v>39</v>
      </c>
      <c r="L495" s="9" t="s">
        <v>40</v>
      </c>
      <c r="M495" s="9" t="s">
        <v>40</v>
      </c>
      <c r="P495" s="9" t="s">
        <v>2209</v>
      </c>
      <c r="Q495" s="9" t="s">
        <v>42</v>
      </c>
      <c r="R495" s="9">
        <v>6000.0</v>
      </c>
      <c r="S495" s="9">
        <v>0.0</v>
      </c>
      <c r="T495" s="9">
        <v>0.0</v>
      </c>
      <c r="U495" s="9">
        <v>15.0</v>
      </c>
      <c r="V495" s="9" t="s">
        <v>1044</v>
      </c>
      <c r="W495" s="9" t="s">
        <v>457</v>
      </c>
      <c r="X495" s="9" t="s">
        <v>58</v>
      </c>
      <c r="Y495" s="9" t="s">
        <v>159</v>
      </c>
      <c r="Z495" s="9" t="s">
        <v>71</v>
      </c>
      <c r="AA495" s="9" t="s">
        <v>61</v>
      </c>
      <c r="AC495" s="9">
        <v>2.0</v>
      </c>
      <c r="AD495" s="9">
        <v>5.0</v>
      </c>
      <c r="AE495" s="9">
        <v>1.0</v>
      </c>
      <c r="AF495" s="9">
        <v>6000.0</v>
      </c>
      <c r="AG495" s="9" t="s">
        <v>42</v>
      </c>
    </row>
    <row r="496">
      <c r="A496" s="7">
        <v>44421.57771056713</v>
      </c>
      <c r="B496" s="9" t="s">
        <v>49</v>
      </c>
      <c r="C496" s="9">
        <v>25.0</v>
      </c>
      <c r="D496" s="9" t="s">
        <v>35</v>
      </c>
      <c r="E496" s="9" t="s">
        <v>36</v>
      </c>
      <c r="F496" s="9" t="s">
        <v>124</v>
      </c>
      <c r="G496" s="9" t="s">
        <v>296</v>
      </c>
      <c r="H496" s="9" t="s">
        <v>38</v>
      </c>
      <c r="I496" s="9" t="s">
        <v>2368</v>
      </c>
      <c r="J496" s="9" t="s">
        <v>3214</v>
      </c>
      <c r="K496" s="9" t="s">
        <v>39</v>
      </c>
      <c r="L496" s="9" t="s">
        <v>40</v>
      </c>
      <c r="M496" s="9" t="s">
        <v>40</v>
      </c>
      <c r="P496" s="9" t="s">
        <v>3215</v>
      </c>
      <c r="Q496" s="9" t="s">
        <v>42</v>
      </c>
      <c r="R496" s="9">
        <v>3500.0</v>
      </c>
      <c r="S496" s="9">
        <v>6000.0</v>
      </c>
      <c r="T496" s="9">
        <v>0.0</v>
      </c>
      <c r="U496" s="9">
        <v>14.0</v>
      </c>
      <c r="V496" s="9" t="s">
        <v>1289</v>
      </c>
      <c r="W496" s="9" t="s">
        <v>1290</v>
      </c>
      <c r="X496" s="9" t="s">
        <v>122</v>
      </c>
      <c r="Y496" s="9" t="s">
        <v>155</v>
      </c>
      <c r="Z496" s="9" t="s">
        <v>132</v>
      </c>
      <c r="AA496" s="9" t="s">
        <v>61</v>
      </c>
      <c r="AB496" s="9" t="s">
        <v>1291</v>
      </c>
      <c r="AC496" s="9">
        <v>6.0</v>
      </c>
      <c r="AD496" s="9">
        <v>2.0</v>
      </c>
      <c r="AE496" s="9">
        <v>0.0</v>
      </c>
      <c r="AF496" s="9">
        <v>3000.0</v>
      </c>
      <c r="AG496" s="9" t="s">
        <v>42</v>
      </c>
    </row>
    <row r="497">
      <c r="A497" s="7">
        <v>44421.68092247685</v>
      </c>
      <c r="B497" s="9" t="s">
        <v>49</v>
      </c>
      <c r="C497" s="9">
        <v>30.0</v>
      </c>
      <c r="D497" s="9" t="s">
        <v>35</v>
      </c>
      <c r="E497" s="9" t="s">
        <v>36</v>
      </c>
      <c r="F497" s="9" t="s">
        <v>124</v>
      </c>
      <c r="G497" s="9" t="s">
        <v>124</v>
      </c>
      <c r="H497" s="9" t="s">
        <v>38</v>
      </c>
      <c r="I497" s="9" t="s">
        <v>3216</v>
      </c>
      <c r="J497" s="9" t="s">
        <v>2527</v>
      </c>
      <c r="K497" s="9" t="s">
        <v>40</v>
      </c>
      <c r="L497" s="9" t="s">
        <v>40</v>
      </c>
      <c r="M497" s="9" t="s">
        <v>40</v>
      </c>
      <c r="P497" s="9" t="s">
        <v>128</v>
      </c>
      <c r="Q497" s="9" t="s">
        <v>42</v>
      </c>
      <c r="R497" s="9">
        <v>8000.0</v>
      </c>
      <c r="S497" s="9">
        <v>0.0</v>
      </c>
      <c r="T497" s="9">
        <v>0.0</v>
      </c>
      <c r="U497" s="9">
        <v>16.0</v>
      </c>
      <c r="V497" s="9" t="s">
        <v>2010</v>
      </c>
      <c r="W497" s="9" t="s">
        <v>2011</v>
      </c>
      <c r="X497" s="9" t="s">
        <v>122</v>
      </c>
      <c r="Y497" s="9" t="s">
        <v>297</v>
      </c>
      <c r="Z497" s="9" t="s">
        <v>71</v>
      </c>
      <c r="AA497" s="9" t="s">
        <v>61</v>
      </c>
      <c r="AC497" s="9">
        <v>8.0</v>
      </c>
      <c r="AD497" s="9">
        <v>2.0</v>
      </c>
      <c r="AE497" s="9">
        <v>2.0</v>
      </c>
      <c r="AF497" s="9">
        <v>4000.0</v>
      </c>
      <c r="AG497" s="9" t="s">
        <v>42</v>
      </c>
    </row>
    <row r="498">
      <c r="A498" s="7">
        <v>44421.739320162036</v>
      </c>
      <c r="B498" s="9" t="s">
        <v>49</v>
      </c>
      <c r="C498" s="9">
        <v>34.0</v>
      </c>
      <c r="D498" s="9" t="s">
        <v>35</v>
      </c>
      <c r="E498" s="9" t="s">
        <v>36</v>
      </c>
      <c r="F498" s="9" t="s">
        <v>50</v>
      </c>
      <c r="G498" s="9" t="s">
        <v>3217</v>
      </c>
      <c r="H498" s="9" t="s">
        <v>38</v>
      </c>
      <c r="I498" s="9" t="s">
        <v>2368</v>
      </c>
      <c r="J498" s="9" t="s">
        <v>2472</v>
      </c>
      <c r="K498" s="9" t="s">
        <v>39</v>
      </c>
      <c r="L498" s="9" t="s">
        <v>40</v>
      </c>
      <c r="M498" s="9" t="s">
        <v>39</v>
      </c>
      <c r="O498" s="9" t="s">
        <v>2203</v>
      </c>
      <c r="P498" s="9" t="s">
        <v>128</v>
      </c>
      <c r="Q498" s="9" t="s">
        <v>42</v>
      </c>
      <c r="R498" s="9">
        <v>5500.0</v>
      </c>
      <c r="S498" s="9">
        <v>0.0</v>
      </c>
      <c r="T498" s="9">
        <v>0.0</v>
      </c>
      <c r="U498" s="9">
        <v>15.0</v>
      </c>
      <c r="V498" s="9" t="s">
        <v>500</v>
      </c>
      <c r="W498" s="9" t="s">
        <v>163</v>
      </c>
      <c r="X498" s="9" t="s">
        <v>58</v>
      </c>
      <c r="Y498" s="9" t="s">
        <v>481</v>
      </c>
      <c r="Z498" s="9" t="s">
        <v>60</v>
      </c>
      <c r="AA498" s="9" t="s">
        <v>61</v>
      </c>
      <c r="AC498" s="9">
        <v>4.0</v>
      </c>
      <c r="AD498" s="9">
        <v>12.0</v>
      </c>
      <c r="AE498" s="9">
        <v>4.0</v>
      </c>
      <c r="AF498" s="9">
        <v>5500.0</v>
      </c>
      <c r="AG498" s="9" t="s">
        <v>42</v>
      </c>
    </row>
    <row r="499">
      <c r="A499" s="7">
        <v>44421.761887546294</v>
      </c>
      <c r="B499" s="9" t="s">
        <v>49</v>
      </c>
      <c r="C499" s="9">
        <v>31.0</v>
      </c>
      <c r="D499" s="9" t="s">
        <v>35</v>
      </c>
      <c r="E499" s="9" t="s">
        <v>36</v>
      </c>
      <c r="F499" s="9" t="s">
        <v>2649</v>
      </c>
      <c r="G499" s="9" t="s">
        <v>124</v>
      </c>
      <c r="H499" s="9" t="s">
        <v>38</v>
      </c>
      <c r="I499" s="9" t="s">
        <v>3218</v>
      </c>
      <c r="J499" s="9" t="s">
        <v>821</v>
      </c>
      <c r="K499" s="9" t="s">
        <v>39</v>
      </c>
      <c r="L499" s="9" t="s">
        <v>40</v>
      </c>
      <c r="M499" s="9" t="s">
        <v>40</v>
      </c>
      <c r="P499" s="9" t="s">
        <v>3219</v>
      </c>
      <c r="Q499" s="9" t="s">
        <v>42</v>
      </c>
      <c r="R499" s="9">
        <v>7500.0</v>
      </c>
      <c r="S499" s="9">
        <v>6500.0</v>
      </c>
      <c r="T499" s="9">
        <v>0.0</v>
      </c>
      <c r="U499" s="9">
        <v>20.0</v>
      </c>
      <c r="V499" s="9" t="s">
        <v>822</v>
      </c>
      <c r="W499" s="9" t="s">
        <v>224</v>
      </c>
      <c r="X499" s="9" t="s">
        <v>122</v>
      </c>
      <c r="Y499" s="9" t="s">
        <v>59</v>
      </c>
      <c r="Z499" s="9" t="s">
        <v>81</v>
      </c>
      <c r="AA499" s="9" t="s">
        <v>61</v>
      </c>
      <c r="AC499" s="9">
        <v>8.0</v>
      </c>
      <c r="AD499" s="9">
        <v>7.0</v>
      </c>
      <c r="AE499" s="9">
        <v>2.0</v>
      </c>
      <c r="AF499" s="9">
        <v>2500.0</v>
      </c>
      <c r="AG499" s="9" t="s">
        <v>42</v>
      </c>
    </row>
    <row r="500">
      <c r="A500" s="7">
        <v>44421.820334131946</v>
      </c>
      <c r="B500" s="9" t="s">
        <v>49</v>
      </c>
      <c r="C500" s="9">
        <v>26.0</v>
      </c>
      <c r="D500" s="9" t="s">
        <v>35</v>
      </c>
      <c r="E500" s="9" t="s">
        <v>36</v>
      </c>
      <c r="F500" s="9" t="s">
        <v>363</v>
      </c>
      <c r="G500" s="9" t="s">
        <v>1812</v>
      </c>
      <c r="H500" s="9" t="s">
        <v>38</v>
      </c>
      <c r="I500" s="9" t="s">
        <v>2368</v>
      </c>
      <c r="J500" s="9" t="s">
        <v>2666</v>
      </c>
      <c r="K500" s="9" t="s">
        <v>39</v>
      </c>
      <c r="L500" s="9" t="s">
        <v>40</v>
      </c>
      <c r="M500" s="9" t="s">
        <v>40</v>
      </c>
      <c r="P500" s="9" t="s">
        <v>2708</v>
      </c>
      <c r="Q500" s="9" t="s">
        <v>42</v>
      </c>
      <c r="R500" s="9">
        <v>4200.0</v>
      </c>
      <c r="S500" s="9">
        <v>8000.0</v>
      </c>
      <c r="T500" s="9">
        <v>0.0</v>
      </c>
      <c r="U500" s="9">
        <v>16.0</v>
      </c>
      <c r="V500" s="9" t="s">
        <v>1813</v>
      </c>
      <c r="W500" s="9" t="s">
        <v>1814</v>
      </c>
      <c r="X500" s="9" t="s">
        <v>79</v>
      </c>
      <c r="Y500" s="9" t="s">
        <v>80</v>
      </c>
      <c r="Z500" s="9" t="s">
        <v>60</v>
      </c>
      <c r="AA500" s="9" t="s">
        <v>61</v>
      </c>
      <c r="AC500" s="9">
        <v>7.0</v>
      </c>
      <c r="AD500" s="9">
        <v>2.0</v>
      </c>
      <c r="AE500" s="9">
        <v>0.0</v>
      </c>
      <c r="AF500" s="9">
        <v>3500.0</v>
      </c>
      <c r="AG500" s="9" t="s">
        <v>42</v>
      </c>
    </row>
    <row r="501">
      <c r="A501" s="7">
        <v>44421.82445560185</v>
      </c>
      <c r="B501" s="9" t="s">
        <v>49</v>
      </c>
      <c r="C501" s="9">
        <v>28.0</v>
      </c>
      <c r="D501" s="9" t="s">
        <v>35</v>
      </c>
      <c r="E501" s="9" t="s">
        <v>36</v>
      </c>
      <c r="F501" s="9" t="s">
        <v>50</v>
      </c>
      <c r="G501" s="9" t="s">
        <v>106</v>
      </c>
      <c r="H501" s="9" t="s">
        <v>38</v>
      </c>
      <c r="I501" s="9" t="s">
        <v>2413</v>
      </c>
      <c r="J501" s="9" t="s">
        <v>2389</v>
      </c>
      <c r="K501" s="9" t="s">
        <v>39</v>
      </c>
      <c r="L501" s="9" t="s">
        <v>40</v>
      </c>
      <c r="M501" s="9" t="s">
        <v>40</v>
      </c>
      <c r="P501" s="9" t="s">
        <v>119</v>
      </c>
      <c r="Q501" s="9" t="s">
        <v>42</v>
      </c>
      <c r="R501" s="9">
        <v>7500.0</v>
      </c>
      <c r="S501" s="9">
        <v>22500.0</v>
      </c>
      <c r="T501" s="9">
        <v>0.0</v>
      </c>
      <c r="U501" s="9">
        <v>18.0</v>
      </c>
      <c r="V501" s="9" t="s">
        <v>1355</v>
      </c>
      <c r="W501" s="9" t="s">
        <v>1356</v>
      </c>
      <c r="X501" s="9" t="s">
        <v>122</v>
      </c>
      <c r="Y501" s="9" t="s">
        <v>297</v>
      </c>
      <c r="Z501" s="9" t="s">
        <v>71</v>
      </c>
      <c r="AA501" s="9" t="s">
        <v>61</v>
      </c>
      <c r="AC501" s="9">
        <v>7.0</v>
      </c>
      <c r="AD501" s="9">
        <v>6.0</v>
      </c>
      <c r="AE501" s="9">
        <v>0.0</v>
      </c>
      <c r="AF501" s="9">
        <v>3000.0</v>
      </c>
      <c r="AG501" s="9" t="s">
        <v>42</v>
      </c>
    </row>
    <row r="502">
      <c r="A502" s="7">
        <v>44421.87587256945</v>
      </c>
      <c r="B502" s="9" t="s">
        <v>49</v>
      </c>
      <c r="C502" s="9">
        <v>29.0</v>
      </c>
      <c r="D502" s="9" t="s">
        <v>35</v>
      </c>
      <c r="E502" s="9" t="s">
        <v>36</v>
      </c>
      <c r="F502" s="9" t="s">
        <v>124</v>
      </c>
      <c r="G502" s="9" t="s">
        <v>124</v>
      </c>
      <c r="H502" s="9" t="s">
        <v>38</v>
      </c>
      <c r="I502" s="9" t="s">
        <v>2701</v>
      </c>
      <c r="J502" s="9" t="s">
        <v>1217</v>
      </c>
      <c r="K502" s="9" t="s">
        <v>39</v>
      </c>
      <c r="L502" s="9" t="s">
        <v>40</v>
      </c>
      <c r="M502" s="9" t="s">
        <v>39</v>
      </c>
      <c r="O502" s="9" t="s">
        <v>1794</v>
      </c>
      <c r="P502" s="9" t="s">
        <v>2985</v>
      </c>
      <c r="Q502" s="9" t="s">
        <v>42</v>
      </c>
      <c r="R502" s="9">
        <v>7500.0</v>
      </c>
      <c r="S502" s="9" t="s">
        <v>3220</v>
      </c>
      <c r="T502" s="9">
        <v>0.0</v>
      </c>
      <c r="U502" s="9">
        <v>10.0</v>
      </c>
      <c r="V502" s="9" t="s">
        <v>2207</v>
      </c>
      <c r="W502" s="9" t="s">
        <v>2208</v>
      </c>
      <c r="X502" s="9" t="s">
        <v>106</v>
      </c>
      <c r="Y502" s="9" t="s">
        <v>297</v>
      </c>
      <c r="Z502" s="9" t="s">
        <v>132</v>
      </c>
      <c r="AA502" s="9" t="s">
        <v>91</v>
      </c>
      <c r="AC502" s="9">
        <v>3.0</v>
      </c>
      <c r="AD502" s="9">
        <v>4.0</v>
      </c>
      <c r="AE502" s="9">
        <v>5.0</v>
      </c>
      <c r="AF502" s="9">
        <v>6000.0</v>
      </c>
      <c r="AG502" s="9" t="s">
        <v>42</v>
      </c>
    </row>
    <row r="503">
      <c r="A503" s="7">
        <v>44421.90924084491</v>
      </c>
      <c r="B503" s="9" t="s">
        <v>49</v>
      </c>
      <c r="C503" s="9">
        <v>24.0</v>
      </c>
      <c r="D503" s="9" t="s">
        <v>35</v>
      </c>
      <c r="E503" s="9" t="s">
        <v>36</v>
      </c>
      <c r="F503" s="9" t="s">
        <v>186</v>
      </c>
      <c r="G503" s="9" t="s">
        <v>186</v>
      </c>
      <c r="H503" s="9" t="s">
        <v>38</v>
      </c>
      <c r="I503" s="9" t="s">
        <v>3221</v>
      </c>
      <c r="J503" s="9" t="s">
        <v>3222</v>
      </c>
      <c r="K503" s="9" t="s">
        <v>39</v>
      </c>
      <c r="L503" s="9" t="s">
        <v>40</v>
      </c>
      <c r="M503" s="9" t="s">
        <v>39</v>
      </c>
      <c r="O503" s="9" t="s">
        <v>1231</v>
      </c>
      <c r="P503" s="9" t="s">
        <v>746</v>
      </c>
      <c r="Q503" s="9" t="s">
        <v>42</v>
      </c>
      <c r="R503" s="9">
        <v>3000.0</v>
      </c>
      <c r="S503" s="9">
        <v>0.0</v>
      </c>
      <c r="T503" s="9">
        <v>0.0</v>
      </c>
      <c r="U503" s="9">
        <v>0.0</v>
      </c>
      <c r="V503" s="9" t="s">
        <v>1232</v>
      </c>
      <c r="W503" s="9" t="s">
        <v>1233</v>
      </c>
      <c r="X503" s="9" t="s">
        <v>58</v>
      </c>
      <c r="Y503" s="9" t="s">
        <v>140</v>
      </c>
      <c r="Z503" s="9" t="s">
        <v>71</v>
      </c>
      <c r="AA503" s="9" t="s">
        <v>48</v>
      </c>
      <c r="AC503" s="9">
        <v>4.0</v>
      </c>
      <c r="AD503" s="9">
        <v>1.0</v>
      </c>
      <c r="AE503" s="9">
        <v>3.0</v>
      </c>
      <c r="AF503" s="9">
        <v>3000.0</v>
      </c>
      <c r="AG503" s="9" t="s">
        <v>42</v>
      </c>
    </row>
    <row r="504">
      <c r="A504" s="7">
        <v>44421.97171603009</v>
      </c>
      <c r="B504" s="9" t="s">
        <v>49</v>
      </c>
      <c r="C504" s="9">
        <v>29.0</v>
      </c>
      <c r="D504" s="9" t="s">
        <v>35</v>
      </c>
      <c r="E504" s="9" t="s">
        <v>36</v>
      </c>
      <c r="F504" s="9" t="s">
        <v>50</v>
      </c>
      <c r="G504" s="9" t="s">
        <v>493</v>
      </c>
      <c r="H504" s="9" t="s">
        <v>38</v>
      </c>
      <c r="I504" s="9" t="s">
        <v>2565</v>
      </c>
      <c r="J504" s="9" t="s">
        <v>1692</v>
      </c>
      <c r="K504" s="9" t="s">
        <v>39</v>
      </c>
      <c r="L504" s="9" t="s">
        <v>40</v>
      </c>
      <c r="M504" s="9" t="s">
        <v>39</v>
      </c>
      <c r="O504" s="9" t="s">
        <v>1693</v>
      </c>
      <c r="P504" s="9" t="s">
        <v>3223</v>
      </c>
      <c r="Q504" s="9" t="s">
        <v>250</v>
      </c>
      <c r="R504" s="9">
        <v>6400.0</v>
      </c>
      <c r="S504" s="9">
        <v>0.0</v>
      </c>
      <c r="T504" s="9">
        <v>0.0</v>
      </c>
      <c r="U504" s="9">
        <v>15.0</v>
      </c>
      <c r="V504" s="9" t="s">
        <v>1694</v>
      </c>
      <c r="W504" s="9" t="s">
        <v>1695</v>
      </c>
      <c r="X504" s="9" t="s">
        <v>246</v>
      </c>
      <c r="Y504" s="9" t="s">
        <v>1696</v>
      </c>
      <c r="Z504" s="9" t="s">
        <v>60</v>
      </c>
      <c r="AA504" s="9" t="s">
        <v>61</v>
      </c>
      <c r="AC504" s="9">
        <v>8.0</v>
      </c>
      <c r="AD504" s="9">
        <v>4.0</v>
      </c>
      <c r="AE504" s="9">
        <v>3.0</v>
      </c>
      <c r="AF504" s="9">
        <v>3300.0</v>
      </c>
      <c r="AG504" s="9" t="s">
        <v>42</v>
      </c>
    </row>
    <row r="505">
      <c r="A505" s="7">
        <v>44422.01005321759</v>
      </c>
      <c r="B505" s="9" t="s">
        <v>49</v>
      </c>
      <c r="C505" s="9">
        <v>35.0</v>
      </c>
      <c r="D505" s="9" t="s">
        <v>35</v>
      </c>
      <c r="E505" s="9" t="s">
        <v>36</v>
      </c>
      <c r="F505" s="9" t="s">
        <v>124</v>
      </c>
      <c r="G505" s="9" t="s">
        <v>124</v>
      </c>
      <c r="H505" s="9" t="s">
        <v>38</v>
      </c>
      <c r="I505" s="9" t="s">
        <v>2413</v>
      </c>
      <c r="J505" s="9" t="s">
        <v>2421</v>
      </c>
      <c r="K505" s="9" t="s">
        <v>40</v>
      </c>
      <c r="L505" s="9" t="s">
        <v>40</v>
      </c>
      <c r="M505" s="9" t="s">
        <v>40</v>
      </c>
      <c r="P505" s="9" t="s">
        <v>119</v>
      </c>
      <c r="Q505" s="9" t="s">
        <v>42</v>
      </c>
      <c r="R505" s="9">
        <v>8000.0</v>
      </c>
      <c r="S505" s="9">
        <v>0.0</v>
      </c>
      <c r="T505" s="9">
        <v>0.0</v>
      </c>
      <c r="U505" s="9">
        <v>21.0</v>
      </c>
      <c r="V505" s="9" t="s">
        <v>469</v>
      </c>
      <c r="W505" s="9" t="s">
        <v>3224</v>
      </c>
      <c r="X505" s="9" t="s">
        <v>122</v>
      </c>
      <c r="Y505" s="9" t="s">
        <v>423</v>
      </c>
      <c r="Z505" s="9" t="s">
        <v>47</v>
      </c>
      <c r="AA505" s="9" t="s">
        <v>61</v>
      </c>
      <c r="AC505" s="9">
        <v>7.0</v>
      </c>
      <c r="AD505" s="9">
        <v>7.0</v>
      </c>
      <c r="AE505" s="9">
        <v>4.0</v>
      </c>
      <c r="AF505" s="9">
        <v>1800.0</v>
      </c>
      <c r="AG505" s="9" t="s">
        <v>42</v>
      </c>
    </row>
    <row r="506">
      <c r="A506" s="7">
        <v>44422.32936546297</v>
      </c>
      <c r="B506" s="9" t="s">
        <v>49</v>
      </c>
      <c r="C506" s="9">
        <v>25.0</v>
      </c>
      <c r="D506" s="9" t="s">
        <v>35</v>
      </c>
      <c r="E506" s="9" t="s">
        <v>36</v>
      </c>
      <c r="F506" s="9" t="s">
        <v>50</v>
      </c>
      <c r="G506" s="9" t="s">
        <v>99</v>
      </c>
      <c r="H506" s="9" t="s">
        <v>38</v>
      </c>
      <c r="I506" s="9" t="s">
        <v>3164</v>
      </c>
      <c r="J506" s="9" t="s">
        <v>3225</v>
      </c>
      <c r="K506" s="9" t="s">
        <v>39</v>
      </c>
      <c r="L506" s="9" t="s">
        <v>40</v>
      </c>
      <c r="M506" s="9" t="s">
        <v>40</v>
      </c>
      <c r="P506" s="9" t="s">
        <v>128</v>
      </c>
      <c r="Q506" s="9" t="s">
        <v>42</v>
      </c>
      <c r="R506" s="9">
        <v>3500.0</v>
      </c>
      <c r="S506" s="9">
        <v>0.0</v>
      </c>
      <c r="T506" s="9">
        <v>0.0</v>
      </c>
      <c r="U506" s="9">
        <v>14.0</v>
      </c>
      <c r="V506" s="9" t="s">
        <v>320</v>
      </c>
      <c r="W506" s="9" t="s">
        <v>1786</v>
      </c>
      <c r="X506" s="9" t="s">
        <v>122</v>
      </c>
      <c r="Y506" s="9" t="s">
        <v>59</v>
      </c>
      <c r="Z506" s="9" t="s">
        <v>71</v>
      </c>
      <c r="AA506" s="9" t="s">
        <v>61</v>
      </c>
      <c r="AC506" s="9">
        <v>8.0</v>
      </c>
      <c r="AD506" s="9" t="s">
        <v>1716</v>
      </c>
      <c r="AE506" s="9">
        <v>0.0</v>
      </c>
      <c r="AF506" s="9">
        <v>3500.0</v>
      </c>
      <c r="AG506" s="9" t="s">
        <v>42</v>
      </c>
    </row>
    <row r="507">
      <c r="A507" s="7">
        <v>44422.45704418981</v>
      </c>
      <c r="B507" s="9" t="s">
        <v>49</v>
      </c>
      <c r="C507" s="9">
        <v>33.0</v>
      </c>
      <c r="D507" s="9" t="s">
        <v>35</v>
      </c>
      <c r="E507" s="9" t="s">
        <v>36</v>
      </c>
      <c r="F507" s="9" t="s">
        <v>50</v>
      </c>
      <c r="G507" s="9" t="s">
        <v>180</v>
      </c>
      <c r="H507" s="9" t="s">
        <v>93</v>
      </c>
      <c r="I507" s="9" t="s">
        <v>75</v>
      </c>
      <c r="J507" s="9" t="s">
        <v>465</v>
      </c>
      <c r="K507" s="9" t="s">
        <v>39</v>
      </c>
      <c r="L507" s="9" t="s">
        <v>40</v>
      </c>
      <c r="M507" s="9" t="s">
        <v>40</v>
      </c>
      <c r="P507" s="9" t="s">
        <v>466</v>
      </c>
      <c r="Q507" s="9" t="s">
        <v>42</v>
      </c>
      <c r="R507" s="9">
        <v>12400.0</v>
      </c>
      <c r="S507" s="9">
        <v>12400.0</v>
      </c>
      <c r="T507" s="9">
        <v>0.0</v>
      </c>
      <c r="U507" s="9">
        <v>14.0</v>
      </c>
      <c r="V507" s="9" t="s">
        <v>467</v>
      </c>
      <c r="W507" s="9" t="s">
        <v>468</v>
      </c>
      <c r="X507" s="9" t="s">
        <v>246</v>
      </c>
      <c r="Y507" s="9" t="s">
        <v>155</v>
      </c>
      <c r="Z507" s="9" t="s">
        <v>71</v>
      </c>
      <c r="AA507" s="9" t="s">
        <v>61</v>
      </c>
      <c r="AC507" s="9">
        <v>10.0</v>
      </c>
      <c r="AD507" s="9">
        <v>10.0</v>
      </c>
      <c r="AE507" s="9">
        <v>8.0</v>
      </c>
      <c r="AF507" s="9">
        <v>1800.0</v>
      </c>
      <c r="AG507" s="9" t="s">
        <v>42</v>
      </c>
    </row>
    <row r="508">
      <c r="A508" s="7">
        <v>44422.622871203705</v>
      </c>
      <c r="B508" s="9" t="s">
        <v>49</v>
      </c>
      <c r="C508" s="9">
        <v>31.0</v>
      </c>
      <c r="D508" s="9" t="s">
        <v>35</v>
      </c>
      <c r="E508" s="9" t="s">
        <v>36</v>
      </c>
      <c r="F508" s="9" t="s">
        <v>604</v>
      </c>
      <c r="G508" s="9" t="s">
        <v>604</v>
      </c>
      <c r="H508" s="9" t="s">
        <v>38</v>
      </c>
      <c r="I508" s="9" t="s">
        <v>2368</v>
      </c>
      <c r="J508" s="9" t="s">
        <v>3226</v>
      </c>
      <c r="K508" s="9" t="s">
        <v>39</v>
      </c>
      <c r="L508" s="9" t="s">
        <v>40</v>
      </c>
      <c r="M508" s="9" t="s">
        <v>39</v>
      </c>
      <c r="O508" s="9" t="s">
        <v>1089</v>
      </c>
      <c r="P508" s="9" t="s">
        <v>3227</v>
      </c>
      <c r="Q508" s="9" t="s">
        <v>3054</v>
      </c>
      <c r="R508" s="9">
        <v>15000.0</v>
      </c>
      <c r="S508" s="9">
        <v>30000.0</v>
      </c>
      <c r="U508" s="9">
        <v>14.0</v>
      </c>
      <c r="V508" s="9" t="s">
        <v>1091</v>
      </c>
      <c r="W508" s="9" t="s">
        <v>1092</v>
      </c>
      <c r="X508" s="9" t="s">
        <v>1093</v>
      </c>
      <c r="Y508" s="9" t="s">
        <v>59</v>
      </c>
      <c r="Z508" s="9" t="s">
        <v>47</v>
      </c>
      <c r="AA508" s="9" t="s">
        <v>61</v>
      </c>
      <c r="AC508" s="9">
        <v>7.0</v>
      </c>
      <c r="AD508" s="9">
        <v>9.0</v>
      </c>
      <c r="AE508" s="9">
        <v>3.0</v>
      </c>
      <c r="AF508" s="9">
        <v>2800.0</v>
      </c>
      <c r="AG508" s="9" t="s">
        <v>3054</v>
      </c>
    </row>
    <row r="509">
      <c r="A509" s="7">
        <v>44422.76725358797</v>
      </c>
      <c r="B509" s="9" t="s">
        <v>49</v>
      </c>
      <c r="C509" s="9">
        <v>27.0</v>
      </c>
      <c r="D509" s="9" t="s">
        <v>35</v>
      </c>
      <c r="E509" s="9" t="s">
        <v>36</v>
      </c>
      <c r="F509" s="9" t="s">
        <v>2971</v>
      </c>
      <c r="G509" s="9" t="s">
        <v>349</v>
      </c>
      <c r="H509" s="9" t="s">
        <v>38</v>
      </c>
      <c r="I509" s="9" t="s">
        <v>3228</v>
      </c>
      <c r="J509" s="9" t="s">
        <v>1329</v>
      </c>
      <c r="K509" s="9" t="s">
        <v>39</v>
      </c>
      <c r="L509" s="9" t="s">
        <v>40</v>
      </c>
      <c r="M509" s="9" t="s">
        <v>40</v>
      </c>
      <c r="P509" s="9" t="s">
        <v>3229</v>
      </c>
      <c r="Q509" s="9" t="s">
        <v>42</v>
      </c>
      <c r="R509" s="9">
        <v>4700.0</v>
      </c>
      <c r="S509" s="9">
        <v>8800.0</v>
      </c>
      <c r="T509" s="9">
        <v>0.0</v>
      </c>
      <c r="U509" s="9">
        <v>16.0</v>
      </c>
      <c r="V509" s="9" t="s">
        <v>1330</v>
      </c>
      <c r="W509" s="9" t="s">
        <v>87</v>
      </c>
      <c r="X509" s="9" t="s">
        <v>131</v>
      </c>
      <c r="Y509" s="9" t="s">
        <v>105</v>
      </c>
      <c r="Z509" s="9" t="s">
        <v>132</v>
      </c>
      <c r="AA509" s="9" t="s">
        <v>61</v>
      </c>
      <c r="AC509" s="9">
        <v>9.0</v>
      </c>
      <c r="AD509" s="9">
        <v>3.0</v>
      </c>
      <c r="AE509" s="9">
        <v>2.0</v>
      </c>
      <c r="AF509" s="9">
        <v>3000.0</v>
      </c>
      <c r="AG509" s="9" t="s">
        <v>42</v>
      </c>
    </row>
    <row r="510">
      <c r="A510" s="7">
        <v>44422.89612456018</v>
      </c>
      <c r="B510" s="9" t="s">
        <v>49</v>
      </c>
      <c r="C510" s="9">
        <v>31.0</v>
      </c>
      <c r="D510" s="9" t="s">
        <v>35</v>
      </c>
      <c r="E510" s="9" t="s">
        <v>36</v>
      </c>
      <c r="F510" s="9" t="s">
        <v>50</v>
      </c>
      <c r="G510" s="9" t="s">
        <v>117</v>
      </c>
      <c r="H510" s="9" t="s">
        <v>38</v>
      </c>
      <c r="I510" s="9" t="s">
        <v>2626</v>
      </c>
      <c r="J510" s="9" t="s">
        <v>3230</v>
      </c>
      <c r="K510" s="9" t="s">
        <v>39</v>
      </c>
      <c r="L510" s="9" t="s">
        <v>40</v>
      </c>
      <c r="M510" s="9" t="s">
        <v>40</v>
      </c>
      <c r="P510" s="9" t="s">
        <v>3231</v>
      </c>
      <c r="Q510" s="9" t="s">
        <v>42</v>
      </c>
      <c r="R510" s="9">
        <v>7400.0</v>
      </c>
      <c r="S510" s="9">
        <v>14800.0</v>
      </c>
      <c r="T510" s="9">
        <v>0.0</v>
      </c>
      <c r="U510" s="9">
        <v>12.0</v>
      </c>
      <c r="V510" s="9" t="s">
        <v>96</v>
      </c>
      <c r="W510" s="9" t="s">
        <v>1259</v>
      </c>
      <c r="X510" s="9" t="s">
        <v>122</v>
      </c>
      <c r="Y510" s="9" t="s">
        <v>59</v>
      </c>
      <c r="Z510" s="9" t="s">
        <v>132</v>
      </c>
      <c r="AA510" s="9" t="s">
        <v>91</v>
      </c>
      <c r="AC510" s="9">
        <v>7.0</v>
      </c>
      <c r="AD510" s="9">
        <v>9.0</v>
      </c>
      <c r="AE510" s="9">
        <v>1.0</v>
      </c>
      <c r="AF510" s="9">
        <v>3000.0</v>
      </c>
      <c r="AG510" s="9" t="s">
        <v>42</v>
      </c>
    </row>
    <row r="511">
      <c r="A511" s="7">
        <v>44422.92133857639</v>
      </c>
      <c r="B511" s="9" t="s">
        <v>49</v>
      </c>
      <c r="C511" s="9">
        <v>28.0</v>
      </c>
      <c r="D511" s="9" t="s">
        <v>35</v>
      </c>
      <c r="E511" s="9" t="s">
        <v>36</v>
      </c>
      <c r="F511" s="9" t="s">
        <v>349</v>
      </c>
      <c r="H511" s="9" t="s">
        <v>38</v>
      </c>
      <c r="K511" s="9" t="s">
        <v>39</v>
      </c>
      <c r="L511" s="9" t="s">
        <v>40</v>
      </c>
      <c r="M511" s="9" t="s">
        <v>40</v>
      </c>
      <c r="P511" s="9" t="s">
        <v>119</v>
      </c>
      <c r="Q511" s="9" t="s">
        <v>42</v>
      </c>
      <c r="R511" s="9">
        <v>11000.0</v>
      </c>
      <c r="U511" s="9">
        <v>18.0</v>
      </c>
      <c r="V511" s="9" t="s">
        <v>2311</v>
      </c>
      <c r="W511" s="9" t="s">
        <v>2312</v>
      </c>
      <c r="X511" s="9" t="s">
        <v>58</v>
      </c>
      <c r="Y511" s="9" t="s">
        <v>59</v>
      </c>
      <c r="Z511" s="9" t="s">
        <v>81</v>
      </c>
      <c r="AA511" s="9" t="s">
        <v>611</v>
      </c>
      <c r="AC511" s="9">
        <v>7.0</v>
      </c>
      <c r="AD511" s="9">
        <v>6.0</v>
      </c>
      <c r="AE511" s="9">
        <v>2.0</v>
      </c>
      <c r="AF511" s="9">
        <v>11000.0</v>
      </c>
      <c r="AG511" s="9" t="s">
        <v>42</v>
      </c>
    </row>
    <row r="512">
      <c r="A512" s="7">
        <v>44422.982154537036</v>
      </c>
      <c r="B512" s="9" t="s">
        <v>49</v>
      </c>
      <c r="C512" s="9">
        <v>24.0</v>
      </c>
      <c r="D512" s="9" t="s">
        <v>35</v>
      </c>
      <c r="E512" s="9" t="s">
        <v>36</v>
      </c>
      <c r="F512" s="9" t="s">
        <v>69</v>
      </c>
      <c r="G512" s="9" t="s">
        <v>2417</v>
      </c>
      <c r="H512" s="9" t="s">
        <v>93</v>
      </c>
      <c r="J512" s="9" t="s">
        <v>3232</v>
      </c>
      <c r="K512" s="9" t="s">
        <v>40</v>
      </c>
      <c r="L512" s="9" t="s">
        <v>40</v>
      </c>
      <c r="M512" s="9" t="s">
        <v>40</v>
      </c>
      <c r="P512" s="9" t="s">
        <v>3233</v>
      </c>
      <c r="Q512" s="9" t="s">
        <v>42</v>
      </c>
      <c r="R512" s="9">
        <v>5600.0</v>
      </c>
      <c r="S512" s="9">
        <v>0.0</v>
      </c>
      <c r="T512" s="9">
        <v>0.0</v>
      </c>
      <c r="U512" s="9">
        <v>14.0</v>
      </c>
      <c r="V512" s="9" t="s">
        <v>1281</v>
      </c>
      <c r="W512" s="9" t="s">
        <v>1066</v>
      </c>
      <c r="X512" s="9" t="s">
        <v>1282</v>
      </c>
      <c r="Y512" s="9" t="s">
        <v>1283</v>
      </c>
      <c r="Z512" s="9" t="s">
        <v>47</v>
      </c>
      <c r="AA512" s="9" t="s">
        <v>61</v>
      </c>
      <c r="AC512" s="9">
        <v>7.0</v>
      </c>
      <c r="AD512" s="9">
        <v>3.0</v>
      </c>
      <c r="AE512" s="9">
        <v>1.0</v>
      </c>
      <c r="AF512" s="9">
        <v>3000.0</v>
      </c>
      <c r="AG512" s="9" t="s">
        <v>42</v>
      </c>
    </row>
    <row r="513">
      <c r="A513" s="7">
        <v>44422.98406967593</v>
      </c>
      <c r="B513" s="9" t="s">
        <v>49</v>
      </c>
      <c r="C513" s="9">
        <v>28.0</v>
      </c>
      <c r="D513" s="9" t="s">
        <v>35</v>
      </c>
      <c r="E513" s="9" t="s">
        <v>36</v>
      </c>
      <c r="F513" s="9" t="s">
        <v>50</v>
      </c>
      <c r="G513" s="9" t="s">
        <v>82</v>
      </c>
      <c r="H513" s="9" t="s">
        <v>93</v>
      </c>
      <c r="I513" s="9" t="s">
        <v>3234</v>
      </c>
      <c r="J513" s="9" t="s">
        <v>3235</v>
      </c>
      <c r="K513" s="9" t="s">
        <v>890</v>
      </c>
      <c r="L513" s="9" t="s">
        <v>40</v>
      </c>
      <c r="M513" s="9" t="s">
        <v>40</v>
      </c>
      <c r="P513" s="9" t="s">
        <v>101</v>
      </c>
      <c r="Q513" s="9" t="s">
        <v>42</v>
      </c>
      <c r="R513" s="9">
        <v>5000.0</v>
      </c>
      <c r="S513" s="9">
        <v>0.0</v>
      </c>
      <c r="T513" s="9">
        <v>0.0</v>
      </c>
      <c r="U513" s="9">
        <v>12.0</v>
      </c>
      <c r="V513" s="9" t="s">
        <v>459</v>
      </c>
      <c r="W513" s="9" t="s">
        <v>154</v>
      </c>
      <c r="X513" s="9" t="s">
        <v>131</v>
      </c>
      <c r="Y513" s="9" t="s">
        <v>97</v>
      </c>
      <c r="Z513" s="9" t="s">
        <v>47</v>
      </c>
      <c r="AA513" s="9" t="s">
        <v>61</v>
      </c>
      <c r="AC513" s="9">
        <v>8.0</v>
      </c>
      <c r="AD513" s="9">
        <v>4.0</v>
      </c>
      <c r="AE513" s="9">
        <v>4.0</v>
      </c>
      <c r="AF513" s="9">
        <v>1800.0</v>
      </c>
      <c r="AG513" s="9" t="s">
        <v>42</v>
      </c>
    </row>
    <row r="514">
      <c r="A514" s="7">
        <v>44423.02100900463</v>
      </c>
      <c r="B514" s="9" t="s">
        <v>73</v>
      </c>
      <c r="C514" s="9">
        <v>33.0</v>
      </c>
      <c r="D514" s="9" t="s">
        <v>35</v>
      </c>
      <c r="E514" s="9" t="s">
        <v>36</v>
      </c>
      <c r="F514" s="9" t="s">
        <v>50</v>
      </c>
      <c r="G514" s="9" t="s">
        <v>874</v>
      </c>
      <c r="H514" s="9" t="s">
        <v>38</v>
      </c>
      <c r="I514" s="9" t="s">
        <v>3236</v>
      </c>
      <c r="J514" s="9" t="s">
        <v>2622</v>
      </c>
      <c r="K514" s="9" t="s">
        <v>39</v>
      </c>
      <c r="L514" s="9" t="s">
        <v>40</v>
      </c>
      <c r="M514" s="9" t="s">
        <v>40</v>
      </c>
      <c r="P514" s="9" t="s">
        <v>3237</v>
      </c>
      <c r="Q514" s="9" t="s">
        <v>42</v>
      </c>
      <c r="R514" s="9">
        <v>9500.0</v>
      </c>
      <c r="S514" s="9">
        <v>0.0</v>
      </c>
      <c r="T514" s="9">
        <v>0.0</v>
      </c>
      <c r="U514" s="9">
        <v>14.0</v>
      </c>
      <c r="V514" s="9" t="s">
        <v>697</v>
      </c>
      <c r="W514" s="9" t="s">
        <v>3238</v>
      </c>
      <c r="X514" s="9" t="s">
        <v>699</v>
      </c>
      <c r="Y514" s="9" t="s">
        <v>347</v>
      </c>
      <c r="Z514" s="9" t="s">
        <v>60</v>
      </c>
      <c r="AA514" s="9" t="s">
        <v>91</v>
      </c>
      <c r="AC514" s="9">
        <v>6.0</v>
      </c>
      <c r="AD514" s="9">
        <v>10.0</v>
      </c>
      <c r="AE514" s="9">
        <v>4.0</v>
      </c>
      <c r="AF514" s="9">
        <v>2300.0</v>
      </c>
      <c r="AG514" s="9" t="s">
        <v>2521</v>
      </c>
    </row>
    <row r="515">
      <c r="A515" s="7">
        <v>44423.402150787035</v>
      </c>
      <c r="B515" s="9" t="s">
        <v>73</v>
      </c>
      <c r="C515" s="9">
        <v>33.0</v>
      </c>
      <c r="D515" s="9" t="s">
        <v>35</v>
      </c>
      <c r="E515" s="9" t="s">
        <v>36</v>
      </c>
      <c r="F515" s="9" t="s">
        <v>349</v>
      </c>
      <c r="G515" s="9" t="s">
        <v>606</v>
      </c>
      <c r="H515" s="9" t="s">
        <v>38</v>
      </c>
      <c r="I515" s="9" t="s">
        <v>3239</v>
      </c>
      <c r="J515" s="9" t="s">
        <v>3240</v>
      </c>
      <c r="K515" s="9" t="s">
        <v>39</v>
      </c>
      <c r="L515" s="9" t="s">
        <v>40</v>
      </c>
      <c r="M515" s="9" t="s">
        <v>39</v>
      </c>
      <c r="O515" s="9" t="s">
        <v>3241</v>
      </c>
      <c r="P515" s="9" t="s">
        <v>2989</v>
      </c>
      <c r="Q515" s="9" t="s">
        <v>42</v>
      </c>
      <c r="R515" s="9">
        <v>9000.0</v>
      </c>
      <c r="S515" s="9" t="s">
        <v>1657</v>
      </c>
      <c r="T515" s="9">
        <v>0.0</v>
      </c>
      <c r="U515" s="9">
        <v>18.0</v>
      </c>
      <c r="V515" s="9" t="s">
        <v>1353</v>
      </c>
      <c r="W515" s="9" t="s">
        <v>384</v>
      </c>
      <c r="X515" s="9" t="s">
        <v>1354</v>
      </c>
      <c r="Y515" s="9" t="s">
        <v>59</v>
      </c>
      <c r="Z515" s="9" t="s">
        <v>60</v>
      </c>
      <c r="AA515" s="9" t="s">
        <v>91</v>
      </c>
      <c r="AC515" s="9">
        <v>6.0</v>
      </c>
      <c r="AD515" s="9">
        <v>8.0</v>
      </c>
      <c r="AE515" s="9">
        <v>2.0</v>
      </c>
      <c r="AF515" s="9">
        <v>3000.0</v>
      </c>
      <c r="AG515" s="9" t="s">
        <v>42</v>
      </c>
    </row>
    <row r="516">
      <c r="A516" s="7">
        <v>44423.639003159726</v>
      </c>
      <c r="B516" s="9" t="s">
        <v>73</v>
      </c>
      <c r="C516" s="9">
        <v>28.0</v>
      </c>
      <c r="D516" s="9" t="s">
        <v>35</v>
      </c>
      <c r="E516" s="9" t="s">
        <v>36</v>
      </c>
      <c r="H516" s="9" t="s">
        <v>38</v>
      </c>
      <c r="I516" s="9" t="s">
        <v>2471</v>
      </c>
      <c r="K516" s="9" t="s">
        <v>39</v>
      </c>
      <c r="L516" s="9" t="s">
        <v>40</v>
      </c>
      <c r="M516" s="9" t="s">
        <v>40</v>
      </c>
      <c r="P516" s="9" t="s">
        <v>3242</v>
      </c>
      <c r="Q516" s="9" t="s">
        <v>42</v>
      </c>
      <c r="R516" s="9">
        <v>4000.0</v>
      </c>
      <c r="U516" s="9">
        <v>12.0</v>
      </c>
      <c r="V516" s="9" t="s">
        <v>369</v>
      </c>
      <c r="W516" s="9" t="s">
        <v>2006</v>
      </c>
      <c r="X516" s="9" t="s">
        <v>363</v>
      </c>
      <c r="Y516" s="9" t="s">
        <v>80</v>
      </c>
      <c r="Z516" s="9" t="s">
        <v>47</v>
      </c>
      <c r="AA516" s="9" t="s">
        <v>61</v>
      </c>
      <c r="AC516" s="9">
        <v>10.0</v>
      </c>
      <c r="AD516" s="9">
        <v>5.0</v>
      </c>
      <c r="AE516" s="9">
        <v>2.0</v>
      </c>
      <c r="AF516" s="9">
        <v>4000.0</v>
      </c>
      <c r="AG516" s="9" t="s">
        <v>3054</v>
      </c>
    </row>
    <row r="517">
      <c r="A517" s="7">
        <v>44423.714819988425</v>
      </c>
      <c r="B517" s="9" t="s">
        <v>49</v>
      </c>
      <c r="C517" s="9">
        <v>23.0</v>
      </c>
      <c r="D517" s="9" t="s">
        <v>35</v>
      </c>
      <c r="E517" s="9" t="s">
        <v>36</v>
      </c>
      <c r="F517" s="9" t="s">
        <v>124</v>
      </c>
      <c r="G517" s="9" t="s">
        <v>124</v>
      </c>
      <c r="H517" s="9" t="s">
        <v>38</v>
      </c>
      <c r="I517" s="9" t="s">
        <v>2368</v>
      </c>
      <c r="J517" s="9" t="s">
        <v>3243</v>
      </c>
      <c r="K517" s="9" t="s">
        <v>39</v>
      </c>
      <c r="L517" s="9" t="s">
        <v>40</v>
      </c>
      <c r="M517" s="9" t="s">
        <v>40</v>
      </c>
      <c r="P517" s="9" t="s">
        <v>3244</v>
      </c>
      <c r="Q517" s="9" t="s">
        <v>42</v>
      </c>
      <c r="R517" s="9">
        <v>3000.0</v>
      </c>
      <c r="S517" s="9">
        <v>0.0</v>
      </c>
      <c r="T517" s="9">
        <v>0.0</v>
      </c>
      <c r="U517" s="9">
        <v>15.0</v>
      </c>
      <c r="V517" s="9" t="s">
        <v>1304</v>
      </c>
      <c r="W517" s="9" t="s">
        <v>1305</v>
      </c>
      <c r="X517" s="9" t="s">
        <v>122</v>
      </c>
      <c r="Y517" s="9" t="s">
        <v>155</v>
      </c>
      <c r="Z517" s="9" t="s">
        <v>47</v>
      </c>
      <c r="AA517" s="9" t="s">
        <v>61</v>
      </c>
      <c r="AB517" s="9" t="s">
        <v>1306</v>
      </c>
      <c r="AC517" s="9">
        <v>7.0</v>
      </c>
      <c r="AD517" s="9">
        <v>0.0</v>
      </c>
      <c r="AE517" s="9">
        <v>0.0</v>
      </c>
      <c r="AF517" s="9">
        <v>3000.0</v>
      </c>
      <c r="AG517" s="9" t="s">
        <v>42</v>
      </c>
    </row>
    <row r="518">
      <c r="A518" s="7">
        <v>44423.76894724537</v>
      </c>
      <c r="B518" s="9" t="s">
        <v>73</v>
      </c>
      <c r="C518" s="9">
        <v>32.0</v>
      </c>
      <c r="D518" s="9" t="s">
        <v>35</v>
      </c>
      <c r="E518" s="9" t="s">
        <v>36</v>
      </c>
      <c r="F518" s="9" t="s">
        <v>363</v>
      </c>
      <c r="G518" s="9" t="s">
        <v>527</v>
      </c>
      <c r="H518" s="9" t="s">
        <v>38</v>
      </c>
      <c r="I518" s="9" t="s">
        <v>3245</v>
      </c>
      <c r="J518" s="9" t="s">
        <v>2472</v>
      </c>
      <c r="K518" s="9" t="s">
        <v>39</v>
      </c>
      <c r="L518" s="9" t="s">
        <v>40</v>
      </c>
      <c r="M518" s="9" t="s">
        <v>39</v>
      </c>
      <c r="O518" s="9" t="s">
        <v>1386</v>
      </c>
      <c r="P518" s="9" t="s">
        <v>119</v>
      </c>
      <c r="Q518" s="9" t="s">
        <v>42</v>
      </c>
      <c r="R518" s="9">
        <v>8400.0</v>
      </c>
      <c r="S518" s="9">
        <v>8400.0</v>
      </c>
      <c r="U518" s="9">
        <v>30.0</v>
      </c>
      <c r="V518" s="9" t="s">
        <v>1387</v>
      </c>
      <c r="W518" s="9" t="s">
        <v>1388</v>
      </c>
      <c r="X518" s="9" t="s">
        <v>79</v>
      </c>
      <c r="Y518" s="9" t="s">
        <v>228</v>
      </c>
      <c r="Z518" s="9" t="s">
        <v>60</v>
      </c>
      <c r="AA518" s="9" t="s">
        <v>91</v>
      </c>
      <c r="AC518" s="9">
        <v>7.0</v>
      </c>
      <c r="AD518" s="9">
        <v>9.0</v>
      </c>
      <c r="AE518" s="9">
        <v>2.0</v>
      </c>
      <c r="AF518" s="9">
        <v>3000.0</v>
      </c>
      <c r="AG518" s="9" t="s">
        <v>42</v>
      </c>
    </row>
    <row r="519">
      <c r="A519" s="7">
        <v>44423.79641778935</v>
      </c>
      <c r="B519" s="9" t="s">
        <v>49</v>
      </c>
      <c r="C519" s="9">
        <v>25.0</v>
      </c>
      <c r="D519" s="9" t="s">
        <v>35</v>
      </c>
      <c r="E519" s="9" t="s">
        <v>36</v>
      </c>
      <c r="F519" s="9" t="s">
        <v>124</v>
      </c>
      <c r="G519" s="9" t="s">
        <v>532</v>
      </c>
      <c r="H519" s="9" t="s">
        <v>38</v>
      </c>
      <c r="I519" s="9" t="s">
        <v>3246</v>
      </c>
      <c r="J519" s="9" t="s">
        <v>2988</v>
      </c>
      <c r="K519" s="9" t="s">
        <v>39</v>
      </c>
      <c r="L519" s="9" t="s">
        <v>40</v>
      </c>
      <c r="M519" s="9" t="s">
        <v>40</v>
      </c>
      <c r="P519" s="9" t="s">
        <v>535</v>
      </c>
      <c r="Q519" s="9" t="s">
        <v>112</v>
      </c>
      <c r="R519" s="9">
        <v>5800.0</v>
      </c>
      <c r="S519" s="9">
        <v>0.0</v>
      </c>
      <c r="T519" s="21">
        <v>100000.0</v>
      </c>
      <c r="U519" s="9">
        <v>0.0</v>
      </c>
      <c r="V519" s="9" t="s">
        <v>536</v>
      </c>
      <c r="W519" s="9" t="s">
        <v>537</v>
      </c>
      <c r="X519" s="9" t="s">
        <v>246</v>
      </c>
      <c r="Y519" s="9" t="s">
        <v>59</v>
      </c>
      <c r="Z519" s="9" t="s">
        <v>47</v>
      </c>
      <c r="AA519" s="9" t="s">
        <v>61</v>
      </c>
      <c r="AC519" s="9">
        <v>8.0</v>
      </c>
      <c r="AD519" s="9">
        <v>1.0</v>
      </c>
      <c r="AE519" s="9">
        <v>1.0</v>
      </c>
      <c r="AF519" s="9">
        <v>2000.0</v>
      </c>
      <c r="AG519" s="9" t="s">
        <v>538</v>
      </c>
    </row>
    <row r="520">
      <c r="A520" s="7">
        <v>44423.92588703704</v>
      </c>
      <c r="B520" s="9" t="s">
        <v>49</v>
      </c>
      <c r="C520" s="9">
        <v>28.0</v>
      </c>
      <c r="D520" s="9" t="s">
        <v>35</v>
      </c>
      <c r="E520" s="9" t="s">
        <v>36</v>
      </c>
      <c r="F520" s="9" t="s">
        <v>2430</v>
      </c>
      <c r="G520" s="9" t="s">
        <v>99</v>
      </c>
      <c r="H520" s="9" t="s">
        <v>38</v>
      </c>
      <c r="I520" s="9" t="s">
        <v>2368</v>
      </c>
      <c r="J520" s="9" t="s">
        <v>3243</v>
      </c>
      <c r="K520" s="9" t="s">
        <v>39</v>
      </c>
      <c r="L520" s="9" t="s">
        <v>40</v>
      </c>
      <c r="M520" s="9" t="s">
        <v>40</v>
      </c>
      <c r="P520" s="9" t="s">
        <v>746</v>
      </c>
      <c r="Q520" s="9" t="s">
        <v>42</v>
      </c>
      <c r="R520" s="9">
        <v>5150.0</v>
      </c>
      <c r="S520" s="9">
        <v>5000.0</v>
      </c>
      <c r="T520" s="9">
        <v>0.0</v>
      </c>
      <c r="U520" s="9">
        <v>14.0</v>
      </c>
      <c r="V520" s="9" t="s">
        <v>960</v>
      </c>
      <c r="W520" s="9" t="s">
        <v>961</v>
      </c>
      <c r="X520" s="9" t="s">
        <v>99</v>
      </c>
      <c r="Y520" s="9" t="s">
        <v>59</v>
      </c>
      <c r="Z520" s="9" t="s">
        <v>60</v>
      </c>
      <c r="AA520" s="9" t="s">
        <v>61</v>
      </c>
      <c r="AC520" s="9">
        <v>4.0</v>
      </c>
      <c r="AD520" s="9">
        <v>4.0</v>
      </c>
      <c r="AE520" s="9">
        <v>1.0</v>
      </c>
      <c r="AF520" s="9">
        <v>2600.0</v>
      </c>
      <c r="AG520" s="9" t="s">
        <v>42</v>
      </c>
    </row>
    <row r="521">
      <c r="A521" s="7">
        <v>44423.997868819446</v>
      </c>
      <c r="B521" s="9" t="s">
        <v>49</v>
      </c>
      <c r="C521" s="9">
        <v>27.0</v>
      </c>
      <c r="D521" s="9" t="s">
        <v>431</v>
      </c>
      <c r="E521" s="9" t="s">
        <v>36</v>
      </c>
      <c r="F521" s="9" t="s">
        <v>50</v>
      </c>
      <c r="G521" s="9" t="s">
        <v>99</v>
      </c>
      <c r="H521" s="9" t="s">
        <v>38</v>
      </c>
      <c r="I521" s="9" t="s">
        <v>3247</v>
      </c>
      <c r="J521" s="9" t="s">
        <v>3248</v>
      </c>
      <c r="K521" s="9" t="s">
        <v>39</v>
      </c>
      <c r="L521" s="9" t="s">
        <v>40</v>
      </c>
      <c r="M521" s="9" t="s">
        <v>40</v>
      </c>
      <c r="P521" s="9" t="s">
        <v>2318</v>
      </c>
      <c r="Q521" s="9" t="s">
        <v>42</v>
      </c>
      <c r="R521" s="9">
        <v>13000.0</v>
      </c>
      <c r="S521" s="9">
        <v>60000.0</v>
      </c>
      <c r="U521" s="9">
        <v>18.0</v>
      </c>
      <c r="V521" s="9" t="s">
        <v>2319</v>
      </c>
      <c r="W521" s="9" t="s">
        <v>2320</v>
      </c>
      <c r="X521" s="9" t="s">
        <v>2321</v>
      </c>
      <c r="Y521" s="9" t="s">
        <v>59</v>
      </c>
      <c r="Z521" s="9" t="s">
        <v>60</v>
      </c>
      <c r="AA521" s="9" t="s">
        <v>91</v>
      </c>
      <c r="AC521" s="9">
        <v>5.0</v>
      </c>
      <c r="AD521" s="9">
        <v>5.0</v>
      </c>
      <c r="AE521" s="9">
        <v>0.0</v>
      </c>
      <c r="AF521" s="9">
        <v>13000.0</v>
      </c>
      <c r="AG521" s="9" t="s">
        <v>42</v>
      </c>
    </row>
    <row r="522">
      <c r="A522" s="7">
        <v>44424.02122547454</v>
      </c>
      <c r="B522" s="9" t="s">
        <v>49</v>
      </c>
      <c r="C522" s="9">
        <v>24.0</v>
      </c>
      <c r="D522" s="9" t="s">
        <v>35</v>
      </c>
      <c r="E522" s="9" t="s">
        <v>36</v>
      </c>
      <c r="F522" s="9" t="s">
        <v>50</v>
      </c>
      <c r="G522" s="9" t="s">
        <v>3249</v>
      </c>
      <c r="H522" s="9" t="s">
        <v>38</v>
      </c>
      <c r="I522" s="9" t="s">
        <v>3250</v>
      </c>
      <c r="J522" s="9" t="s">
        <v>3251</v>
      </c>
      <c r="K522" s="9" t="s">
        <v>39</v>
      </c>
      <c r="L522" s="9" t="s">
        <v>40</v>
      </c>
      <c r="M522" s="9" t="s">
        <v>40</v>
      </c>
      <c r="P522" s="9" t="s">
        <v>2806</v>
      </c>
      <c r="Q522" s="9" t="s">
        <v>42</v>
      </c>
      <c r="R522" s="9">
        <v>3800.0</v>
      </c>
      <c r="S522" s="9">
        <v>0.0</v>
      </c>
      <c r="T522" s="9">
        <v>0.0</v>
      </c>
      <c r="U522" s="9">
        <v>14.0</v>
      </c>
      <c r="V522" s="9" t="s">
        <v>1910</v>
      </c>
      <c r="W522" s="9" t="s">
        <v>3252</v>
      </c>
      <c r="X522" s="9" t="s">
        <v>122</v>
      </c>
      <c r="Y522" s="9" t="s">
        <v>651</v>
      </c>
      <c r="Z522" s="9" t="s">
        <v>71</v>
      </c>
      <c r="AA522" s="9" t="s">
        <v>61</v>
      </c>
      <c r="AC522" s="9">
        <v>9.0</v>
      </c>
      <c r="AD522" s="9">
        <v>1.5</v>
      </c>
      <c r="AE522" s="9">
        <v>2.0</v>
      </c>
      <c r="AF522" s="9">
        <v>3600.0</v>
      </c>
      <c r="AG522" s="9" t="s">
        <v>42</v>
      </c>
    </row>
    <row r="523">
      <c r="A523" s="7">
        <v>44424.42088609954</v>
      </c>
      <c r="B523" s="9" t="s">
        <v>49</v>
      </c>
      <c r="C523" s="9">
        <v>29.0</v>
      </c>
      <c r="D523" s="9" t="s">
        <v>35</v>
      </c>
      <c r="E523" s="9" t="s">
        <v>36</v>
      </c>
      <c r="F523" s="9" t="s">
        <v>50</v>
      </c>
      <c r="G523" s="9" t="s">
        <v>206</v>
      </c>
      <c r="H523" s="9" t="s">
        <v>38</v>
      </c>
      <c r="I523" s="9" t="s">
        <v>2950</v>
      </c>
      <c r="J523" s="9" t="s">
        <v>3253</v>
      </c>
      <c r="K523" s="9" t="s">
        <v>39</v>
      </c>
      <c r="L523" s="9" t="s">
        <v>40</v>
      </c>
      <c r="M523" s="9" t="s">
        <v>40</v>
      </c>
      <c r="P523" s="9" t="s">
        <v>150</v>
      </c>
      <c r="Q523" s="9" t="s">
        <v>42</v>
      </c>
      <c r="R523" s="9">
        <v>7440.0</v>
      </c>
      <c r="S523" s="9">
        <v>6500.0</v>
      </c>
      <c r="T523" s="9">
        <v>0.0</v>
      </c>
      <c r="U523" s="9">
        <v>18.0</v>
      </c>
      <c r="V523" s="9" t="s">
        <v>1564</v>
      </c>
      <c r="W523" s="9" t="s">
        <v>3254</v>
      </c>
      <c r="X523" s="9" t="s">
        <v>58</v>
      </c>
      <c r="Y523" s="9" t="s">
        <v>155</v>
      </c>
      <c r="Z523" s="9" t="s">
        <v>60</v>
      </c>
      <c r="AA523" s="9" t="s">
        <v>61</v>
      </c>
      <c r="AB523" s="9" t="s">
        <v>1566</v>
      </c>
      <c r="AC523" s="9">
        <v>6.0</v>
      </c>
      <c r="AD523" s="9">
        <v>7.0</v>
      </c>
      <c r="AE523" s="9">
        <v>0.0</v>
      </c>
      <c r="AF523" s="9">
        <v>3100.0</v>
      </c>
      <c r="AG523" s="9" t="s">
        <v>42</v>
      </c>
    </row>
    <row r="524">
      <c r="A524" s="7">
        <v>44424.48822917824</v>
      </c>
      <c r="B524" s="9" t="s">
        <v>49</v>
      </c>
      <c r="C524" s="9">
        <v>22.0</v>
      </c>
      <c r="D524" s="9" t="s">
        <v>35</v>
      </c>
      <c r="E524" s="9" t="s">
        <v>36</v>
      </c>
      <c r="F524" s="9" t="s">
        <v>63</v>
      </c>
      <c r="G524" s="9" t="s">
        <v>301</v>
      </c>
      <c r="H524" s="9" t="s">
        <v>93</v>
      </c>
      <c r="I524" s="9" t="s">
        <v>2658</v>
      </c>
      <c r="J524" s="9" t="s">
        <v>1234</v>
      </c>
      <c r="K524" s="9" t="s">
        <v>39</v>
      </c>
      <c r="L524" s="9" t="s">
        <v>40</v>
      </c>
      <c r="M524" s="9" t="s">
        <v>40</v>
      </c>
      <c r="P524" s="9" t="s">
        <v>128</v>
      </c>
      <c r="Q524" s="9" t="s">
        <v>42</v>
      </c>
      <c r="R524" s="9">
        <v>3000.0</v>
      </c>
      <c r="S524" s="9">
        <v>0.0</v>
      </c>
      <c r="U524" s="9">
        <v>1.0</v>
      </c>
      <c r="V524" s="9" t="s">
        <v>1235</v>
      </c>
      <c r="W524" s="9" t="s">
        <v>1236</v>
      </c>
      <c r="X524" s="9" t="s">
        <v>1237</v>
      </c>
      <c r="Y524" s="9" t="s">
        <v>1238</v>
      </c>
      <c r="Z524" s="9" t="s">
        <v>71</v>
      </c>
      <c r="AA524" s="9" t="s">
        <v>61</v>
      </c>
      <c r="AC524" s="9">
        <v>10.0</v>
      </c>
      <c r="AD524" s="9">
        <v>1.0</v>
      </c>
      <c r="AE524" s="9">
        <v>1.0</v>
      </c>
      <c r="AF524" s="9">
        <v>3000.0</v>
      </c>
      <c r="AG524" s="9" t="s">
        <v>42</v>
      </c>
    </row>
    <row r="525">
      <c r="A525" s="7">
        <v>44424.49804701388</v>
      </c>
      <c r="B525" s="9" t="s">
        <v>49</v>
      </c>
      <c r="C525" s="9">
        <v>26.0</v>
      </c>
      <c r="D525" s="9" t="s">
        <v>35</v>
      </c>
      <c r="E525" s="9" t="s">
        <v>36</v>
      </c>
      <c r="F525" s="9" t="s">
        <v>124</v>
      </c>
      <c r="G525" s="9" t="s">
        <v>124</v>
      </c>
      <c r="H525" s="9" t="s">
        <v>38</v>
      </c>
      <c r="I525" s="9" t="s">
        <v>3255</v>
      </c>
      <c r="J525" s="9" t="s">
        <v>3256</v>
      </c>
      <c r="K525" s="9" t="s">
        <v>39</v>
      </c>
      <c r="L525" s="9" t="s">
        <v>40</v>
      </c>
      <c r="M525" s="9" t="s">
        <v>40</v>
      </c>
      <c r="P525" s="9" t="s">
        <v>2773</v>
      </c>
      <c r="Q525" s="9" t="s">
        <v>42</v>
      </c>
      <c r="R525" s="9">
        <v>200.0</v>
      </c>
      <c r="S525" s="9">
        <v>0.0</v>
      </c>
      <c r="T525" s="9">
        <v>0.0</v>
      </c>
      <c r="U525" s="9">
        <v>12.0</v>
      </c>
      <c r="V525" s="9" t="s">
        <v>1058</v>
      </c>
      <c r="W525" s="9" t="s">
        <v>1059</v>
      </c>
      <c r="X525" s="9" t="s">
        <v>58</v>
      </c>
      <c r="Y525" s="9" t="s">
        <v>159</v>
      </c>
      <c r="Z525" s="9" t="s">
        <v>71</v>
      </c>
      <c r="AA525" s="9" t="s">
        <v>61</v>
      </c>
      <c r="AB525" s="9" t="s">
        <v>1060</v>
      </c>
      <c r="AC525" s="9">
        <v>8.0</v>
      </c>
      <c r="AD525" s="9">
        <v>2.0</v>
      </c>
      <c r="AE525" s="9">
        <v>2.0</v>
      </c>
      <c r="AF525" s="9">
        <v>2800.0</v>
      </c>
      <c r="AG525" s="9" t="s">
        <v>42</v>
      </c>
    </row>
    <row r="526">
      <c r="A526" s="7">
        <v>44424.552382037036</v>
      </c>
      <c r="B526" s="9" t="s">
        <v>34</v>
      </c>
      <c r="C526" s="9">
        <v>23.0</v>
      </c>
      <c r="D526" s="9" t="s">
        <v>35</v>
      </c>
      <c r="E526" s="9" t="s">
        <v>36</v>
      </c>
      <c r="H526" s="9" t="s">
        <v>38</v>
      </c>
      <c r="K526" s="9" t="s">
        <v>39</v>
      </c>
      <c r="L526" s="9" t="s">
        <v>40</v>
      </c>
      <c r="M526" s="9" t="s">
        <v>40</v>
      </c>
      <c r="P526" s="9" t="s">
        <v>3257</v>
      </c>
      <c r="Q526" s="9" t="s">
        <v>42</v>
      </c>
      <c r="R526" s="9">
        <v>2200.0</v>
      </c>
      <c r="U526" s="9">
        <v>8.0</v>
      </c>
      <c r="V526" s="9" t="s">
        <v>43</v>
      </c>
      <c r="W526" s="9" t="s">
        <v>44</v>
      </c>
      <c r="X526" s="9" t="s">
        <v>45</v>
      </c>
      <c r="Y526" s="9" t="s">
        <v>46</v>
      </c>
      <c r="Z526" s="9" t="s">
        <v>47</v>
      </c>
      <c r="AA526" s="9" t="s">
        <v>48</v>
      </c>
      <c r="AC526" s="9">
        <v>10.0</v>
      </c>
      <c r="AD526" s="9">
        <v>0.0</v>
      </c>
      <c r="AE526" s="9">
        <v>0.0</v>
      </c>
      <c r="AF526" s="9">
        <v>0.01</v>
      </c>
      <c r="AG526" s="9" t="s">
        <v>42</v>
      </c>
    </row>
    <row r="527">
      <c r="A527" s="7">
        <v>44424.577776631944</v>
      </c>
      <c r="B527" s="9" t="s">
        <v>49</v>
      </c>
      <c r="C527" s="9">
        <v>30.0</v>
      </c>
      <c r="D527" s="9" t="s">
        <v>1086</v>
      </c>
      <c r="E527" s="9" t="s">
        <v>36</v>
      </c>
      <c r="F527" s="9" t="s">
        <v>50</v>
      </c>
      <c r="G527" s="9" t="s">
        <v>106</v>
      </c>
      <c r="H527" s="9" t="s">
        <v>38</v>
      </c>
      <c r="I527" s="9" t="s">
        <v>3258</v>
      </c>
      <c r="J527" s="9" t="s">
        <v>3259</v>
      </c>
      <c r="K527" s="9" t="s">
        <v>39</v>
      </c>
      <c r="L527" s="9" t="s">
        <v>40</v>
      </c>
      <c r="M527" s="9" t="s">
        <v>39</v>
      </c>
      <c r="P527" s="9" t="s">
        <v>3260</v>
      </c>
      <c r="Q527" s="9" t="s">
        <v>42</v>
      </c>
      <c r="R527" s="9">
        <v>13300.0</v>
      </c>
      <c r="S527" s="9">
        <v>16000.0</v>
      </c>
      <c r="T527" s="9">
        <v>0.0</v>
      </c>
      <c r="U527" s="9">
        <v>14.0</v>
      </c>
      <c r="V527" s="9" t="s">
        <v>1087</v>
      </c>
      <c r="W527" s="9" t="s">
        <v>1088</v>
      </c>
      <c r="X527" s="9" t="s">
        <v>131</v>
      </c>
      <c r="Y527" s="9" t="s">
        <v>268</v>
      </c>
      <c r="Z527" s="9" t="s">
        <v>81</v>
      </c>
      <c r="AA527" s="9" t="s">
        <v>133</v>
      </c>
      <c r="AC527" s="9">
        <v>7.0</v>
      </c>
      <c r="AD527" s="9">
        <v>9.0</v>
      </c>
      <c r="AE527" s="9">
        <v>2.0</v>
      </c>
      <c r="AF527" s="9">
        <v>2800.0</v>
      </c>
      <c r="AG527" s="9" t="s">
        <v>2934</v>
      </c>
    </row>
    <row r="528">
      <c r="A528" s="7">
        <v>44424.786546759264</v>
      </c>
      <c r="B528" s="9" t="s">
        <v>49</v>
      </c>
      <c r="C528" s="9">
        <v>32.0</v>
      </c>
      <c r="D528" s="9" t="s">
        <v>35</v>
      </c>
      <c r="E528" s="9" t="s">
        <v>36</v>
      </c>
      <c r="F528" s="9" t="s">
        <v>50</v>
      </c>
      <c r="G528" s="9" t="s">
        <v>3217</v>
      </c>
      <c r="H528" s="9" t="s">
        <v>38</v>
      </c>
      <c r="I528" s="9" t="s">
        <v>2749</v>
      </c>
      <c r="J528" s="9" t="s">
        <v>2675</v>
      </c>
      <c r="K528" s="9" t="s">
        <v>40</v>
      </c>
      <c r="L528" s="9" t="s">
        <v>40</v>
      </c>
      <c r="M528" s="9" t="s">
        <v>40</v>
      </c>
      <c r="P528" s="9" t="s">
        <v>3261</v>
      </c>
      <c r="Q528" s="9" t="s">
        <v>42</v>
      </c>
      <c r="R528" s="9">
        <v>15000.0</v>
      </c>
      <c r="S528" s="9">
        <v>15000.0</v>
      </c>
      <c r="U528" s="9">
        <v>14.0</v>
      </c>
      <c r="V528" s="9" t="s">
        <v>558</v>
      </c>
      <c r="W528" s="9" t="s">
        <v>559</v>
      </c>
      <c r="X528" s="9" t="s">
        <v>58</v>
      </c>
      <c r="Y528" s="9" t="s">
        <v>423</v>
      </c>
      <c r="Z528" s="9" t="s">
        <v>71</v>
      </c>
      <c r="AA528" s="9" t="s">
        <v>61</v>
      </c>
      <c r="AC528" s="9">
        <v>9.0</v>
      </c>
      <c r="AD528" s="9">
        <v>12.0</v>
      </c>
      <c r="AE528" s="9">
        <v>7.0</v>
      </c>
      <c r="AF528" s="9">
        <v>2000.0</v>
      </c>
      <c r="AG528" s="9" t="s">
        <v>42</v>
      </c>
    </row>
    <row r="529">
      <c r="A529" s="7">
        <v>44424.79210333333</v>
      </c>
      <c r="B529" s="9" t="s">
        <v>49</v>
      </c>
      <c r="C529" s="9">
        <v>33.0</v>
      </c>
      <c r="D529" s="9" t="s">
        <v>35</v>
      </c>
      <c r="E529" s="9" t="s">
        <v>36</v>
      </c>
      <c r="F529" s="9" t="s">
        <v>50</v>
      </c>
      <c r="G529" s="9" t="s">
        <v>570</v>
      </c>
      <c r="H529" s="9" t="s">
        <v>38</v>
      </c>
      <c r="I529" s="9" t="s">
        <v>3262</v>
      </c>
      <c r="J529" s="9" t="s">
        <v>2699</v>
      </c>
      <c r="K529" s="9" t="s">
        <v>39</v>
      </c>
      <c r="L529" s="9" t="s">
        <v>40</v>
      </c>
      <c r="M529" s="9" t="s">
        <v>40</v>
      </c>
      <c r="P529" s="9" t="s">
        <v>962</v>
      </c>
      <c r="Q529" s="9" t="s">
        <v>42</v>
      </c>
      <c r="R529" s="9">
        <v>10080.0</v>
      </c>
      <c r="S529" s="9">
        <v>10080.0</v>
      </c>
      <c r="T529" s="9">
        <v>1000.0</v>
      </c>
      <c r="U529" s="9">
        <v>18.0</v>
      </c>
      <c r="V529" s="9" t="s">
        <v>963</v>
      </c>
      <c r="W529" s="9" t="s">
        <v>964</v>
      </c>
      <c r="X529" s="9" t="s">
        <v>122</v>
      </c>
      <c r="Y529" s="9" t="s">
        <v>159</v>
      </c>
      <c r="Z529" s="9" t="s">
        <v>60</v>
      </c>
      <c r="AA529" s="9" t="s">
        <v>91</v>
      </c>
      <c r="AC529" s="9">
        <v>6.0</v>
      </c>
      <c r="AD529" s="9">
        <v>10.0</v>
      </c>
      <c r="AE529" s="9">
        <v>2.0</v>
      </c>
      <c r="AF529" s="9">
        <v>2600.0</v>
      </c>
      <c r="AG529" s="9" t="s">
        <v>42</v>
      </c>
    </row>
    <row r="530">
      <c r="A530" s="7">
        <v>44424.827006273146</v>
      </c>
      <c r="B530" s="9" t="s">
        <v>49</v>
      </c>
      <c r="C530" s="9">
        <v>27.0</v>
      </c>
      <c r="D530" s="9" t="s">
        <v>35</v>
      </c>
      <c r="E530" s="9" t="s">
        <v>36</v>
      </c>
      <c r="F530" s="9" t="s">
        <v>124</v>
      </c>
      <c r="G530" s="9" t="s">
        <v>601</v>
      </c>
      <c r="H530" s="9" t="s">
        <v>38</v>
      </c>
      <c r="I530" s="9" t="s">
        <v>2368</v>
      </c>
      <c r="J530" s="9" t="s">
        <v>1983</v>
      </c>
      <c r="K530" s="9" t="s">
        <v>39</v>
      </c>
      <c r="L530" s="9" t="s">
        <v>40</v>
      </c>
      <c r="M530" s="9" t="s">
        <v>40</v>
      </c>
      <c r="P530" s="9" t="s">
        <v>746</v>
      </c>
      <c r="Q530" s="9" t="s">
        <v>42</v>
      </c>
      <c r="R530" s="9">
        <v>6600.0</v>
      </c>
      <c r="S530" s="9">
        <v>15000.0</v>
      </c>
      <c r="T530" s="9">
        <v>0.0</v>
      </c>
      <c r="U530" s="9">
        <v>24.0</v>
      </c>
      <c r="V530" s="9" t="s">
        <v>1984</v>
      </c>
      <c r="W530" s="9" t="s">
        <v>1985</v>
      </c>
      <c r="X530" s="9" t="s">
        <v>124</v>
      </c>
      <c r="Y530" s="9" t="s">
        <v>197</v>
      </c>
      <c r="Z530" s="9" t="s">
        <v>81</v>
      </c>
      <c r="AA530" s="9" t="s">
        <v>61</v>
      </c>
      <c r="AC530" s="9">
        <v>4.0</v>
      </c>
      <c r="AD530" s="9">
        <v>4.0</v>
      </c>
      <c r="AE530" s="9">
        <v>0.0</v>
      </c>
      <c r="AF530" s="9">
        <v>3900.0</v>
      </c>
      <c r="AG530" s="9" t="s">
        <v>42</v>
      </c>
    </row>
    <row r="531">
      <c r="A531" s="7">
        <v>44425.901943715275</v>
      </c>
      <c r="B531" s="9" t="s">
        <v>49</v>
      </c>
      <c r="C531" s="9">
        <v>24.0</v>
      </c>
      <c r="D531" s="9" t="s">
        <v>2001</v>
      </c>
      <c r="E531" s="9" t="s">
        <v>36</v>
      </c>
      <c r="F531" s="9" t="s">
        <v>50</v>
      </c>
      <c r="G531" s="9" t="s">
        <v>812</v>
      </c>
      <c r="H531" s="9" t="s">
        <v>118</v>
      </c>
      <c r="I531" s="9" t="s">
        <v>367</v>
      </c>
      <c r="J531" s="9" t="s">
        <v>3263</v>
      </c>
      <c r="K531" s="9" t="s">
        <v>890</v>
      </c>
      <c r="L531" s="9" t="s">
        <v>40</v>
      </c>
      <c r="M531" s="9" t="s">
        <v>40</v>
      </c>
      <c r="P531" s="9" t="s">
        <v>3264</v>
      </c>
      <c r="Q531" s="9" t="s">
        <v>42</v>
      </c>
      <c r="R531" s="9">
        <v>6000.0</v>
      </c>
      <c r="S531" s="9">
        <v>0.0</v>
      </c>
      <c r="T531" s="9">
        <v>0.0</v>
      </c>
      <c r="U531" s="9">
        <v>10.0</v>
      </c>
      <c r="V531" s="9" t="s">
        <v>1044</v>
      </c>
      <c r="W531" s="9" t="s">
        <v>2003</v>
      </c>
      <c r="X531" s="9" t="s">
        <v>58</v>
      </c>
      <c r="Y531" s="9" t="s">
        <v>228</v>
      </c>
      <c r="Z531" s="9" t="s">
        <v>71</v>
      </c>
      <c r="AA531" s="9" t="s">
        <v>61</v>
      </c>
      <c r="AC531" s="9">
        <v>7.0</v>
      </c>
      <c r="AD531" s="9">
        <v>1.0</v>
      </c>
      <c r="AE531" s="9">
        <v>0.0</v>
      </c>
      <c r="AF531" s="9">
        <v>4000.0</v>
      </c>
      <c r="AG531" s="9" t="s">
        <v>42</v>
      </c>
    </row>
    <row r="532">
      <c r="A532" s="7">
        <v>44426.06439324074</v>
      </c>
      <c r="B532" s="9" t="s">
        <v>49</v>
      </c>
      <c r="C532" s="9">
        <v>26.0</v>
      </c>
      <c r="D532" s="9" t="s">
        <v>1548</v>
      </c>
      <c r="E532" s="9" t="s">
        <v>36</v>
      </c>
      <c r="F532" s="9" t="s">
        <v>50</v>
      </c>
      <c r="G532" s="9" t="s">
        <v>699</v>
      </c>
      <c r="H532" s="9" t="s">
        <v>38</v>
      </c>
      <c r="I532" s="9" t="s">
        <v>3265</v>
      </c>
      <c r="J532" s="9" t="s">
        <v>2997</v>
      </c>
      <c r="K532" s="9" t="s">
        <v>39</v>
      </c>
      <c r="L532" s="9" t="s">
        <v>40</v>
      </c>
      <c r="M532" s="9" t="s">
        <v>40</v>
      </c>
      <c r="P532" s="9" t="s">
        <v>128</v>
      </c>
      <c r="Q532" s="9" t="s">
        <v>42</v>
      </c>
      <c r="R532" s="9">
        <v>6200.0</v>
      </c>
      <c r="S532" s="9">
        <v>6200.0</v>
      </c>
      <c r="T532" s="9">
        <v>0.0</v>
      </c>
      <c r="U532" s="9">
        <v>14.0</v>
      </c>
      <c r="V532" s="9" t="s">
        <v>1549</v>
      </c>
      <c r="W532" s="9" t="s">
        <v>1550</v>
      </c>
      <c r="X532" s="9" t="s">
        <v>886</v>
      </c>
      <c r="Y532" s="9" t="s">
        <v>1551</v>
      </c>
      <c r="Z532" s="9" t="s">
        <v>71</v>
      </c>
      <c r="AA532" s="9" t="s">
        <v>91</v>
      </c>
      <c r="AC532" s="9">
        <v>6.0</v>
      </c>
      <c r="AD532" s="9">
        <v>3.0</v>
      </c>
      <c r="AE532" s="9">
        <v>0.0</v>
      </c>
      <c r="AF532" s="9">
        <v>3100.0</v>
      </c>
      <c r="AG532" s="9" t="s">
        <v>42</v>
      </c>
    </row>
    <row r="533">
      <c r="A533" s="7">
        <v>44426.4138519213</v>
      </c>
      <c r="B533" s="9" t="s">
        <v>49</v>
      </c>
      <c r="C533" s="9">
        <v>26.0</v>
      </c>
      <c r="D533" s="9" t="s">
        <v>35</v>
      </c>
      <c r="E533" s="9" t="s">
        <v>36</v>
      </c>
      <c r="F533" s="9" t="s">
        <v>50</v>
      </c>
      <c r="G533" s="9" t="s">
        <v>300</v>
      </c>
      <c r="H533" s="9" t="s">
        <v>38</v>
      </c>
      <c r="I533" s="9" t="s">
        <v>2467</v>
      </c>
      <c r="J533" s="9" t="s">
        <v>2627</v>
      </c>
      <c r="K533" s="9" t="s">
        <v>39</v>
      </c>
      <c r="L533" s="9" t="s">
        <v>40</v>
      </c>
      <c r="M533" s="9" t="s">
        <v>39</v>
      </c>
      <c r="O533" s="9" t="s">
        <v>398</v>
      </c>
      <c r="P533" s="9" t="s">
        <v>128</v>
      </c>
      <c r="Q533" s="9" t="s">
        <v>42</v>
      </c>
      <c r="R533" s="9">
        <v>6500.0</v>
      </c>
      <c r="S533" s="9">
        <v>0.0</v>
      </c>
      <c r="T533" s="9">
        <v>0.0</v>
      </c>
      <c r="U533" s="9">
        <v>15.0</v>
      </c>
      <c r="V533" s="9" t="s">
        <v>157</v>
      </c>
      <c r="W533" s="9" t="s">
        <v>1810</v>
      </c>
      <c r="X533" s="9" t="s">
        <v>122</v>
      </c>
      <c r="Y533" s="9" t="s">
        <v>159</v>
      </c>
      <c r="Z533" s="9" t="s">
        <v>71</v>
      </c>
      <c r="AA533" s="9" t="s">
        <v>61</v>
      </c>
      <c r="AC533" s="9">
        <v>5.0</v>
      </c>
      <c r="AD533" s="9">
        <v>4.0</v>
      </c>
      <c r="AE533" s="9">
        <v>2.0</v>
      </c>
      <c r="AF533" s="9">
        <v>3500.0</v>
      </c>
      <c r="AG533" s="9" t="s">
        <v>42</v>
      </c>
    </row>
    <row r="534">
      <c r="A534" s="7">
        <v>44426.57434366898</v>
      </c>
      <c r="B534" s="9" t="s">
        <v>49</v>
      </c>
      <c r="C534" s="9">
        <v>36.0</v>
      </c>
      <c r="D534" s="9" t="s">
        <v>35</v>
      </c>
      <c r="E534" s="9" t="s">
        <v>36</v>
      </c>
      <c r="F534" s="9" t="s">
        <v>50</v>
      </c>
      <c r="G534" s="9" t="s">
        <v>82</v>
      </c>
      <c r="H534" s="9" t="s">
        <v>38</v>
      </c>
      <c r="I534" s="9" t="s">
        <v>3266</v>
      </c>
      <c r="J534" s="9" t="s">
        <v>2675</v>
      </c>
      <c r="K534" s="9" t="s">
        <v>39</v>
      </c>
      <c r="L534" s="9" t="s">
        <v>40</v>
      </c>
      <c r="M534" s="9" t="s">
        <v>40</v>
      </c>
      <c r="P534" s="9" t="s">
        <v>119</v>
      </c>
      <c r="Q534" s="9" t="s">
        <v>42</v>
      </c>
      <c r="R534" s="9">
        <v>7000.0</v>
      </c>
      <c r="S534" s="9">
        <v>10000.0</v>
      </c>
      <c r="T534" s="9">
        <v>0.0</v>
      </c>
      <c r="U534" s="9">
        <v>14.0</v>
      </c>
      <c r="V534" s="9" t="s">
        <v>787</v>
      </c>
      <c r="W534" s="9" t="s">
        <v>788</v>
      </c>
      <c r="X534" s="9" t="s">
        <v>50</v>
      </c>
      <c r="Y534" s="9" t="s">
        <v>347</v>
      </c>
      <c r="Z534" s="9" t="s">
        <v>47</v>
      </c>
      <c r="AA534" s="9" t="s">
        <v>61</v>
      </c>
      <c r="AB534" s="9" t="s">
        <v>789</v>
      </c>
      <c r="AC534" s="9">
        <v>6.0</v>
      </c>
      <c r="AD534" s="9">
        <v>7.0</v>
      </c>
      <c r="AE534" s="9">
        <v>2.0</v>
      </c>
      <c r="AF534" s="9">
        <v>2500.0</v>
      </c>
      <c r="AG534" s="9" t="s">
        <v>42</v>
      </c>
    </row>
    <row r="535">
      <c r="A535" s="7">
        <v>44429.73355996527</v>
      </c>
      <c r="B535" s="9" t="s">
        <v>49</v>
      </c>
      <c r="C535" s="9">
        <v>21.0</v>
      </c>
      <c r="D535" s="9" t="s">
        <v>35</v>
      </c>
      <c r="E535" s="9" t="s">
        <v>36</v>
      </c>
      <c r="F535" s="9" t="s">
        <v>124</v>
      </c>
      <c r="G535" s="9" t="s">
        <v>606</v>
      </c>
      <c r="H535" s="9" t="s">
        <v>3267</v>
      </c>
      <c r="K535" s="9" t="s">
        <v>890</v>
      </c>
      <c r="L535" s="9" t="s">
        <v>39</v>
      </c>
      <c r="M535" s="9" t="s">
        <v>39</v>
      </c>
      <c r="O535" s="9" t="s">
        <v>398</v>
      </c>
      <c r="P535" s="9" t="s">
        <v>128</v>
      </c>
      <c r="Q535" s="9" t="s">
        <v>42</v>
      </c>
      <c r="R535" s="9">
        <v>3600.0</v>
      </c>
      <c r="S535" s="9">
        <v>0.0</v>
      </c>
      <c r="T535" s="9">
        <v>0.0</v>
      </c>
      <c r="U535" s="9">
        <v>14.0</v>
      </c>
      <c r="V535" s="9" t="s">
        <v>1908</v>
      </c>
      <c r="W535" s="9" t="s">
        <v>1909</v>
      </c>
      <c r="X535" s="9" t="s">
        <v>122</v>
      </c>
      <c r="Y535" s="9" t="s">
        <v>185</v>
      </c>
      <c r="Z535" s="9" t="s">
        <v>71</v>
      </c>
      <c r="AA535" s="9" t="s">
        <v>61</v>
      </c>
      <c r="AC535" s="9">
        <v>8.0</v>
      </c>
      <c r="AD535" s="9">
        <v>1.0</v>
      </c>
      <c r="AE535" s="9">
        <v>1.0</v>
      </c>
      <c r="AF535" s="9">
        <v>3600.0</v>
      </c>
      <c r="AG535" s="9" t="s">
        <v>42</v>
      </c>
    </row>
    <row r="536">
      <c r="A536" s="7">
        <v>44430.349001608796</v>
      </c>
      <c r="B536" s="9" t="s">
        <v>49</v>
      </c>
      <c r="C536" s="9">
        <v>23.0</v>
      </c>
      <c r="D536" s="9" t="s">
        <v>35</v>
      </c>
      <c r="E536" s="9" t="s">
        <v>36</v>
      </c>
      <c r="F536" s="9" t="s">
        <v>50</v>
      </c>
      <c r="G536" s="9" t="s">
        <v>3099</v>
      </c>
      <c r="H536" s="9" t="s">
        <v>38</v>
      </c>
      <c r="I536" s="9" t="s">
        <v>3268</v>
      </c>
      <c r="J536" s="9" t="s">
        <v>3269</v>
      </c>
      <c r="K536" s="9" t="s">
        <v>39</v>
      </c>
      <c r="L536" s="9" t="s">
        <v>40</v>
      </c>
      <c r="M536" s="9" t="s">
        <v>40</v>
      </c>
      <c r="N536" s="9" t="s">
        <v>890</v>
      </c>
      <c r="P536" s="9" t="s">
        <v>146</v>
      </c>
      <c r="Q536" s="9" t="s">
        <v>42</v>
      </c>
      <c r="R536" s="9">
        <v>3500.0</v>
      </c>
      <c r="S536" s="9" t="s">
        <v>1657</v>
      </c>
      <c r="U536" s="9">
        <v>12.0</v>
      </c>
      <c r="V536" s="9" t="s">
        <v>223</v>
      </c>
      <c r="W536" s="9" t="s">
        <v>809</v>
      </c>
      <c r="X536" s="9" t="s">
        <v>300</v>
      </c>
      <c r="Y536" s="9" t="s">
        <v>159</v>
      </c>
      <c r="Z536" s="9" t="s">
        <v>71</v>
      </c>
      <c r="AA536" s="9" t="s">
        <v>61</v>
      </c>
      <c r="AC536" s="9">
        <v>6.0</v>
      </c>
      <c r="AD536" s="9">
        <v>1.0</v>
      </c>
      <c r="AE536" s="9">
        <v>0.0</v>
      </c>
      <c r="AF536" s="9">
        <v>3500.0</v>
      </c>
      <c r="AG536" s="9" t="s">
        <v>42</v>
      </c>
    </row>
    <row r="537">
      <c r="A537" s="7">
        <v>44430.762492939815</v>
      </c>
      <c r="B537" s="9" t="s">
        <v>49</v>
      </c>
      <c r="C537" s="9">
        <v>24.0</v>
      </c>
      <c r="D537" s="9" t="s">
        <v>35</v>
      </c>
      <c r="E537" s="9" t="s">
        <v>36</v>
      </c>
      <c r="F537" s="9" t="s">
        <v>50</v>
      </c>
      <c r="G537" s="9" t="s">
        <v>206</v>
      </c>
      <c r="H537" s="9" t="s">
        <v>38</v>
      </c>
      <c r="I537" s="9" t="s">
        <v>2368</v>
      </c>
      <c r="J537" s="9" t="s">
        <v>2490</v>
      </c>
      <c r="K537" s="9" t="s">
        <v>39</v>
      </c>
      <c r="L537" s="9" t="s">
        <v>40</v>
      </c>
      <c r="M537" s="9" t="s">
        <v>40</v>
      </c>
      <c r="P537" s="9" t="s">
        <v>128</v>
      </c>
      <c r="Q537" s="9" t="s">
        <v>42</v>
      </c>
      <c r="R537" s="9">
        <v>3000.0</v>
      </c>
      <c r="S537" s="9">
        <v>0.0</v>
      </c>
      <c r="T537" s="9">
        <v>0.0</v>
      </c>
      <c r="U537" s="9">
        <v>24.0</v>
      </c>
      <c r="V537" s="9" t="s">
        <v>1383</v>
      </c>
      <c r="W537" s="9" t="s">
        <v>1384</v>
      </c>
      <c r="X537" s="9" t="s">
        <v>1385</v>
      </c>
      <c r="Y537" s="9" t="s">
        <v>159</v>
      </c>
      <c r="Z537" s="9" t="s">
        <v>60</v>
      </c>
      <c r="AA537" s="9" t="s">
        <v>91</v>
      </c>
      <c r="AC537" s="9">
        <v>8.0</v>
      </c>
      <c r="AD537" s="9">
        <v>1.0</v>
      </c>
      <c r="AE537" s="9">
        <v>1.0</v>
      </c>
      <c r="AF537" s="9">
        <v>3000.0</v>
      </c>
      <c r="AG537" s="9" t="s">
        <v>42</v>
      </c>
    </row>
    <row r="538">
      <c r="A538" s="7">
        <v>44431.82342457176</v>
      </c>
      <c r="B538" s="9" t="s">
        <v>49</v>
      </c>
      <c r="C538" s="9">
        <v>31.0</v>
      </c>
      <c r="D538" s="9" t="s">
        <v>35</v>
      </c>
      <c r="E538" s="9" t="s">
        <v>36</v>
      </c>
      <c r="F538" s="9" t="s">
        <v>50</v>
      </c>
      <c r="G538" s="9" t="s">
        <v>117</v>
      </c>
      <c r="H538" s="9" t="s">
        <v>118</v>
      </c>
      <c r="K538" s="9" t="s">
        <v>890</v>
      </c>
      <c r="L538" s="9" t="s">
        <v>40</v>
      </c>
      <c r="M538" s="9" t="s">
        <v>40</v>
      </c>
      <c r="P538" s="9" t="s">
        <v>119</v>
      </c>
      <c r="Q538" s="9" t="s">
        <v>42</v>
      </c>
      <c r="R538" s="9">
        <v>11500.0</v>
      </c>
      <c r="S538" s="9">
        <v>11500.0</v>
      </c>
      <c r="T538" s="9">
        <v>0.0</v>
      </c>
      <c r="U538" s="9">
        <v>365.0</v>
      </c>
      <c r="V538" s="9" t="s">
        <v>120</v>
      </c>
      <c r="W538" s="9" t="s">
        <v>121</v>
      </c>
      <c r="X538" s="9" t="s">
        <v>122</v>
      </c>
      <c r="Y538" s="9" t="s">
        <v>123</v>
      </c>
      <c r="Z538" s="9" t="s">
        <v>71</v>
      </c>
      <c r="AA538" s="9" t="s">
        <v>61</v>
      </c>
      <c r="AC538" s="9">
        <v>10.0</v>
      </c>
      <c r="AD538" s="9">
        <v>10.0</v>
      </c>
      <c r="AE538" s="9">
        <v>5.0</v>
      </c>
      <c r="AF538" s="9">
        <v>400.0</v>
      </c>
      <c r="AG538" s="9" t="s">
        <v>42</v>
      </c>
    </row>
    <row r="539">
      <c r="A539" s="7">
        <v>44433.64859174768</v>
      </c>
      <c r="B539" s="9" t="s">
        <v>49</v>
      </c>
      <c r="C539" s="9">
        <v>24.0</v>
      </c>
      <c r="D539" s="9" t="s">
        <v>35</v>
      </c>
      <c r="E539" s="9" t="s">
        <v>36</v>
      </c>
      <c r="F539" s="9" t="s">
        <v>106</v>
      </c>
      <c r="G539" s="9" t="s">
        <v>50</v>
      </c>
      <c r="H539" s="9" t="s">
        <v>247</v>
      </c>
      <c r="K539" s="9" t="s">
        <v>39</v>
      </c>
      <c r="L539" s="9" t="s">
        <v>40</v>
      </c>
      <c r="M539" s="9" t="s">
        <v>40</v>
      </c>
      <c r="P539" s="9" t="s">
        <v>128</v>
      </c>
      <c r="Q539" s="9" t="s">
        <v>42</v>
      </c>
      <c r="R539" s="9">
        <v>4000.0</v>
      </c>
      <c r="S539" s="9">
        <v>1.0</v>
      </c>
      <c r="U539" s="9">
        <v>15.0</v>
      </c>
      <c r="V539" s="9" t="s">
        <v>1320</v>
      </c>
      <c r="W539" s="9" t="s">
        <v>1321</v>
      </c>
      <c r="X539" s="9" t="s">
        <v>58</v>
      </c>
      <c r="Y539" s="9" t="s">
        <v>159</v>
      </c>
      <c r="Z539" s="9" t="s">
        <v>71</v>
      </c>
      <c r="AA539" s="9" t="s">
        <v>91</v>
      </c>
      <c r="AC539" s="9">
        <v>6.0</v>
      </c>
      <c r="AD539" s="9">
        <v>2.0</v>
      </c>
      <c r="AE539" s="9">
        <v>1.0</v>
      </c>
      <c r="AF539" s="9">
        <v>3000.0</v>
      </c>
      <c r="AG539" s="9" t="s">
        <v>42</v>
      </c>
    </row>
    <row r="540">
      <c r="A540" s="7">
        <v>44433.978352569444</v>
      </c>
      <c r="B540" s="9" t="s">
        <v>49</v>
      </c>
      <c r="C540" s="9">
        <v>24.0</v>
      </c>
      <c r="D540" s="9" t="s">
        <v>35</v>
      </c>
      <c r="E540" s="9" t="s">
        <v>36</v>
      </c>
      <c r="F540" s="9" t="s">
        <v>50</v>
      </c>
      <c r="G540" s="9" t="s">
        <v>180</v>
      </c>
      <c r="H540" s="9" t="s">
        <v>38</v>
      </c>
      <c r="I540" s="9" t="s">
        <v>2368</v>
      </c>
      <c r="J540" s="9" t="s">
        <v>2421</v>
      </c>
      <c r="K540" s="9" t="s">
        <v>39</v>
      </c>
      <c r="L540" s="9" t="s">
        <v>40</v>
      </c>
      <c r="M540" s="9" t="s">
        <v>40</v>
      </c>
      <c r="P540" s="9" t="s">
        <v>2836</v>
      </c>
      <c r="Q540" s="9" t="s">
        <v>42</v>
      </c>
      <c r="R540" s="9">
        <v>6000.0</v>
      </c>
      <c r="S540" s="9">
        <v>0.0</v>
      </c>
      <c r="T540" s="9">
        <v>0.0</v>
      </c>
      <c r="U540" s="9">
        <v>12.0</v>
      </c>
      <c r="V540" s="9" t="s">
        <v>43</v>
      </c>
      <c r="W540" s="9" t="s">
        <v>1581</v>
      </c>
      <c r="X540" s="9" t="s">
        <v>1188</v>
      </c>
      <c r="Y540" s="9" t="s">
        <v>59</v>
      </c>
      <c r="Z540" s="9" t="s">
        <v>71</v>
      </c>
      <c r="AA540" s="9" t="s">
        <v>61</v>
      </c>
      <c r="AC540" s="9">
        <v>8.0</v>
      </c>
      <c r="AD540" s="9">
        <v>4.0</v>
      </c>
      <c r="AE540" s="9">
        <v>2.0</v>
      </c>
      <c r="AF540" s="9">
        <v>3200.0</v>
      </c>
      <c r="AG540" s="9" t="s">
        <v>42</v>
      </c>
    </row>
    <row r="541">
      <c r="A541" s="7">
        <v>44435.50002365741</v>
      </c>
      <c r="B541" s="9" t="s">
        <v>49</v>
      </c>
      <c r="C541" s="9">
        <v>26.0</v>
      </c>
      <c r="D541" s="9" t="s">
        <v>35</v>
      </c>
      <c r="E541" s="9" t="s">
        <v>36</v>
      </c>
      <c r="F541" s="9" t="s">
        <v>50</v>
      </c>
      <c r="G541" s="9" t="s">
        <v>50</v>
      </c>
      <c r="H541" s="9" t="s">
        <v>38</v>
      </c>
      <c r="I541" s="9" t="s">
        <v>3270</v>
      </c>
      <c r="J541" s="9" t="s">
        <v>1829</v>
      </c>
      <c r="K541" s="9" t="s">
        <v>39</v>
      </c>
      <c r="L541" s="9" t="s">
        <v>40</v>
      </c>
      <c r="M541" s="9" t="s">
        <v>40</v>
      </c>
      <c r="P541" s="9" t="s">
        <v>128</v>
      </c>
      <c r="Q541" s="9" t="s">
        <v>42</v>
      </c>
      <c r="R541" s="9">
        <v>6750.0</v>
      </c>
      <c r="U541" s="9">
        <v>18.0</v>
      </c>
      <c r="V541" s="9" t="s">
        <v>1830</v>
      </c>
      <c r="W541" s="9" t="s">
        <v>1831</v>
      </c>
      <c r="X541" s="9" t="s">
        <v>69</v>
      </c>
      <c r="Y541" s="9" t="s">
        <v>347</v>
      </c>
      <c r="Z541" s="9" t="s">
        <v>60</v>
      </c>
      <c r="AA541" s="9" t="s">
        <v>61</v>
      </c>
      <c r="AB541" s="9" t="s">
        <v>1832</v>
      </c>
      <c r="AC541" s="9">
        <v>8.0</v>
      </c>
      <c r="AD541" s="9">
        <v>3.0</v>
      </c>
      <c r="AE541" s="9">
        <v>2.0</v>
      </c>
      <c r="AF541" s="9">
        <v>3500.0</v>
      </c>
      <c r="AG541" s="9" t="s">
        <v>3271</v>
      </c>
    </row>
    <row r="542">
      <c r="A542" s="7">
        <v>44436.50006600695</v>
      </c>
      <c r="B542" s="9" t="s">
        <v>49</v>
      </c>
      <c r="C542" s="9">
        <v>28.0</v>
      </c>
      <c r="D542" s="9" t="s">
        <v>35</v>
      </c>
      <c r="E542" s="9" t="s">
        <v>36</v>
      </c>
      <c r="F542" s="9" t="s">
        <v>124</v>
      </c>
      <c r="G542" s="9" t="s">
        <v>124</v>
      </c>
      <c r="H542" s="9" t="s">
        <v>38</v>
      </c>
      <c r="I542" s="9" t="s">
        <v>3272</v>
      </c>
      <c r="J542" s="9" t="s">
        <v>2627</v>
      </c>
      <c r="K542" s="9" t="s">
        <v>39</v>
      </c>
      <c r="L542" s="9" t="s">
        <v>40</v>
      </c>
      <c r="M542" s="9" t="s">
        <v>40</v>
      </c>
      <c r="P542" s="9" t="s">
        <v>146</v>
      </c>
      <c r="Q542" s="9" t="s">
        <v>42</v>
      </c>
      <c r="R542" s="9">
        <v>6000.0</v>
      </c>
      <c r="S542" s="9">
        <v>10000.0</v>
      </c>
      <c r="U542" s="9">
        <v>15.0</v>
      </c>
      <c r="V542" s="9" t="s">
        <v>1097</v>
      </c>
      <c r="W542" s="9" t="s">
        <v>1098</v>
      </c>
      <c r="X542" s="9" t="s">
        <v>122</v>
      </c>
      <c r="Y542" s="9" t="s">
        <v>105</v>
      </c>
      <c r="Z542" s="9" t="s">
        <v>132</v>
      </c>
      <c r="AA542" s="9" t="s">
        <v>61</v>
      </c>
      <c r="AC542" s="9">
        <v>8.0</v>
      </c>
      <c r="AD542" s="9">
        <v>5.0</v>
      </c>
      <c r="AE542" s="9">
        <v>3.0</v>
      </c>
      <c r="AF542" s="9">
        <v>2800.0</v>
      </c>
      <c r="AG542" s="9" t="s">
        <v>42</v>
      </c>
    </row>
    <row r="543">
      <c r="A543" s="7">
        <v>44437.94642238426</v>
      </c>
      <c r="B543" s="9" t="s">
        <v>49</v>
      </c>
      <c r="C543" s="9">
        <v>33.0</v>
      </c>
      <c r="D543" s="9" t="s">
        <v>35</v>
      </c>
      <c r="E543" s="9" t="s">
        <v>36</v>
      </c>
      <c r="F543" s="9" t="s">
        <v>2935</v>
      </c>
      <c r="G543" s="9" t="s">
        <v>3273</v>
      </c>
      <c r="H543" s="9" t="s">
        <v>38</v>
      </c>
      <c r="I543" s="9" t="s">
        <v>3274</v>
      </c>
      <c r="J543" s="9" t="s">
        <v>2490</v>
      </c>
      <c r="K543" s="9" t="s">
        <v>39</v>
      </c>
      <c r="L543" s="9" t="s">
        <v>40</v>
      </c>
      <c r="M543" s="9" t="s">
        <v>40</v>
      </c>
      <c r="P543" s="9" t="s">
        <v>3275</v>
      </c>
      <c r="Q543" s="9" t="s">
        <v>42</v>
      </c>
      <c r="R543" s="9">
        <v>8000.0</v>
      </c>
      <c r="S543" s="9">
        <v>0.0</v>
      </c>
      <c r="T543" s="9">
        <v>0.0</v>
      </c>
      <c r="U543" s="9">
        <v>16.0</v>
      </c>
      <c r="V543" s="9" t="s">
        <v>393</v>
      </c>
      <c r="W543" s="9" t="s">
        <v>1811</v>
      </c>
      <c r="X543" s="9" t="s">
        <v>1129</v>
      </c>
      <c r="Y543" s="9" t="s">
        <v>185</v>
      </c>
      <c r="Z543" s="9" t="s">
        <v>60</v>
      </c>
      <c r="AA543" s="9" t="s">
        <v>91</v>
      </c>
      <c r="AC543" s="9">
        <v>10.0</v>
      </c>
      <c r="AD543" s="9">
        <v>13.0</v>
      </c>
      <c r="AE543" s="9">
        <v>5.0</v>
      </c>
      <c r="AF543" s="9">
        <v>3500.0</v>
      </c>
      <c r="AG543" s="9" t="s">
        <v>42</v>
      </c>
    </row>
    <row r="544">
      <c r="A544" s="7">
        <v>44438.95748709491</v>
      </c>
      <c r="B544" s="9" t="s">
        <v>49</v>
      </c>
      <c r="C544" s="9">
        <v>30.0</v>
      </c>
      <c r="D544" s="9" t="s">
        <v>35</v>
      </c>
      <c r="E544" s="9" t="s">
        <v>36</v>
      </c>
      <c r="H544" s="9" t="s">
        <v>38</v>
      </c>
      <c r="I544" s="9" t="s">
        <v>2678</v>
      </c>
      <c r="J544" s="9" t="s">
        <v>3276</v>
      </c>
      <c r="K544" s="9" t="s">
        <v>39</v>
      </c>
      <c r="L544" s="9" t="s">
        <v>40</v>
      </c>
      <c r="M544" s="9" t="s">
        <v>40</v>
      </c>
      <c r="P544" s="9" t="s">
        <v>119</v>
      </c>
      <c r="Q544" s="9" t="s">
        <v>42</v>
      </c>
      <c r="R544" s="9">
        <v>15000.0</v>
      </c>
      <c r="S544" s="9">
        <v>30000.0</v>
      </c>
      <c r="T544" s="9">
        <v>0.0</v>
      </c>
      <c r="U544" s="9">
        <v>18.0</v>
      </c>
      <c r="V544" s="9" t="s">
        <v>1357</v>
      </c>
      <c r="W544" s="9" t="s">
        <v>1358</v>
      </c>
      <c r="X544" s="9" t="s">
        <v>36</v>
      </c>
      <c r="Y544" s="9" t="s">
        <v>297</v>
      </c>
      <c r="Z544" s="9" t="s">
        <v>132</v>
      </c>
      <c r="AA544" s="9" t="s">
        <v>91</v>
      </c>
      <c r="AC544" s="9">
        <v>9.0</v>
      </c>
      <c r="AD544" s="9">
        <v>8.0</v>
      </c>
      <c r="AE544" s="9">
        <v>3.0</v>
      </c>
      <c r="AF544" s="9">
        <v>3000.0</v>
      </c>
      <c r="AG544" s="9" t="s">
        <v>42</v>
      </c>
    </row>
    <row r="545">
      <c r="A545" s="7">
        <v>44440.33894271991</v>
      </c>
      <c r="B545" s="9" t="s">
        <v>49</v>
      </c>
      <c r="C545" s="9">
        <v>21.0</v>
      </c>
      <c r="D545" s="9" t="s">
        <v>35</v>
      </c>
      <c r="E545" s="9" t="s">
        <v>36</v>
      </c>
      <c r="F545" s="9" t="s">
        <v>50</v>
      </c>
      <c r="G545" s="9" t="s">
        <v>499</v>
      </c>
      <c r="H545" s="9" t="s">
        <v>38</v>
      </c>
      <c r="I545" s="9" t="s">
        <v>3277</v>
      </c>
      <c r="J545" s="9" t="s">
        <v>2993</v>
      </c>
      <c r="K545" s="9" t="s">
        <v>39</v>
      </c>
      <c r="L545" s="9" t="s">
        <v>40</v>
      </c>
      <c r="M545" s="9" t="s">
        <v>39</v>
      </c>
      <c r="O545" s="9" t="s">
        <v>2157</v>
      </c>
      <c r="P545" s="9" t="s">
        <v>3278</v>
      </c>
      <c r="Q545" s="9" t="s">
        <v>42</v>
      </c>
      <c r="R545" s="9">
        <v>5000.0</v>
      </c>
      <c r="S545" s="9">
        <v>0.0</v>
      </c>
      <c r="T545" s="9">
        <v>0.0</v>
      </c>
      <c r="U545" s="9">
        <v>1.0</v>
      </c>
      <c r="V545" s="9" t="s">
        <v>2159</v>
      </c>
      <c r="W545" s="9" t="s">
        <v>1233</v>
      </c>
      <c r="X545" s="9" t="s">
        <v>122</v>
      </c>
      <c r="Y545" s="9" t="s">
        <v>155</v>
      </c>
      <c r="Z545" s="9" t="s">
        <v>90</v>
      </c>
      <c r="AA545" s="9" t="s">
        <v>611</v>
      </c>
      <c r="AB545" s="9" t="s">
        <v>2160</v>
      </c>
      <c r="AC545" s="9">
        <v>9.0</v>
      </c>
      <c r="AD545" s="9">
        <v>0.0</v>
      </c>
      <c r="AE545" s="9">
        <v>2.0</v>
      </c>
      <c r="AF545" s="9">
        <v>5000.0</v>
      </c>
      <c r="AG545" s="9" t="s">
        <v>42</v>
      </c>
    </row>
    <row r="546">
      <c r="A546" s="7">
        <v>44442.30739829861</v>
      </c>
      <c r="B546" s="9" t="s">
        <v>49</v>
      </c>
      <c r="C546" s="9">
        <v>30.0</v>
      </c>
      <c r="D546" s="9" t="s">
        <v>35</v>
      </c>
      <c r="E546" s="9" t="s">
        <v>36</v>
      </c>
      <c r="F546" s="9" t="s">
        <v>63</v>
      </c>
      <c r="G546" s="9" t="s">
        <v>1241</v>
      </c>
      <c r="H546" s="9" t="s">
        <v>38</v>
      </c>
      <c r="K546" s="9" t="s">
        <v>40</v>
      </c>
      <c r="L546" s="9" t="s">
        <v>39</v>
      </c>
      <c r="M546" s="9" t="s">
        <v>39</v>
      </c>
      <c r="N546" s="9" t="s">
        <v>1242</v>
      </c>
      <c r="O546" s="9" t="s">
        <v>1243</v>
      </c>
      <c r="P546" s="9" t="s">
        <v>152</v>
      </c>
      <c r="Q546" s="9" t="s">
        <v>42</v>
      </c>
      <c r="R546" s="9">
        <v>3000.0</v>
      </c>
      <c r="U546" s="9">
        <v>8.0</v>
      </c>
      <c r="V546" s="9" t="s">
        <v>1244</v>
      </c>
      <c r="W546" s="9" t="s">
        <v>1245</v>
      </c>
      <c r="X546" s="9" t="s">
        <v>88</v>
      </c>
      <c r="Y546" s="9" t="s">
        <v>70</v>
      </c>
      <c r="Z546" s="9" t="s">
        <v>71</v>
      </c>
      <c r="AA546" s="9" t="s">
        <v>91</v>
      </c>
      <c r="AC546" s="9">
        <v>6.0</v>
      </c>
      <c r="AD546" s="9">
        <v>1.0</v>
      </c>
      <c r="AE546" s="9">
        <v>2.0</v>
      </c>
      <c r="AF546" s="9">
        <v>3000.0</v>
      </c>
      <c r="AG546" s="9" t="s">
        <v>42</v>
      </c>
    </row>
    <row r="547">
      <c r="A547" s="7">
        <v>44446.79382497685</v>
      </c>
      <c r="B547" s="9" t="s">
        <v>49</v>
      </c>
      <c r="C547" s="9">
        <v>24.0</v>
      </c>
      <c r="D547" s="9" t="s">
        <v>35</v>
      </c>
      <c r="E547" s="9" t="s">
        <v>36</v>
      </c>
      <c r="F547" s="9" t="s">
        <v>124</v>
      </c>
      <c r="G547" s="9" t="s">
        <v>124</v>
      </c>
      <c r="H547" s="9" t="s">
        <v>38</v>
      </c>
      <c r="I547" s="9" t="s">
        <v>2413</v>
      </c>
      <c r="J547" s="9" t="s">
        <v>161</v>
      </c>
      <c r="K547" s="9" t="s">
        <v>39</v>
      </c>
      <c r="L547" s="9" t="s">
        <v>40</v>
      </c>
      <c r="M547" s="9" t="s">
        <v>40</v>
      </c>
      <c r="P547" s="9" t="s">
        <v>119</v>
      </c>
      <c r="Q547" s="9" t="s">
        <v>42</v>
      </c>
      <c r="R547" s="9">
        <v>5500.0</v>
      </c>
      <c r="S547" s="9">
        <v>17000.0</v>
      </c>
      <c r="T547" s="9">
        <v>0.0</v>
      </c>
      <c r="U547" s="9">
        <v>14.0</v>
      </c>
      <c r="V547" s="9" t="s">
        <v>162</v>
      </c>
      <c r="W547" s="9" t="s">
        <v>163</v>
      </c>
      <c r="X547" s="9" t="s">
        <v>122</v>
      </c>
      <c r="Y547" s="9" t="s">
        <v>105</v>
      </c>
      <c r="Z547" s="9" t="s">
        <v>60</v>
      </c>
      <c r="AA547" s="9" t="s">
        <v>91</v>
      </c>
      <c r="AC547" s="9">
        <v>5.0</v>
      </c>
      <c r="AD547" s="9">
        <v>2.0</v>
      </c>
      <c r="AE547" s="9">
        <v>1.0</v>
      </c>
      <c r="AF547" s="9">
        <v>800.0</v>
      </c>
      <c r="AG547" s="9" t="s">
        <v>42</v>
      </c>
    </row>
    <row r="548">
      <c r="A548" s="7">
        <v>44446.79455309028</v>
      </c>
      <c r="B548" s="9" t="s">
        <v>49</v>
      </c>
      <c r="C548" s="9">
        <v>28.0</v>
      </c>
      <c r="D548" s="9" t="s">
        <v>35</v>
      </c>
      <c r="E548" s="9" t="s">
        <v>36</v>
      </c>
      <c r="F548" s="9" t="s">
        <v>349</v>
      </c>
      <c r="G548" s="9" t="s">
        <v>296</v>
      </c>
      <c r="H548" s="9" t="s">
        <v>38</v>
      </c>
      <c r="I548" s="9" t="s">
        <v>3279</v>
      </c>
      <c r="J548" s="9" t="s">
        <v>161</v>
      </c>
      <c r="K548" s="9" t="s">
        <v>39</v>
      </c>
      <c r="L548" s="9" t="s">
        <v>39</v>
      </c>
      <c r="M548" s="9" t="s">
        <v>40</v>
      </c>
      <c r="N548" s="9" t="s">
        <v>2270</v>
      </c>
      <c r="P548" s="9" t="s">
        <v>3280</v>
      </c>
      <c r="Q548" s="9" t="s">
        <v>538</v>
      </c>
      <c r="R548" s="9">
        <v>5566.0</v>
      </c>
      <c r="S548" s="9">
        <v>0.0</v>
      </c>
      <c r="T548" s="9">
        <v>0.0</v>
      </c>
      <c r="U548" s="9">
        <v>30.0</v>
      </c>
      <c r="V548" s="9" t="s">
        <v>1051</v>
      </c>
      <c r="W548" s="9" t="s">
        <v>2271</v>
      </c>
      <c r="X548" s="9" t="s">
        <v>1049</v>
      </c>
      <c r="Y548" s="9" t="s">
        <v>185</v>
      </c>
      <c r="Z548" s="9" t="s">
        <v>47</v>
      </c>
      <c r="AA548" s="9" t="s">
        <v>61</v>
      </c>
      <c r="AC548" s="9">
        <v>10.0</v>
      </c>
      <c r="AD548" s="9">
        <v>5.0</v>
      </c>
      <c r="AE548" s="9">
        <v>3.0</v>
      </c>
      <c r="AF548" s="9">
        <v>7500.0</v>
      </c>
      <c r="AG548" s="9" t="s">
        <v>42</v>
      </c>
    </row>
    <row r="549">
      <c r="A549" s="7">
        <v>44446.86742197917</v>
      </c>
      <c r="B549" s="9" t="s">
        <v>49</v>
      </c>
      <c r="C549" s="9">
        <v>30.0</v>
      </c>
      <c r="D549" s="9" t="s">
        <v>35</v>
      </c>
      <c r="E549" s="9" t="s">
        <v>36</v>
      </c>
      <c r="F549" s="9" t="s">
        <v>124</v>
      </c>
      <c r="G549" s="9" t="s">
        <v>124</v>
      </c>
      <c r="H549" s="9" t="s">
        <v>38</v>
      </c>
      <c r="I549" s="9" t="s">
        <v>3281</v>
      </c>
      <c r="J549" s="9" t="s">
        <v>2464</v>
      </c>
      <c r="K549" s="9" t="s">
        <v>39</v>
      </c>
      <c r="L549" s="9" t="s">
        <v>40</v>
      </c>
      <c r="M549" s="9" t="s">
        <v>40</v>
      </c>
      <c r="P549" s="9" t="s">
        <v>128</v>
      </c>
      <c r="Q549" s="9" t="s">
        <v>42</v>
      </c>
      <c r="R549" s="9">
        <v>9400.0</v>
      </c>
      <c r="S549" s="9">
        <v>27000.0</v>
      </c>
      <c r="U549" s="9">
        <v>21.0</v>
      </c>
      <c r="V549" s="9" t="s">
        <v>1604</v>
      </c>
      <c r="W549" s="9" t="s">
        <v>1605</v>
      </c>
      <c r="X549" s="9" t="s">
        <v>122</v>
      </c>
      <c r="Y549" s="9" t="s">
        <v>59</v>
      </c>
      <c r="Z549" s="9" t="s">
        <v>90</v>
      </c>
      <c r="AA549" s="9" t="s">
        <v>133</v>
      </c>
      <c r="AC549" s="9">
        <v>8.0</v>
      </c>
      <c r="AD549" s="9">
        <v>7.0</v>
      </c>
      <c r="AE549" s="9">
        <v>3.0</v>
      </c>
      <c r="AF549" s="9">
        <v>3200.0</v>
      </c>
      <c r="AG549" s="9" t="s">
        <v>42</v>
      </c>
    </row>
    <row r="550">
      <c r="A550" s="7">
        <v>44446.88178030093</v>
      </c>
      <c r="B550" s="9" t="s">
        <v>49</v>
      </c>
      <c r="C550" s="9">
        <v>28.0</v>
      </c>
      <c r="D550" s="9" t="s">
        <v>35</v>
      </c>
      <c r="E550" s="9" t="s">
        <v>36</v>
      </c>
      <c r="F550" s="9" t="s">
        <v>3050</v>
      </c>
      <c r="G550" s="9" t="s">
        <v>3282</v>
      </c>
      <c r="H550" s="9" t="s">
        <v>38</v>
      </c>
      <c r="I550" s="9" t="s">
        <v>3283</v>
      </c>
      <c r="J550" s="9" t="s">
        <v>3284</v>
      </c>
      <c r="K550" s="9" t="s">
        <v>39</v>
      </c>
      <c r="L550" s="9" t="s">
        <v>40</v>
      </c>
      <c r="M550" s="9" t="s">
        <v>40</v>
      </c>
      <c r="P550" s="9" t="s">
        <v>777</v>
      </c>
      <c r="Q550" s="9" t="s">
        <v>42</v>
      </c>
      <c r="R550" s="9">
        <v>5500.0</v>
      </c>
      <c r="S550" s="9">
        <v>0.0</v>
      </c>
      <c r="T550" s="9">
        <v>0.0</v>
      </c>
      <c r="U550" s="9">
        <v>14.0</v>
      </c>
      <c r="V550" s="9" t="s">
        <v>778</v>
      </c>
      <c r="W550" s="9" t="s">
        <v>779</v>
      </c>
      <c r="X550" s="9" t="s">
        <v>88</v>
      </c>
      <c r="Y550" s="9" t="s">
        <v>423</v>
      </c>
      <c r="Z550" s="9" t="s">
        <v>71</v>
      </c>
      <c r="AA550" s="9" t="s">
        <v>61</v>
      </c>
      <c r="AB550" s="9" t="s">
        <v>780</v>
      </c>
      <c r="AC550" s="9">
        <v>5.0</v>
      </c>
      <c r="AD550" s="9">
        <v>6.0</v>
      </c>
      <c r="AE550" s="9">
        <v>0.0</v>
      </c>
      <c r="AF550" s="9">
        <v>2500.0</v>
      </c>
      <c r="AG550" s="9" t="s">
        <v>42</v>
      </c>
    </row>
    <row r="551">
      <c r="A551" s="7">
        <v>44447.35539599537</v>
      </c>
      <c r="B551" s="9" t="s">
        <v>49</v>
      </c>
      <c r="C551" s="9">
        <v>26.0</v>
      </c>
      <c r="D551" s="9" t="s">
        <v>35</v>
      </c>
      <c r="E551" s="9" t="s">
        <v>36</v>
      </c>
      <c r="F551" s="9" t="s">
        <v>2544</v>
      </c>
      <c r="G551" s="9" t="s">
        <v>2544</v>
      </c>
      <c r="H551" s="9" t="s">
        <v>38</v>
      </c>
      <c r="I551" s="9" t="s">
        <v>2621</v>
      </c>
      <c r="J551" s="9" t="s">
        <v>3285</v>
      </c>
      <c r="K551" s="9" t="s">
        <v>39</v>
      </c>
      <c r="L551" s="9" t="s">
        <v>40</v>
      </c>
      <c r="M551" s="9" t="s">
        <v>40</v>
      </c>
      <c r="P551" s="9" t="s">
        <v>2486</v>
      </c>
      <c r="Q551" s="9" t="s">
        <v>42</v>
      </c>
      <c r="R551" s="9">
        <v>3716.0</v>
      </c>
      <c r="S551" s="9">
        <v>1000.0</v>
      </c>
      <c r="U551" s="9">
        <v>14.0</v>
      </c>
      <c r="V551" s="9" t="s">
        <v>1913</v>
      </c>
      <c r="W551" s="9" t="s">
        <v>3286</v>
      </c>
      <c r="X551" s="9" t="s">
        <v>2466</v>
      </c>
      <c r="Y551" s="9" t="s">
        <v>297</v>
      </c>
      <c r="Z551" s="9" t="s">
        <v>60</v>
      </c>
      <c r="AA551" s="9" t="s">
        <v>91</v>
      </c>
      <c r="AC551" s="9">
        <v>4.0</v>
      </c>
      <c r="AD551" s="9">
        <v>2.0</v>
      </c>
      <c r="AE551" s="9">
        <v>2.0</v>
      </c>
      <c r="AF551" s="9">
        <v>3600.0</v>
      </c>
      <c r="AG551" s="9" t="s">
        <v>42</v>
      </c>
    </row>
    <row r="552">
      <c r="A552" s="7">
        <v>44449.06691555555</v>
      </c>
      <c r="B552" s="9" t="s">
        <v>49</v>
      </c>
      <c r="C552" s="9">
        <v>25.0</v>
      </c>
      <c r="D552" s="9" t="s">
        <v>35</v>
      </c>
      <c r="E552" s="9" t="s">
        <v>36</v>
      </c>
      <c r="F552" s="9" t="s">
        <v>164</v>
      </c>
      <c r="G552" s="9" t="s">
        <v>767</v>
      </c>
      <c r="H552" s="9" t="s">
        <v>38</v>
      </c>
      <c r="I552" s="9" t="s">
        <v>3287</v>
      </c>
      <c r="J552" s="9" t="s">
        <v>3288</v>
      </c>
      <c r="K552" s="9" t="s">
        <v>39</v>
      </c>
      <c r="L552" s="9" t="s">
        <v>40</v>
      </c>
      <c r="M552" s="9" t="s">
        <v>40</v>
      </c>
      <c r="P552" s="9" t="s">
        <v>128</v>
      </c>
      <c r="Q552" s="9" t="s">
        <v>42</v>
      </c>
      <c r="R552" s="9">
        <v>2650.0</v>
      </c>
      <c r="S552" s="9">
        <v>1000.0</v>
      </c>
      <c r="T552" s="9">
        <v>0.0</v>
      </c>
      <c r="U552" s="9">
        <v>0.0</v>
      </c>
      <c r="V552" s="9" t="s">
        <v>999</v>
      </c>
      <c r="W552" s="9" t="s">
        <v>1000</v>
      </c>
      <c r="X552" s="9" t="s">
        <v>1001</v>
      </c>
      <c r="Y552" s="9" t="s">
        <v>89</v>
      </c>
      <c r="Z552" s="9" t="s">
        <v>71</v>
      </c>
      <c r="AA552" s="9" t="s">
        <v>91</v>
      </c>
      <c r="AC552" s="9">
        <v>7.0</v>
      </c>
      <c r="AD552" s="9">
        <v>1.0</v>
      </c>
      <c r="AE552" s="9">
        <v>0.0</v>
      </c>
      <c r="AF552" s="9">
        <v>2650.0</v>
      </c>
      <c r="AG552" s="9" t="s">
        <v>42</v>
      </c>
    </row>
    <row r="553">
      <c r="A553" s="7">
        <v>44449.679809444446</v>
      </c>
      <c r="B553" s="9" t="s">
        <v>49</v>
      </c>
      <c r="C553" s="9">
        <v>23.0</v>
      </c>
      <c r="D553" s="9" t="s">
        <v>35</v>
      </c>
      <c r="E553" s="9" t="s">
        <v>36</v>
      </c>
      <c r="F553" s="9" t="s">
        <v>363</v>
      </c>
      <c r="G553" s="9" t="s">
        <v>212</v>
      </c>
      <c r="H553" s="9" t="s">
        <v>38</v>
      </c>
      <c r="I553" s="9" t="s">
        <v>2413</v>
      </c>
      <c r="J553" s="9" t="s">
        <v>161</v>
      </c>
      <c r="K553" s="9" t="s">
        <v>39</v>
      </c>
      <c r="L553" s="9" t="s">
        <v>40</v>
      </c>
      <c r="M553" s="9" t="s">
        <v>40</v>
      </c>
      <c r="P553" s="9" t="s">
        <v>146</v>
      </c>
      <c r="Q553" s="9" t="s">
        <v>42</v>
      </c>
      <c r="R553" s="9">
        <v>3800.0</v>
      </c>
      <c r="S553" s="9">
        <v>0.0</v>
      </c>
      <c r="T553" s="9">
        <v>0.0</v>
      </c>
      <c r="U553" s="9">
        <v>14.0</v>
      </c>
      <c r="V553" s="9" t="s">
        <v>1945</v>
      </c>
      <c r="W553" s="9" t="s">
        <v>1946</v>
      </c>
      <c r="X553" s="9" t="s">
        <v>124</v>
      </c>
      <c r="Y553" s="9" t="s">
        <v>350</v>
      </c>
      <c r="Z553" s="9" t="s">
        <v>60</v>
      </c>
      <c r="AA553" s="9" t="s">
        <v>61</v>
      </c>
      <c r="AC553" s="9">
        <v>5.0</v>
      </c>
      <c r="AD553" s="9" t="s">
        <v>1947</v>
      </c>
      <c r="AE553" s="9">
        <v>0.0</v>
      </c>
      <c r="AF553" s="9">
        <v>3800.0</v>
      </c>
      <c r="AG553" s="9" t="s">
        <v>42</v>
      </c>
    </row>
    <row r="554">
      <c r="A554" s="7">
        <v>44451.822610902775</v>
      </c>
      <c r="B554" s="9" t="s">
        <v>49</v>
      </c>
      <c r="C554" s="9">
        <v>30.0</v>
      </c>
      <c r="D554" s="9" t="s">
        <v>35</v>
      </c>
      <c r="E554" s="9" t="s">
        <v>36</v>
      </c>
      <c r="F554" s="9" t="s">
        <v>124</v>
      </c>
      <c r="G554" s="9" t="s">
        <v>124</v>
      </c>
      <c r="H554" s="9" t="s">
        <v>38</v>
      </c>
      <c r="I554" s="9" t="s">
        <v>3289</v>
      </c>
      <c r="J554" s="9" t="s">
        <v>988</v>
      </c>
      <c r="K554" s="9" t="s">
        <v>39</v>
      </c>
      <c r="L554" s="9" t="s">
        <v>40</v>
      </c>
      <c r="M554" s="9" t="s">
        <v>39</v>
      </c>
      <c r="O554" s="9" t="s">
        <v>1017</v>
      </c>
      <c r="P554" s="9" t="s">
        <v>3290</v>
      </c>
      <c r="Q554" s="9" t="s">
        <v>42</v>
      </c>
      <c r="R554" s="9">
        <v>6900.0</v>
      </c>
      <c r="S554" s="9">
        <v>14000.0</v>
      </c>
      <c r="T554" s="9">
        <v>0.0</v>
      </c>
      <c r="U554" s="9">
        <v>14.0</v>
      </c>
      <c r="V554" s="9" t="s">
        <v>1019</v>
      </c>
      <c r="W554" s="9" t="s">
        <v>1020</v>
      </c>
      <c r="X554" s="9" t="s">
        <v>122</v>
      </c>
      <c r="Y554" s="9" t="s">
        <v>59</v>
      </c>
      <c r="Z554" s="9" t="s">
        <v>60</v>
      </c>
      <c r="AA554" s="9" t="s">
        <v>91</v>
      </c>
      <c r="AC554" s="9">
        <v>7.0</v>
      </c>
      <c r="AD554" s="9">
        <v>6.0</v>
      </c>
      <c r="AE554" s="9">
        <v>0.0</v>
      </c>
      <c r="AF554" s="9">
        <v>2700.0</v>
      </c>
      <c r="AG554" s="9" t="s">
        <v>42</v>
      </c>
    </row>
    <row r="555">
      <c r="A555" s="7">
        <v>44451.844206435184</v>
      </c>
      <c r="B555" s="9" t="s">
        <v>49</v>
      </c>
      <c r="C555" s="9">
        <v>33.0</v>
      </c>
      <c r="D555" s="9" t="s">
        <v>35</v>
      </c>
      <c r="E555" s="9" t="s">
        <v>36</v>
      </c>
      <c r="F555" s="9" t="s">
        <v>63</v>
      </c>
      <c r="G555" s="9" t="s">
        <v>262</v>
      </c>
      <c r="H555" s="9" t="s">
        <v>93</v>
      </c>
      <c r="I555" s="9" t="s">
        <v>3291</v>
      </c>
      <c r="J555" s="9" t="s">
        <v>2999</v>
      </c>
      <c r="K555" s="9" t="s">
        <v>39</v>
      </c>
      <c r="L555" s="9" t="s">
        <v>40</v>
      </c>
      <c r="M555" s="9" t="s">
        <v>40</v>
      </c>
      <c r="P555" s="9" t="s">
        <v>3292</v>
      </c>
      <c r="Q555" s="9" t="s">
        <v>42</v>
      </c>
      <c r="R555" s="9">
        <v>3150.0</v>
      </c>
      <c r="S555" s="9">
        <v>0.0</v>
      </c>
      <c r="T555" s="9">
        <v>0.0</v>
      </c>
      <c r="U555" s="9">
        <v>18.0</v>
      </c>
      <c r="V555" s="9" t="s">
        <v>265</v>
      </c>
      <c r="W555" s="9" t="s">
        <v>266</v>
      </c>
      <c r="X555" s="9" t="s">
        <v>267</v>
      </c>
      <c r="Y555" s="9" t="s">
        <v>268</v>
      </c>
      <c r="Z555" s="9" t="s">
        <v>60</v>
      </c>
      <c r="AA555" s="9" t="s">
        <v>61</v>
      </c>
      <c r="AC555" s="9">
        <v>4.0</v>
      </c>
      <c r="AD555" s="9">
        <v>12.0</v>
      </c>
      <c r="AE555" s="9">
        <v>1.0</v>
      </c>
      <c r="AF555" s="9">
        <v>1100.0</v>
      </c>
      <c r="AG555" s="9" t="s">
        <v>42</v>
      </c>
    </row>
    <row r="556">
      <c r="A556" s="7">
        <v>44451.86322569444</v>
      </c>
      <c r="B556" s="9" t="s">
        <v>73</v>
      </c>
      <c r="C556" s="9">
        <v>26.0</v>
      </c>
      <c r="D556" s="9" t="s">
        <v>35</v>
      </c>
      <c r="E556" s="9" t="s">
        <v>36</v>
      </c>
      <c r="F556" s="9" t="s">
        <v>124</v>
      </c>
      <c r="G556" s="9" t="s">
        <v>124</v>
      </c>
      <c r="H556" s="9" t="s">
        <v>38</v>
      </c>
      <c r="I556" s="9" t="s">
        <v>3293</v>
      </c>
      <c r="J556" s="9" t="s">
        <v>2389</v>
      </c>
      <c r="K556" s="9" t="s">
        <v>39</v>
      </c>
      <c r="L556" s="9" t="s">
        <v>40</v>
      </c>
      <c r="M556" s="9" t="s">
        <v>40</v>
      </c>
      <c r="P556" s="9" t="s">
        <v>152</v>
      </c>
      <c r="Q556" s="9" t="s">
        <v>42</v>
      </c>
      <c r="R556" s="9">
        <v>3900.0</v>
      </c>
      <c r="S556" s="9">
        <v>1500.0</v>
      </c>
      <c r="T556" s="9">
        <v>0.0</v>
      </c>
      <c r="U556" s="9">
        <v>14.0</v>
      </c>
      <c r="V556" s="9" t="s">
        <v>1287</v>
      </c>
      <c r="W556" s="9" t="s">
        <v>1288</v>
      </c>
      <c r="X556" s="9" t="s">
        <v>122</v>
      </c>
      <c r="Y556" s="9" t="s">
        <v>59</v>
      </c>
      <c r="Z556" s="9" t="s">
        <v>132</v>
      </c>
      <c r="AA556" s="9" t="s">
        <v>91</v>
      </c>
      <c r="AC556" s="9">
        <v>1.0</v>
      </c>
      <c r="AD556" s="9">
        <v>4.0</v>
      </c>
      <c r="AE556" s="9">
        <v>0.0</v>
      </c>
      <c r="AF556" s="9">
        <v>3000.0</v>
      </c>
      <c r="AG556" s="9" t="s">
        <v>42</v>
      </c>
    </row>
    <row r="557">
      <c r="A557" s="7">
        <v>44458.85280127315</v>
      </c>
      <c r="B557" s="9" t="s">
        <v>49</v>
      </c>
      <c r="C557" s="9">
        <v>22.0</v>
      </c>
      <c r="D557" s="9" t="s">
        <v>35</v>
      </c>
      <c r="E557" s="9" t="s">
        <v>36</v>
      </c>
      <c r="F557" s="9" t="s">
        <v>63</v>
      </c>
      <c r="G557" s="9" t="s">
        <v>64</v>
      </c>
      <c r="H557" s="9" t="s">
        <v>93</v>
      </c>
      <c r="I557" s="9" t="s">
        <v>3294</v>
      </c>
      <c r="J557" s="9" t="s">
        <v>2421</v>
      </c>
      <c r="K557" s="9" t="s">
        <v>39</v>
      </c>
      <c r="L557" s="9" t="s">
        <v>40</v>
      </c>
      <c r="M557" s="9" t="s">
        <v>40</v>
      </c>
      <c r="P557" s="9" t="s">
        <v>2615</v>
      </c>
      <c r="Q557" s="9" t="s">
        <v>42</v>
      </c>
      <c r="R557" s="9">
        <v>5500.0</v>
      </c>
      <c r="U557" s="9">
        <v>14.0</v>
      </c>
      <c r="V557" s="9" t="s">
        <v>732</v>
      </c>
      <c r="W557" s="9" t="s">
        <v>1949</v>
      </c>
      <c r="X557" s="9" t="s">
        <v>678</v>
      </c>
      <c r="Y557" s="9" t="s">
        <v>59</v>
      </c>
      <c r="Z557" s="9" t="s">
        <v>71</v>
      </c>
      <c r="AA557" s="9" t="s">
        <v>91</v>
      </c>
      <c r="AC557" s="9">
        <v>7.0</v>
      </c>
      <c r="AD557" s="9">
        <v>2.0</v>
      </c>
      <c r="AE557" s="9">
        <v>0.0</v>
      </c>
      <c r="AF557" s="9">
        <v>3800.0</v>
      </c>
      <c r="AG557" s="9" t="s">
        <v>42</v>
      </c>
    </row>
    <row r="558">
      <c r="A558" s="7">
        <v>44458.8836144213</v>
      </c>
      <c r="B558" s="9" t="s">
        <v>49</v>
      </c>
      <c r="C558" s="9">
        <v>26.0</v>
      </c>
      <c r="D558" s="9" t="s">
        <v>35</v>
      </c>
      <c r="E558" s="9" t="s">
        <v>36</v>
      </c>
      <c r="F558" s="9" t="s">
        <v>3295</v>
      </c>
      <c r="G558" s="9" t="s">
        <v>3296</v>
      </c>
      <c r="H558" s="9" t="s">
        <v>118</v>
      </c>
      <c r="I558" s="9" t="s">
        <v>3297</v>
      </c>
      <c r="J558" s="9" t="s">
        <v>3298</v>
      </c>
      <c r="K558" s="9" t="s">
        <v>890</v>
      </c>
      <c r="L558" s="9" t="s">
        <v>40</v>
      </c>
      <c r="M558" s="9" t="s">
        <v>40</v>
      </c>
      <c r="P558" s="9" t="s">
        <v>3299</v>
      </c>
      <c r="Q558" s="9" t="s">
        <v>42</v>
      </c>
      <c r="R558" s="9">
        <v>8000.0</v>
      </c>
      <c r="S558" s="9">
        <v>0.0</v>
      </c>
      <c r="T558" s="9">
        <v>0.0</v>
      </c>
      <c r="U558" s="9">
        <v>20.0</v>
      </c>
      <c r="V558" s="9" t="s">
        <v>590</v>
      </c>
      <c r="W558" s="9" t="s">
        <v>3300</v>
      </c>
      <c r="X558" s="9" t="s">
        <v>3301</v>
      </c>
      <c r="Y558" s="9" t="s">
        <v>97</v>
      </c>
      <c r="Z558" s="9" t="s">
        <v>60</v>
      </c>
      <c r="AA558" s="9" t="s">
        <v>91</v>
      </c>
      <c r="AC558" s="9">
        <v>8.0</v>
      </c>
      <c r="AD558" s="9">
        <v>6.0</v>
      </c>
      <c r="AE558" s="9">
        <v>1.0</v>
      </c>
      <c r="AF558" s="9">
        <v>2000.0</v>
      </c>
      <c r="AG558" s="9" t="s">
        <v>42</v>
      </c>
    </row>
    <row r="559">
      <c r="A559" s="7">
        <v>44458.8846119213</v>
      </c>
      <c r="B559" s="9" t="s">
        <v>49</v>
      </c>
      <c r="C559" s="9">
        <v>23.0</v>
      </c>
      <c r="D559" s="9" t="s">
        <v>35</v>
      </c>
      <c r="E559" s="9" t="s">
        <v>36</v>
      </c>
      <c r="F559" s="9" t="s">
        <v>186</v>
      </c>
      <c r="G559" s="9" t="s">
        <v>595</v>
      </c>
      <c r="H559" s="9" t="s">
        <v>38</v>
      </c>
      <c r="I559" s="9" t="s">
        <v>3302</v>
      </c>
      <c r="J559" s="9" t="s">
        <v>3303</v>
      </c>
      <c r="K559" s="9" t="s">
        <v>39</v>
      </c>
      <c r="L559" s="9" t="s">
        <v>40</v>
      </c>
      <c r="M559" s="9" t="s">
        <v>40</v>
      </c>
      <c r="P559" s="9" t="s">
        <v>597</v>
      </c>
      <c r="Q559" s="9" t="s">
        <v>42</v>
      </c>
      <c r="R559" s="9">
        <v>2000.0</v>
      </c>
      <c r="S559" s="9">
        <v>0.0</v>
      </c>
      <c r="T559" s="9">
        <v>0.0</v>
      </c>
      <c r="U559" s="9">
        <v>21.0</v>
      </c>
      <c r="V559" s="9" t="s">
        <v>598</v>
      </c>
      <c r="W559" s="9" t="s">
        <v>599</v>
      </c>
      <c r="X559" s="9" t="s">
        <v>122</v>
      </c>
      <c r="Y559" s="9" t="s">
        <v>59</v>
      </c>
      <c r="Z559" s="9" t="s">
        <v>81</v>
      </c>
      <c r="AA559" s="9" t="s">
        <v>61</v>
      </c>
      <c r="AC559" s="9">
        <v>9.0</v>
      </c>
      <c r="AD559" s="9" t="s">
        <v>600</v>
      </c>
      <c r="AE559" s="9">
        <v>1.0</v>
      </c>
      <c r="AF559" s="9">
        <v>2000.0</v>
      </c>
      <c r="AG559" s="9" t="s">
        <v>42</v>
      </c>
    </row>
    <row r="560">
      <c r="A560" s="7">
        <v>44458.90049525463</v>
      </c>
      <c r="B560" s="9" t="s">
        <v>49</v>
      </c>
      <c r="C560" s="9">
        <v>28.0</v>
      </c>
      <c r="D560" s="9" t="s">
        <v>35</v>
      </c>
      <c r="E560" s="9" t="s">
        <v>36</v>
      </c>
      <c r="F560" s="9" t="s">
        <v>363</v>
      </c>
      <c r="G560" s="9" t="s">
        <v>527</v>
      </c>
      <c r="H560" s="9" t="s">
        <v>38</v>
      </c>
      <c r="I560" s="9" t="s">
        <v>3304</v>
      </c>
      <c r="J560" s="9" t="s">
        <v>3109</v>
      </c>
      <c r="K560" s="9" t="s">
        <v>39</v>
      </c>
      <c r="L560" s="9" t="s">
        <v>40</v>
      </c>
      <c r="M560" s="9" t="s">
        <v>40</v>
      </c>
      <c r="P560" s="9" t="s">
        <v>3305</v>
      </c>
      <c r="Q560" s="9" t="s">
        <v>42</v>
      </c>
      <c r="R560" s="9">
        <v>6120.0</v>
      </c>
      <c r="S560" s="9">
        <v>6120.0</v>
      </c>
      <c r="T560" s="9">
        <v>0.0</v>
      </c>
      <c r="U560" s="9">
        <v>16.0</v>
      </c>
      <c r="V560" s="9" t="s">
        <v>1435</v>
      </c>
      <c r="W560" s="9" t="s">
        <v>1596</v>
      </c>
      <c r="X560" s="9" t="s">
        <v>79</v>
      </c>
      <c r="Y560" s="9" t="s">
        <v>80</v>
      </c>
      <c r="Z560" s="9" t="s">
        <v>60</v>
      </c>
      <c r="AA560" s="9" t="s">
        <v>91</v>
      </c>
      <c r="AB560" s="9" t="s">
        <v>1597</v>
      </c>
      <c r="AC560" s="9">
        <v>10.0</v>
      </c>
      <c r="AD560" s="9">
        <v>4.0</v>
      </c>
      <c r="AE560" s="9">
        <v>0.0</v>
      </c>
      <c r="AF560" s="9">
        <v>3200.0</v>
      </c>
      <c r="AG560" s="9" t="s">
        <v>42</v>
      </c>
    </row>
    <row r="561">
      <c r="A561" s="7">
        <v>44459.090468888884</v>
      </c>
      <c r="B561" s="9" t="s">
        <v>49</v>
      </c>
      <c r="C561" s="9">
        <v>28.0</v>
      </c>
      <c r="D561" s="9" t="s">
        <v>35</v>
      </c>
      <c r="E561" s="9" t="s">
        <v>36</v>
      </c>
      <c r="F561" s="9" t="s">
        <v>124</v>
      </c>
      <c r="G561" s="9" t="s">
        <v>124</v>
      </c>
      <c r="H561" s="9" t="s">
        <v>38</v>
      </c>
      <c r="I561" s="9" t="s">
        <v>2413</v>
      </c>
      <c r="J561" s="9" t="s">
        <v>3306</v>
      </c>
      <c r="K561" s="9" t="s">
        <v>39</v>
      </c>
      <c r="L561" s="9" t="s">
        <v>39</v>
      </c>
      <c r="M561" s="9" t="s">
        <v>39</v>
      </c>
      <c r="N561" s="9" t="s">
        <v>1379</v>
      </c>
      <c r="O561" s="9" t="s">
        <v>1380</v>
      </c>
      <c r="P561" s="9" t="s">
        <v>128</v>
      </c>
      <c r="Q561" s="9" t="s">
        <v>42</v>
      </c>
      <c r="R561" s="9">
        <v>11500.0</v>
      </c>
      <c r="S561" s="9">
        <v>34500.0</v>
      </c>
      <c r="T561" s="9">
        <v>0.0</v>
      </c>
      <c r="U561" s="9">
        <v>22.0</v>
      </c>
      <c r="V561" s="9" t="s">
        <v>1381</v>
      </c>
      <c r="W561" s="9" t="s">
        <v>1382</v>
      </c>
      <c r="X561" s="9" t="s">
        <v>122</v>
      </c>
      <c r="Y561" s="9" t="s">
        <v>481</v>
      </c>
      <c r="Z561" s="9" t="s">
        <v>81</v>
      </c>
      <c r="AA561" s="9" t="s">
        <v>91</v>
      </c>
      <c r="AC561" s="9">
        <v>8.0</v>
      </c>
      <c r="AD561" s="9">
        <v>6.0</v>
      </c>
      <c r="AE561" s="9">
        <v>3.0</v>
      </c>
      <c r="AF561" s="9">
        <v>3000.0</v>
      </c>
      <c r="AG561" s="9" t="s">
        <v>42</v>
      </c>
    </row>
    <row r="562">
      <c r="A562" s="7">
        <v>44459.51914107639</v>
      </c>
      <c r="B562" s="9" t="s">
        <v>49</v>
      </c>
      <c r="C562" s="9">
        <v>35.0</v>
      </c>
      <c r="D562" s="9" t="s">
        <v>35</v>
      </c>
      <c r="E562" s="9" t="s">
        <v>36</v>
      </c>
      <c r="F562" s="9" t="s">
        <v>50</v>
      </c>
      <c r="G562" s="9" t="s">
        <v>206</v>
      </c>
      <c r="H562" s="9" t="s">
        <v>38</v>
      </c>
      <c r="I562" s="9" t="s">
        <v>3307</v>
      </c>
      <c r="J562" s="9" t="s">
        <v>2444</v>
      </c>
      <c r="K562" s="9" t="s">
        <v>39</v>
      </c>
      <c r="L562" s="9" t="s">
        <v>39</v>
      </c>
      <c r="M562" s="9" t="s">
        <v>39</v>
      </c>
      <c r="N562" s="9" t="s">
        <v>1205</v>
      </c>
      <c r="O562" s="9" t="s">
        <v>1206</v>
      </c>
      <c r="P562" s="9" t="s">
        <v>3308</v>
      </c>
      <c r="Q562" s="9" t="s">
        <v>42</v>
      </c>
      <c r="R562" s="9">
        <v>10000.0</v>
      </c>
      <c r="S562" s="9">
        <v>0.0</v>
      </c>
      <c r="T562" s="9">
        <v>0.0</v>
      </c>
      <c r="U562" s="9">
        <v>14.0</v>
      </c>
      <c r="V562" s="9" t="s">
        <v>1208</v>
      </c>
      <c r="W562" s="9" t="s">
        <v>1209</v>
      </c>
      <c r="X562" s="9" t="s">
        <v>131</v>
      </c>
      <c r="Y562" s="9" t="s">
        <v>350</v>
      </c>
      <c r="Z562" s="9" t="s">
        <v>132</v>
      </c>
      <c r="AA562" s="9" t="s">
        <v>61</v>
      </c>
      <c r="AB562" s="9" t="s">
        <v>113</v>
      </c>
      <c r="AC562" s="9">
        <v>6.0</v>
      </c>
      <c r="AD562" s="9">
        <v>10.0</v>
      </c>
      <c r="AE562" s="9">
        <v>4.0</v>
      </c>
      <c r="AF562" s="9">
        <v>2900.0</v>
      </c>
      <c r="AG562" s="9" t="s">
        <v>42</v>
      </c>
    </row>
    <row r="563">
      <c r="A563" s="7">
        <v>44459.77261859954</v>
      </c>
      <c r="B563" s="9" t="s">
        <v>49</v>
      </c>
      <c r="C563" s="9">
        <v>28.0</v>
      </c>
      <c r="D563" s="9" t="s">
        <v>35</v>
      </c>
      <c r="E563" s="9" t="s">
        <v>36</v>
      </c>
      <c r="F563" s="9" t="s">
        <v>2430</v>
      </c>
      <c r="G563" s="9" t="s">
        <v>493</v>
      </c>
      <c r="H563" s="9" t="s">
        <v>38</v>
      </c>
      <c r="I563" s="9" t="s">
        <v>2413</v>
      </c>
      <c r="J563" s="9" t="s">
        <v>3080</v>
      </c>
      <c r="K563" s="9" t="s">
        <v>39</v>
      </c>
      <c r="L563" s="9" t="s">
        <v>40</v>
      </c>
      <c r="M563" s="9" t="s">
        <v>39</v>
      </c>
      <c r="O563" s="9" t="s">
        <v>973</v>
      </c>
      <c r="P563" s="9" t="s">
        <v>974</v>
      </c>
      <c r="Q563" s="9" t="s">
        <v>42</v>
      </c>
      <c r="R563" s="9">
        <v>4200.0</v>
      </c>
      <c r="S563" s="9">
        <v>8400.0</v>
      </c>
      <c r="T563" s="9">
        <v>0.0</v>
      </c>
      <c r="U563" s="9">
        <v>21.0</v>
      </c>
      <c r="V563" s="9" t="s">
        <v>975</v>
      </c>
      <c r="W563" s="9" t="s">
        <v>976</v>
      </c>
      <c r="X563" s="9" t="s">
        <v>36</v>
      </c>
      <c r="Y563" s="9" t="s">
        <v>185</v>
      </c>
      <c r="Z563" s="9" t="s">
        <v>81</v>
      </c>
      <c r="AA563" s="9" t="s">
        <v>61</v>
      </c>
      <c r="AC563" s="9">
        <v>4.0</v>
      </c>
      <c r="AD563" s="9">
        <v>5.0</v>
      </c>
      <c r="AE563" s="9">
        <v>1.0</v>
      </c>
      <c r="AF563" s="9">
        <v>2600.0</v>
      </c>
      <c r="AG563" s="9" t="s">
        <v>42</v>
      </c>
    </row>
    <row r="564">
      <c r="A564" s="7">
        <v>44460.06272190972</v>
      </c>
      <c r="B564" s="9" t="s">
        <v>49</v>
      </c>
      <c r="C564" s="9">
        <v>42.0</v>
      </c>
      <c r="D564" s="9" t="s">
        <v>35</v>
      </c>
      <c r="E564" s="9" t="s">
        <v>36</v>
      </c>
      <c r="F564" s="9" t="s">
        <v>473</v>
      </c>
      <c r="G564" s="9" t="s">
        <v>473</v>
      </c>
      <c r="H564" s="9" t="s">
        <v>247</v>
      </c>
      <c r="I564" s="9" t="s">
        <v>3309</v>
      </c>
      <c r="J564" s="9" t="s">
        <v>2490</v>
      </c>
      <c r="K564" s="9" t="s">
        <v>39</v>
      </c>
      <c r="L564" s="9" t="s">
        <v>40</v>
      </c>
      <c r="M564" s="9" t="s">
        <v>40</v>
      </c>
      <c r="P564" s="9" t="s">
        <v>3310</v>
      </c>
      <c r="Q564" s="9" t="s">
        <v>42</v>
      </c>
      <c r="R564" s="9">
        <v>6700.0</v>
      </c>
      <c r="S564" s="9">
        <v>0.0</v>
      </c>
      <c r="T564" s="9">
        <v>0.0</v>
      </c>
      <c r="U564" s="9">
        <v>30.0</v>
      </c>
      <c r="V564" s="9" t="s">
        <v>478</v>
      </c>
      <c r="W564" s="9" t="s">
        <v>479</v>
      </c>
      <c r="X564" s="9" t="s">
        <v>480</v>
      </c>
      <c r="Y564" s="9" t="s">
        <v>481</v>
      </c>
      <c r="Z564" s="9" t="s">
        <v>90</v>
      </c>
      <c r="AA564" s="9" t="s">
        <v>61</v>
      </c>
      <c r="AC564" s="9">
        <v>3.0</v>
      </c>
      <c r="AD564" s="9">
        <v>16.0</v>
      </c>
      <c r="AE564" s="9">
        <v>7.0</v>
      </c>
      <c r="AF564" s="9">
        <v>1800.0</v>
      </c>
      <c r="AG564" s="9" t="s">
        <v>42</v>
      </c>
    </row>
    <row r="565">
      <c r="A565" s="7">
        <v>44460.363339421296</v>
      </c>
      <c r="B565" s="9" t="s">
        <v>73</v>
      </c>
      <c r="C565" s="9">
        <v>28.0</v>
      </c>
      <c r="D565" s="9" t="s">
        <v>35</v>
      </c>
      <c r="E565" s="9" t="s">
        <v>36</v>
      </c>
      <c r="F565" s="9" t="s">
        <v>2544</v>
      </c>
      <c r="G565" s="9" t="s">
        <v>2544</v>
      </c>
      <c r="H565" s="9" t="s">
        <v>38</v>
      </c>
      <c r="I565" s="9" t="s">
        <v>1120</v>
      </c>
      <c r="J565" s="9" t="s">
        <v>2444</v>
      </c>
      <c r="K565" s="9" t="s">
        <v>40</v>
      </c>
      <c r="L565" s="9" t="s">
        <v>39</v>
      </c>
      <c r="M565" s="9" t="s">
        <v>40</v>
      </c>
      <c r="N565" s="9" t="s">
        <v>1121</v>
      </c>
      <c r="O565" s="9" t="s">
        <v>1122</v>
      </c>
      <c r="P565" s="9" t="s">
        <v>796</v>
      </c>
      <c r="Q565" s="9" t="s">
        <v>2521</v>
      </c>
      <c r="R565" s="9">
        <v>6000.0</v>
      </c>
      <c r="S565" s="9">
        <v>0.0</v>
      </c>
      <c r="T565" s="9">
        <v>0.0</v>
      </c>
      <c r="U565" s="9">
        <v>20.0</v>
      </c>
      <c r="V565" s="9" t="s">
        <v>1123</v>
      </c>
      <c r="W565" s="9" t="s">
        <v>1124</v>
      </c>
      <c r="X565" s="9" t="s">
        <v>2466</v>
      </c>
      <c r="Y565" s="9" t="s">
        <v>423</v>
      </c>
      <c r="Z565" s="9" t="s">
        <v>60</v>
      </c>
      <c r="AA565" s="9" t="s">
        <v>133</v>
      </c>
      <c r="AC565" s="9">
        <v>9.0</v>
      </c>
      <c r="AD565" s="9">
        <v>4.0</v>
      </c>
      <c r="AE565" s="9">
        <v>3.0</v>
      </c>
      <c r="AF565" s="9">
        <v>2800.0</v>
      </c>
      <c r="AG565" s="9" t="s">
        <v>42</v>
      </c>
    </row>
    <row r="566">
      <c r="A566" s="7">
        <v>44460.65864807871</v>
      </c>
      <c r="B566" s="9" t="s">
        <v>49</v>
      </c>
      <c r="C566" s="9">
        <v>28.0</v>
      </c>
      <c r="D566" s="9" t="s">
        <v>35</v>
      </c>
      <c r="E566" s="9" t="s">
        <v>36</v>
      </c>
      <c r="F566" s="9" t="s">
        <v>515</v>
      </c>
      <c r="G566" s="9" t="s">
        <v>836</v>
      </c>
      <c r="H566" s="9" t="s">
        <v>38</v>
      </c>
      <c r="I566" s="9" t="s">
        <v>3311</v>
      </c>
      <c r="J566" s="9" t="s">
        <v>2683</v>
      </c>
      <c r="K566" s="9" t="s">
        <v>39</v>
      </c>
      <c r="L566" s="9" t="s">
        <v>40</v>
      </c>
      <c r="M566" s="9" t="s">
        <v>40</v>
      </c>
      <c r="P566" s="9" t="s">
        <v>3312</v>
      </c>
      <c r="Q566" s="9" t="s">
        <v>42</v>
      </c>
      <c r="R566" s="9">
        <v>4600.0</v>
      </c>
      <c r="S566" s="9">
        <v>4600.0</v>
      </c>
      <c r="T566" s="9">
        <v>0.0</v>
      </c>
      <c r="U566" s="9">
        <v>16.0</v>
      </c>
      <c r="V566" s="9" t="s">
        <v>1103</v>
      </c>
      <c r="W566" s="9" t="s">
        <v>87</v>
      </c>
      <c r="X566" s="9" t="s">
        <v>1104</v>
      </c>
      <c r="Y566" s="9" t="s">
        <v>80</v>
      </c>
      <c r="Z566" s="9" t="s">
        <v>90</v>
      </c>
      <c r="AA566" s="9" t="s">
        <v>91</v>
      </c>
      <c r="AB566" s="9" t="s">
        <v>1105</v>
      </c>
      <c r="AC566" s="9">
        <v>7.0</v>
      </c>
      <c r="AD566" s="9">
        <v>5.0</v>
      </c>
      <c r="AE566" s="9">
        <v>2.0</v>
      </c>
      <c r="AF566" s="9">
        <v>2800.0</v>
      </c>
      <c r="AG566" s="9" t="s">
        <v>42</v>
      </c>
    </row>
    <row r="567">
      <c r="A567" s="7">
        <v>44463.456947604165</v>
      </c>
      <c r="B567" s="9" t="s">
        <v>49</v>
      </c>
      <c r="C567" s="9">
        <v>23.0</v>
      </c>
      <c r="D567" s="9" t="s">
        <v>35</v>
      </c>
      <c r="E567" s="9" t="s">
        <v>36</v>
      </c>
      <c r="F567" s="9" t="s">
        <v>186</v>
      </c>
      <c r="G567" s="9" t="s">
        <v>187</v>
      </c>
      <c r="H567" s="9" t="s">
        <v>38</v>
      </c>
      <c r="I567" s="9" t="s">
        <v>2467</v>
      </c>
      <c r="J567" s="9" t="s">
        <v>2478</v>
      </c>
      <c r="K567" s="9" t="s">
        <v>39</v>
      </c>
      <c r="L567" s="9" t="s">
        <v>40</v>
      </c>
      <c r="M567" s="9" t="s">
        <v>40</v>
      </c>
      <c r="P567" s="9" t="s">
        <v>1658</v>
      </c>
      <c r="Q567" s="9" t="s">
        <v>42</v>
      </c>
      <c r="R567" s="9">
        <v>3250.0</v>
      </c>
      <c r="S567" s="9">
        <v>0.0</v>
      </c>
      <c r="T567" s="9">
        <v>0.0</v>
      </c>
      <c r="U567" s="9">
        <v>24.0</v>
      </c>
      <c r="V567" s="9" t="s">
        <v>1659</v>
      </c>
      <c r="W567" s="9" t="s">
        <v>1660</v>
      </c>
      <c r="X567" s="9" t="s">
        <v>58</v>
      </c>
      <c r="Y567" s="9" t="s">
        <v>155</v>
      </c>
      <c r="Z567" s="9" t="s">
        <v>60</v>
      </c>
      <c r="AA567" s="9" t="s">
        <v>61</v>
      </c>
      <c r="AC567" s="9">
        <v>5.0</v>
      </c>
      <c r="AD567" s="9">
        <v>0.0</v>
      </c>
      <c r="AE567" s="9">
        <v>1.0</v>
      </c>
      <c r="AF567" s="9">
        <v>3250.0</v>
      </c>
      <c r="AG567" s="9" t="s">
        <v>42</v>
      </c>
    </row>
    <row r="568">
      <c r="A568" s="7">
        <v>44469.05720196759</v>
      </c>
      <c r="B568" s="9" t="s">
        <v>49</v>
      </c>
      <c r="C568" s="9">
        <v>25.0</v>
      </c>
      <c r="D568" s="9" t="s">
        <v>35</v>
      </c>
      <c r="E568" s="9" t="s">
        <v>36</v>
      </c>
      <c r="G568" s="9" t="s">
        <v>3313</v>
      </c>
      <c r="H568" s="9" t="s">
        <v>38</v>
      </c>
      <c r="I568" s="9" t="s">
        <v>3314</v>
      </c>
      <c r="J568" s="9" t="s">
        <v>502</v>
      </c>
      <c r="K568" s="9" t="s">
        <v>39</v>
      </c>
      <c r="L568" s="9" t="s">
        <v>40</v>
      </c>
      <c r="M568" s="9" t="s">
        <v>40</v>
      </c>
      <c r="P568" s="9" t="s">
        <v>1481</v>
      </c>
      <c r="Q568" s="9" t="s">
        <v>42</v>
      </c>
      <c r="R568" s="9">
        <v>3700.0</v>
      </c>
      <c r="S568" s="9">
        <v>3700.0</v>
      </c>
      <c r="T568" s="9">
        <v>0.0</v>
      </c>
      <c r="U568" s="9">
        <v>16.0</v>
      </c>
      <c r="V568" s="9" t="s">
        <v>1914</v>
      </c>
      <c r="W568" s="9" t="s">
        <v>1915</v>
      </c>
      <c r="X568" s="9" t="s">
        <v>58</v>
      </c>
      <c r="Y568" s="9" t="s">
        <v>59</v>
      </c>
      <c r="Z568" s="9" t="s">
        <v>81</v>
      </c>
      <c r="AA568" s="9" t="s">
        <v>611</v>
      </c>
      <c r="AC568" s="9">
        <v>5.0</v>
      </c>
      <c r="AD568" s="9">
        <v>0.0</v>
      </c>
      <c r="AE568" s="9">
        <v>1.0</v>
      </c>
      <c r="AF568" s="9">
        <v>3600.0</v>
      </c>
      <c r="AG568" s="9" t="s">
        <v>42</v>
      </c>
    </row>
    <row r="569">
      <c r="A569" s="7">
        <v>44470.02754734954</v>
      </c>
      <c r="B569" s="9" t="s">
        <v>49</v>
      </c>
      <c r="C569" s="9">
        <v>26.0</v>
      </c>
      <c r="D569" s="9" t="s">
        <v>35</v>
      </c>
      <c r="E569" s="9" t="s">
        <v>36</v>
      </c>
      <c r="F569" s="9" t="s">
        <v>349</v>
      </c>
      <c r="G569" s="9" t="s">
        <v>606</v>
      </c>
      <c r="H569" s="9" t="s">
        <v>38</v>
      </c>
      <c r="I569" s="9" t="s">
        <v>2413</v>
      </c>
      <c r="J569" s="9" t="s">
        <v>3315</v>
      </c>
      <c r="K569" s="9" t="s">
        <v>39</v>
      </c>
      <c r="L569" s="9" t="s">
        <v>40</v>
      </c>
      <c r="M569" s="9" t="s">
        <v>40</v>
      </c>
      <c r="P569" s="9" t="s">
        <v>2726</v>
      </c>
      <c r="Q569" s="9" t="s">
        <v>42</v>
      </c>
      <c r="R569" s="9">
        <v>16500.0</v>
      </c>
      <c r="S569" s="9">
        <v>50000.0</v>
      </c>
      <c r="T569" s="9">
        <v>2500.0</v>
      </c>
      <c r="U569" s="9">
        <v>18.0</v>
      </c>
      <c r="V569" s="9" t="s">
        <v>2018</v>
      </c>
      <c r="W569" s="9" t="s">
        <v>2019</v>
      </c>
      <c r="X569" s="9" t="s">
        <v>131</v>
      </c>
      <c r="Y569" s="9" t="s">
        <v>350</v>
      </c>
      <c r="Z569" s="9" t="s">
        <v>81</v>
      </c>
      <c r="AA569" s="9" t="s">
        <v>61</v>
      </c>
      <c r="AC569" s="9">
        <v>10.0</v>
      </c>
      <c r="AD569" s="9">
        <v>5.0</v>
      </c>
      <c r="AE569" s="9">
        <v>2.0</v>
      </c>
      <c r="AF569" s="9">
        <v>4000.0</v>
      </c>
      <c r="AG569" s="9" t="s">
        <v>42</v>
      </c>
    </row>
    <row r="570">
      <c r="A570" s="7">
        <v>44471.838109675926</v>
      </c>
      <c r="B570" s="9" t="s">
        <v>49</v>
      </c>
      <c r="C570" s="9">
        <v>41.0</v>
      </c>
      <c r="D570" s="9" t="s">
        <v>35</v>
      </c>
      <c r="E570" s="9" t="s">
        <v>36</v>
      </c>
      <c r="F570" s="9" t="s">
        <v>50</v>
      </c>
      <c r="G570" s="9" t="s">
        <v>117</v>
      </c>
      <c r="H570" s="9" t="s">
        <v>38</v>
      </c>
      <c r="I570" s="9" t="s">
        <v>2978</v>
      </c>
      <c r="J570" s="9" t="s">
        <v>3316</v>
      </c>
      <c r="K570" s="9" t="s">
        <v>39</v>
      </c>
      <c r="L570" s="9" t="s">
        <v>40</v>
      </c>
      <c r="M570" s="9" t="s">
        <v>40</v>
      </c>
      <c r="P570" s="9" t="s">
        <v>3317</v>
      </c>
      <c r="Q570" s="9" t="s">
        <v>42</v>
      </c>
      <c r="R570" s="9">
        <v>15000.0</v>
      </c>
      <c r="S570" s="9">
        <v>5000.0</v>
      </c>
      <c r="T570" s="9">
        <v>0.0</v>
      </c>
      <c r="U570" s="9">
        <v>14.0</v>
      </c>
      <c r="V570" s="9" t="s">
        <v>2008</v>
      </c>
      <c r="W570" s="9" t="s">
        <v>2009</v>
      </c>
      <c r="X570" s="9" t="s">
        <v>246</v>
      </c>
      <c r="Y570" s="9" t="s">
        <v>105</v>
      </c>
      <c r="Z570" s="9" t="s">
        <v>71</v>
      </c>
      <c r="AA570" s="9" t="s">
        <v>91</v>
      </c>
      <c r="AC570" s="9">
        <v>10.0</v>
      </c>
      <c r="AD570" s="9">
        <v>20.0</v>
      </c>
      <c r="AE570" s="9">
        <v>4.0</v>
      </c>
      <c r="AF570" s="9">
        <v>4000.0</v>
      </c>
      <c r="AG570" s="9" t="s">
        <v>42</v>
      </c>
    </row>
    <row r="571">
      <c r="A571" s="7">
        <v>44471.83819185186</v>
      </c>
      <c r="B571" s="9" t="s">
        <v>49</v>
      </c>
      <c r="C571" s="9">
        <v>41.0</v>
      </c>
      <c r="D571" s="9" t="s">
        <v>35</v>
      </c>
      <c r="E571" s="9" t="s">
        <v>36</v>
      </c>
      <c r="F571" s="9" t="s">
        <v>50</v>
      </c>
      <c r="G571" s="9" t="s">
        <v>117</v>
      </c>
      <c r="H571" s="9" t="s">
        <v>38</v>
      </c>
      <c r="I571" s="9" t="s">
        <v>2978</v>
      </c>
      <c r="J571" s="9" t="s">
        <v>3316</v>
      </c>
      <c r="K571" s="9" t="s">
        <v>39</v>
      </c>
      <c r="L571" s="9" t="s">
        <v>40</v>
      </c>
      <c r="M571" s="9" t="s">
        <v>40</v>
      </c>
      <c r="P571" s="9" t="s">
        <v>3317</v>
      </c>
      <c r="Q571" s="9" t="s">
        <v>42</v>
      </c>
      <c r="R571" s="9">
        <v>15000.0</v>
      </c>
      <c r="S571" s="9">
        <v>5000.0</v>
      </c>
      <c r="T571" s="9">
        <v>0.0</v>
      </c>
      <c r="U571" s="9">
        <v>14.0</v>
      </c>
      <c r="V571" s="9" t="s">
        <v>2008</v>
      </c>
      <c r="W571" s="9" t="s">
        <v>2009</v>
      </c>
      <c r="X571" s="9" t="s">
        <v>246</v>
      </c>
      <c r="Y571" s="9" t="s">
        <v>105</v>
      </c>
      <c r="Z571" s="9" t="s">
        <v>71</v>
      </c>
      <c r="AA571" s="9" t="s">
        <v>91</v>
      </c>
      <c r="AC571" s="9">
        <v>10.0</v>
      </c>
      <c r="AD571" s="9">
        <v>20.0</v>
      </c>
      <c r="AE571" s="9">
        <v>4.0</v>
      </c>
      <c r="AF571" s="9">
        <v>4000.0</v>
      </c>
      <c r="AG571" s="9" t="s">
        <v>42</v>
      </c>
    </row>
    <row r="572">
      <c r="A572" s="7">
        <v>44473.81582122685</v>
      </c>
      <c r="B572" s="9" t="s">
        <v>49</v>
      </c>
      <c r="C572" s="9">
        <v>23.0</v>
      </c>
      <c r="D572" s="9" t="s">
        <v>35</v>
      </c>
      <c r="E572" s="9" t="s">
        <v>36</v>
      </c>
      <c r="F572" s="9" t="s">
        <v>1311</v>
      </c>
      <c r="G572" s="9" t="s">
        <v>1312</v>
      </c>
      <c r="H572" s="9" t="s">
        <v>38</v>
      </c>
      <c r="I572" s="9" t="s">
        <v>3208</v>
      </c>
      <c r="J572" s="9" t="s">
        <v>2832</v>
      </c>
      <c r="K572" s="9" t="s">
        <v>39</v>
      </c>
      <c r="L572" s="9" t="s">
        <v>40</v>
      </c>
      <c r="M572" s="9" t="s">
        <v>39</v>
      </c>
      <c r="O572" s="9" t="s">
        <v>1313</v>
      </c>
      <c r="P572" s="9" t="s">
        <v>128</v>
      </c>
      <c r="Q572" s="9" t="s">
        <v>42</v>
      </c>
      <c r="R572" s="9">
        <v>5000.0</v>
      </c>
      <c r="S572" s="9">
        <v>0.0</v>
      </c>
      <c r="T572" s="9">
        <v>0.0</v>
      </c>
      <c r="U572" s="9">
        <v>15.0</v>
      </c>
      <c r="V572" s="9" t="s">
        <v>1314</v>
      </c>
      <c r="W572" s="9" t="s">
        <v>1315</v>
      </c>
      <c r="X572" s="9" t="s">
        <v>58</v>
      </c>
      <c r="Y572" s="9" t="s">
        <v>70</v>
      </c>
      <c r="Z572" s="9" t="s">
        <v>71</v>
      </c>
      <c r="AA572" s="9" t="s">
        <v>61</v>
      </c>
      <c r="AC572" s="9">
        <v>6.0</v>
      </c>
      <c r="AD572" s="9">
        <v>1.0</v>
      </c>
      <c r="AE572" s="9">
        <v>1.0</v>
      </c>
      <c r="AF572" s="9">
        <v>3000.0</v>
      </c>
      <c r="AG572" s="9" t="s">
        <v>42</v>
      </c>
    </row>
    <row r="573">
      <c r="A573" s="7">
        <v>44476.79987158565</v>
      </c>
      <c r="B573" s="9" t="s">
        <v>49</v>
      </c>
      <c r="C573" s="9">
        <v>31.0</v>
      </c>
      <c r="D573" s="9" t="s">
        <v>35</v>
      </c>
      <c r="E573" s="9" t="s">
        <v>36</v>
      </c>
      <c r="F573" s="9" t="s">
        <v>50</v>
      </c>
      <c r="G573" s="9" t="s">
        <v>2457</v>
      </c>
      <c r="H573" s="9" t="s">
        <v>247</v>
      </c>
      <c r="I573" s="9" t="s">
        <v>3318</v>
      </c>
      <c r="J573" s="9" t="s">
        <v>3319</v>
      </c>
      <c r="K573" s="9" t="s">
        <v>40</v>
      </c>
      <c r="L573" s="9" t="s">
        <v>39</v>
      </c>
      <c r="M573" s="9" t="s">
        <v>40</v>
      </c>
      <c r="N573" s="9" t="s">
        <v>2712</v>
      </c>
      <c r="P573" s="9" t="s">
        <v>3320</v>
      </c>
      <c r="Q573" s="9" t="s">
        <v>3321</v>
      </c>
      <c r="R573" s="9">
        <v>7000.0</v>
      </c>
      <c r="S573" s="9">
        <v>0.0</v>
      </c>
      <c r="T573" s="9">
        <v>0.0</v>
      </c>
      <c r="U573" s="9">
        <v>20.0</v>
      </c>
      <c r="V573" s="9" t="s">
        <v>1127</v>
      </c>
      <c r="W573" s="9" t="s">
        <v>3322</v>
      </c>
      <c r="X573" s="9" t="s">
        <v>3323</v>
      </c>
      <c r="Y573" s="9" t="s">
        <v>59</v>
      </c>
      <c r="Z573" s="9" t="s">
        <v>60</v>
      </c>
      <c r="AA573" s="9" t="s">
        <v>611</v>
      </c>
      <c r="AC573" s="9">
        <v>10.0</v>
      </c>
      <c r="AD573" s="9">
        <v>3.0</v>
      </c>
      <c r="AE573" s="9">
        <v>3.0</v>
      </c>
      <c r="AF573" s="9">
        <v>2800.0</v>
      </c>
      <c r="AG573" s="9" t="s">
        <v>42</v>
      </c>
    </row>
    <row r="574">
      <c r="A574" s="7">
        <v>44476.88006585649</v>
      </c>
      <c r="B574" s="9" t="s">
        <v>49</v>
      </c>
      <c r="C574" s="9">
        <v>25.0</v>
      </c>
      <c r="D574" s="9" t="s">
        <v>35</v>
      </c>
      <c r="E574" s="9" t="s">
        <v>36</v>
      </c>
      <c r="F574" s="9" t="s">
        <v>124</v>
      </c>
      <c r="G574" s="9" t="s">
        <v>206</v>
      </c>
      <c r="H574" s="9" t="s">
        <v>247</v>
      </c>
      <c r="I574" s="9" t="s">
        <v>3324</v>
      </c>
      <c r="J574" s="9" t="s">
        <v>2997</v>
      </c>
      <c r="K574" s="9" t="s">
        <v>39</v>
      </c>
      <c r="L574" s="9" t="s">
        <v>40</v>
      </c>
      <c r="M574" s="9" t="s">
        <v>40</v>
      </c>
      <c r="P574" s="9" t="s">
        <v>2597</v>
      </c>
      <c r="Q574" s="9" t="s">
        <v>42</v>
      </c>
      <c r="R574" s="9">
        <v>6900.0</v>
      </c>
      <c r="S574" s="9">
        <v>6900.0</v>
      </c>
      <c r="U574" s="9">
        <v>15.0</v>
      </c>
      <c r="V574" s="9" t="s">
        <v>2168</v>
      </c>
      <c r="W574" s="9" t="s">
        <v>2169</v>
      </c>
      <c r="X574" s="9" t="s">
        <v>124</v>
      </c>
      <c r="Y574" s="9" t="s">
        <v>268</v>
      </c>
      <c r="Z574" s="9" t="s">
        <v>60</v>
      </c>
      <c r="AA574" s="9" t="s">
        <v>91</v>
      </c>
      <c r="AB574" s="9"/>
      <c r="AC574" s="9">
        <v>8.0</v>
      </c>
      <c r="AD574" s="9">
        <v>0.0</v>
      </c>
      <c r="AE574" s="9">
        <v>1.0</v>
      </c>
      <c r="AF574" s="9">
        <v>5000.0</v>
      </c>
      <c r="AG574" s="9" t="s">
        <v>42</v>
      </c>
    </row>
    <row r="575">
      <c r="A575" s="7">
        <v>44476.894576493054</v>
      </c>
      <c r="B575" s="9" t="s">
        <v>49</v>
      </c>
      <c r="C575" s="9">
        <v>22.0</v>
      </c>
      <c r="D575" s="9" t="s">
        <v>35</v>
      </c>
      <c r="E575" s="9" t="s">
        <v>36</v>
      </c>
      <c r="F575" s="9" t="s">
        <v>50</v>
      </c>
      <c r="G575" s="9" t="s">
        <v>106</v>
      </c>
      <c r="H575" s="9" t="s">
        <v>38</v>
      </c>
      <c r="I575" s="9" t="s">
        <v>2368</v>
      </c>
      <c r="J575" s="9" t="s">
        <v>3325</v>
      </c>
      <c r="K575" s="9" t="s">
        <v>39</v>
      </c>
      <c r="L575" s="9" t="s">
        <v>40</v>
      </c>
      <c r="M575" s="9" t="s">
        <v>40</v>
      </c>
      <c r="P575" s="9" t="s">
        <v>2755</v>
      </c>
      <c r="Q575" s="9" t="s">
        <v>42</v>
      </c>
      <c r="R575" s="9">
        <v>3000.0</v>
      </c>
      <c r="S575" s="9">
        <v>0.0</v>
      </c>
      <c r="T575" s="9">
        <v>0.0</v>
      </c>
      <c r="U575" s="9">
        <v>12.0</v>
      </c>
      <c r="V575" s="9" t="s">
        <v>273</v>
      </c>
      <c r="W575" s="9" t="s">
        <v>274</v>
      </c>
      <c r="X575" s="9" t="s">
        <v>58</v>
      </c>
      <c r="Y575" s="9" t="s">
        <v>89</v>
      </c>
      <c r="Z575" s="9" t="s">
        <v>132</v>
      </c>
      <c r="AA575" s="9" t="s">
        <v>61</v>
      </c>
      <c r="AC575" s="9">
        <v>7.0</v>
      </c>
      <c r="AD575" s="9">
        <v>0.0</v>
      </c>
      <c r="AE575" s="9">
        <v>1.0</v>
      </c>
      <c r="AF575" s="9">
        <v>1200.0</v>
      </c>
      <c r="AG575" s="9" t="s">
        <v>42</v>
      </c>
    </row>
    <row r="576">
      <c r="A576" s="7">
        <v>44476.924903067134</v>
      </c>
      <c r="B576" s="9" t="s">
        <v>49</v>
      </c>
      <c r="C576" s="9">
        <v>25.0</v>
      </c>
      <c r="D576" s="9" t="s">
        <v>35</v>
      </c>
      <c r="E576" s="9" t="s">
        <v>36</v>
      </c>
      <c r="F576" s="9" t="s">
        <v>50</v>
      </c>
      <c r="G576" s="9" t="s">
        <v>300</v>
      </c>
      <c r="H576" s="9" t="s">
        <v>38</v>
      </c>
      <c r="I576" s="9" t="s">
        <v>3326</v>
      </c>
      <c r="K576" s="9" t="s">
        <v>39</v>
      </c>
      <c r="L576" s="9" t="s">
        <v>40</v>
      </c>
      <c r="M576" s="9" t="s">
        <v>40</v>
      </c>
      <c r="P576" s="9" t="s">
        <v>119</v>
      </c>
      <c r="Q576" s="9" t="s">
        <v>42</v>
      </c>
      <c r="R576" s="9">
        <v>19600.0</v>
      </c>
      <c r="S576" s="9">
        <v>19600.0</v>
      </c>
      <c r="U576" s="9">
        <v>0.0</v>
      </c>
      <c r="V576" s="9" t="s">
        <v>536</v>
      </c>
      <c r="W576" s="9" t="s">
        <v>2155</v>
      </c>
      <c r="X576" s="9" t="s">
        <v>2156</v>
      </c>
      <c r="Y576" s="9" t="s">
        <v>350</v>
      </c>
      <c r="Z576" s="9" t="s">
        <v>60</v>
      </c>
      <c r="AA576" s="9" t="s">
        <v>61</v>
      </c>
      <c r="AC576" s="9">
        <v>3.0</v>
      </c>
      <c r="AD576" s="9">
        <v>3.0</v>
      </c>
      <c r="AE576" s="9">
        <v>1.0</v>
      </c>
      <c r="AF576" s="9">
        <v>5000.0</v>
      </c>
      <c r="AG576" s="9" t="s">
        <v>42</v>
      </c>
    </row>
    <row r="577">
      <c r="A577" s="7">
        <v>44476.94699877314</v>
      </c>
      <c r="B577" s="9" t="s">
        <v>49</v>
      </c>
      <c r="C577" s="9">
        <v>23.0</v>
      </c>
      <c r="D577" s="9" t="s">
        <v>35</v>
      </c>
      <c r="E577" s="9" t="s">
        <v>36</v>
      </c>
      <c r="F577" s="9" t="s">
        <v>69</v>
      </c>
      <c r="G577" s="9" t="s">
        <v>604</v>
      </c>
      <c r="H577" s="9" t="s">
        <v>38</v>
      </c>
      <c r="I577" s="9" t="s">
        <v>3327</v>
      </c>
      <c r="J577" s="9" t="s">
        <v>2631</v>
      </c>
      <c r="K577" s="9" t="s">
        <v>39</v>
      </c>
      <c r="L577" s="9" t="s">
        <v>40</v>
      </c>
      <c r="M577" s="9" t="s">
        <v>40</v>
      </c>
      <c r="P577" s="9" t="s">
        <v>2883</v>
      </c>
      <c r="Q577" s="9" t="s">
        <v>42</v>
      </c>
      <c r="R577" s="9">
        <v>4000.0</v>
      </c>
      <c r="S577" s="9" t="s">
        <v>1657</v>
      </c>
      <c r="T577" s="9">
        <v>0.0</v>
      </c>
      <c r="U577" s="9">
        <v>12.0</v>
      </c>
      <c r="V577" s="9" t="s">
        <v>1772</v>
      </c>
      <c r="W577" s="9" t="s">
        <v>1378</v>
      </c>
      <c r="X577" s="9" t="s">
        <v>300</v>
      </c>
      <c r="Y577" s="9" t="s">
        <v>59</v>
      </c>
      <c r="Z577" s="9" t="s">
        <v>71</v>
      </c>
      <c r="AA577" s="9" t="s">
        <v>61</v>
      </c>
      <c r="AC577" s="9">
        <v>6.0</v>
      </c>
      <c r="AD577" s="9">
        <v>1.0</v>
      </c>
      <c r="AE577" s="9">
        <v>0.0</v>
      </c>
      <c r="AF577" s="9">
        <v>3500.0</v>
      </c>
      <c r="AG577" s="9" t="s">
        <v>42</v>
      </c>
    </row>
    <row r="578">
      <c r="A578" s="7">
        <v>44477.37675596065</v>
      </c>
      <c r="B578" s="9" t="s">
        <v>49</v>
      </c>
      <c r="C578" s="9">
        <v>25.0</v>
      </c>
      <c r="D578" s="9" t="s">
        <v>35</v>
      </c>
      <c r="E578" s="9" t="s">
        <v>36</v>
      </c>
      <c r="F578" s="9" t="s">
        <v>363</v>
      </c>
      <c r="G578" s="9" t="s">
        <v>1256</v>
      </c>
      <c r="H578" s="9" t="s">
        <v>38</v>
      </c>
      <c r="I578" s="9" t="s">
        <v>3328</v>
      </c>
      <c r="J578" s="9" t="s">
        <v>2376</v>
      </c>
      <c r="K578" s="9" t="s">
        <v>39</v>
      </c>
      <c r="L578" s="9" t="s">
        <v>40</v>
      </c>
      <c r="M578" s="9" t="s">
        <v>40</v>
      </c>
      <c r="P578" s="9" t="s">
        <v>128</v>
      </c>
      <c r="Q578" s="9" t="s">
        <v>42</v>
      </c>
      <c r="R578" s="9">
        <v>4107.0</v>
      </c>
      <c r="S578" s="9">
        <v>4107.0</v>
      </c>
      <c r="T578" s="9">
        <v>0.0</v>
      </c>
      <c r="U578" s="9">
        <v>12.0</v>
      </c>
      <c r="V578" s="9" t="s">
        <v>1257</v>
      </c>
      <c r="W578" s="9" t="s">
        <v>1258</v>
      </c>
      <c r="X578" s="9" t="s">
        <v>79</v>
      </c>
      <c r="Y578" s="9" t="s">
        <v>80</v>
      </c>
      <c r="Z578" s="9" t="s">
        <v>132</v>
      </c>
      <c r="AA578" s="9" t="s">
        <v>61</v>
      </c>
      <c r="AC578" s="9">
        <v>5.0</v>
      </c>
      <c r="AD578" s="9">
        <v>1.5</v>
      </c>
      <c r="AE578" s="9">
        <v>1.0</v>
      </c>
      <c r="AF578" s="9">
        <v>3000.0</v>
      </c>
      <c r="AG578" s="9" t="s">
        <v>42</v>
      </c>
    </row>
    <row r="579">
      <c r="A579" s="7">
        <v>44477.56152862268</v>
      </c>
      <c r="B579" s="9" t="s">
        <v>49</v>
      </c>
      <c r="C579" s="9">
        <v>23.0</v>
      </c>
      <c r="D579" s="9" t="s">
        <v>35</v>
      </c>
      <c r="E579" s="9" t="s">
        <v>36</v>
      </c>
      <c r="F579" s="9" t="s">
        <v>3329</v>
      </c>
      <c r="G579" s="9" t="s">
        <v>3330</v>
      </c>
      <c r="H579" s="9" t="s">
        <v>38</v>
      </c>
      <c r="I579" s="9" t="s">
        <v>2368</v>
      </c>
      <c r="K579" s="9" t="s">
        <v>39</v>
      </c>
      <c r="L579" s="9" t="s">
        <v>40</v>
      </c>
      <c r="M579" s="9" t="s">
        <v>40</v>
      </c>
      <c r="P579" s="9" t="s">
        <v>128</v>
      </c>
      <c r="Q579" s="9" t="s">
        <v>42</v>
      </c>
      <c r="R579" s="9">
        <v>3900.0</v>
      </c>
      <c r="U579" s="9">
        <v>15.0</v>
      </c>
      <c r="V579" s="9" t="s">
        <v>1980</v>
      </c>
      <c r="W579" s="9" t="s">
        <v>1981</v>
      </c>
      <c r="X579" s="9" t="s">
        <v>1982</v>
      </c>
      <c r="Y579" s="9" t="s">
        <v>481</v>
      </c>
      <c r="Z579" s="9" t="s">
        <v>90</v>
      </c>
      <c r="AA579" s="9" t="s">
        <v>91</v>
      </c>
      <c r="AC579" s="9">
        <v>9.0</v>
      </c>
      <c r="AD579" s="9">
        <v>0.5</v>
      </c>
      <c r="AE579" s="9">
        <v>0.0</v>
      </c>
      <c r="AF579" s="9">
        <v>3900.0</v>
      </c>
      <c r="AG579" s="9" t="s">
        <v>2521</v>
      </c>
    </row>
    <row r="580">
      <c r="A580" s="7">
        <v>44477.56540760417</v>
      </c>
      <c r="B580" s="9" t="s">
        <v>49</v>
      </c>
      <c r="C580" s="9">
        <v>24.0</v>
      </c>
      <c r="D580" s="9" t="s">
        <v>35</v>
      </c>
      <c r="E580" s="9" t="s">
        <v>36</v>
      </c>
      <c r="F580" s="9" t="s">
        <v>50</v>
      </c>
      <c r="G580" s="9" t="s">
        <v>106</v>
      </c>
      <c r="H580" s="9" t="s">
        <v>38</v>
      </c>
      <c r="I580" s="9" t="s">
        <v>2368</v>
      </c>
      <c r="J580" s="9" t="s">
        <v>2381</v>
      </c>
      <c r="K580" s="9" t="s">
        <v>39</v>
      </c>
      <c r="L580" s="9" t="s">
        <v>40</v>
      </c>
      <c r="M580" s="9" t="s">
        <v>40</v>
      </c>
      <c r="P580" s="9" t="s">
        <v>1481</v>
      </c>
      <c r="Q580" s="9" t="s">
        <v>42</v>
      </c>
      <c r="R580" s="9">
        <v>5000.0</v>
      </c>
      <c r="S580" s="9">
        <v>22500.0</v>
      </c>
      <c r="T580" s="9">
        <v>0.0</v>
      </c>
      <c r="U580" s="9">
        <v>18.0</v>
      </c>
      <c r="V580" s="9" t="s">
        <v>1916</v>
      </c>
      <c r="W580" s="9" t="s">
        <v>1917</v>
      </c>
      <c r="X580" s="9" t="s">
        <v>124</v>
      </c>
      <c r="Y580" s="9" t="s">
        <v>59</v>
      </c>
      <c r="Z580" s="9" t="s">
        <v>81</v>
      </c>
      <c r="AA580" s="9" t="s">
        <v>133</v>
      </c>
      <c r="AC580" s="9">
        <v>10.0</v>
      </c>
      <c r="AD580" s="9">
        <v>1.0</v>
      </c>
      <c r="AE580" s="9" t="s">
        <v>146</v>
      </c>
      <c r="AF580" s="9">
        <v>3600.0</v>
      </c>
      <c r="AG580" s="9" t="s">
        <v>42</v>
      </c>
    </row>
    <row r="581">
      <c r="A581" s="7">
        <v>44477.66120785879</v>
      </c>
      <c r="B581" s="9" t="s">
        <v>49</v>
      </c>
      <c r="C581" s="9">
        <v>25.0</v>
      </c>
      <c r="D581" s="9" t="s">
        <v>35</v>
      </c>
      <c r="E581" s="9" t="s">
        <v>36</v>
      </c>
      <c r="F581" s="9" t="s">
        <v>50</v>
      </c>
      <c r="G581" s="9" t="s">
        <v>106</v>
      </c>
      <c r="H581" s="9" t="s">
        <v>38</v>
      </c>
      <c r="I581" s="9" t="s">
        <v>3331</v>
      </c>
      <c r="J581" s="9" t="s">
        <v>2007</v>
      </c>
      <c r="K581" s="9" t="s">
        <v>39</v>
      </c>
      <c r="L581" s="9" t="s">
        <v>40</v>
      </c>
      <c r="M581" s="9" t="s">
        <v>40</v>
      </c>
      <c r="P581" s="9" t="s">
        <v>2479</v>
      </c>
      <c r="Q581" s="9" t="s">
        <v>42</v>
      </c>
      <c r="R581" s="9">
        <v>4500.0</v>
      </c>
      <c r="S581" s="9">
        <v>0.0</v>
      </c>
      <c r="T581" s="9">
        <v>0.0</v>
      </c>
      <c r="U581" s="9">
        <v>14.0</v>
      </c>
      <c r="V581" s="9" t="s">
        <v>223</v>
      </c>
      <c r="W581" s="9" t="s">
        <v>87</v>
      </c>
      <c r="X581" s="9" t="s">
        <v>58</v>
      </c>
      <c r="Y581" s="9" t="s">
        <v>159</v>
      </c>
      <c r="Z581" s="9" t="s">
        <v>132</v>
      </c>
      <c r="AA581" s="9" t="s">
        <v>61</v>
      </c>
      <c r="AC581" s="9">
        <v>6.0</v>
      </c>
      <c r="AD581" s="9" t="s">
        <v>1255</v>
      </c>
      <c r="AE581" s="9">
        <v>1.0</v>
      </c>
      <c r="AF581" s="9">
        <v>4000.0</v>
      </c>
      <c r="AG581" s="9" t="s">
        <v>42</v>
      </c>
    </row>
    <row r="582">
      <c r="A582" s="7">
        <v>44479.96940923611</v>
      </c>
      <c r="B582" s="9" t="s">
        <v>49</v>
      </c>
      <c r="C582" s="9">
        <v>25.0</v>
      </c>
      <c r="D582" s="9" t="s">
        <v>35</v>
      </c>
      <c r="E582" s="9" t="s">
        <v>36</v>
      </c>
      <c r="F582" s="9" t="s">
        <v>124</v>
      </c>
      <c r="G582" s="9" t="s">
        <v>124</v>
      </c>
      <c r="H582" s="9" t="s">
        <v>38</v>
      </c>
      <c r="I582" s="9" t="s">
        <v>2368</v>
      </c>
      <c r="J582" s="9" t="s">
        <v>2444</v>
      </c>
      <c r="K582" s="9" t="s">
        <v>39</v>
      </c>
      <c r="L582" s="9" t="s">
        <v>40</v>
      </c>
      <c r="M582" s="9" t="s">
        <v>40</v>
      </c>
      <c r="P582" s="9" t="s">
        <v>128</v>
      </c>
      <c r="Q582" s="9" t="s">
        <v>42</v>
      </c>
      <c r="R582" s="9">
        <v>5800.0</v>
      </c>
      <c r="S582" s="9">
        <v>0.0</v>
      </c>
      <c r="T582" s="9">
        <v>0.0</v>
      </c>
      <c r="U582" s="9">
        <v>14.0</v>
      </c>
      <c r="V582" s="9" t="s">
        <v>467</v>
      </c>
      <c r="W582" s="9" t="s">
        <v>1948</v>
      </c>
      <c r="X582" s="9" t="s">
        <v>122</v>
      </c>
      <c r="Y582" s="9" t="s">
        <v>1439</v>
      </c>
      <c r="Z582" s="9" t="s">
        <v>132</v>
      </c>
      <c r="AA582" s="9" t="s">
        <v>61</v>
      </c>
      <c r="AC582" s="9">
        <v>5.0</v>
      </c>
      <c r="AD582" s="9">
        <v>2.0</v>
      </c>
      <c r="AE582" s="9">
        <v>1.0</v>
      </c>
      <c r="AF582" s="9">
        <v>3800.0</v>
      </c>
      <c r="AG582" s="9" t="s">
        <v>42</v>
      </c>
    </row>
    <row r="583">
      <c r="A583" s="7">
        <v>44480.65159873843</v>
      </c>
      <c r="B583" s="9" t="s">
        <v>49</v>
      </c>
      <c r="C583" s="9">
        <v>32.0</v>
      </c>
      <c r="D583" s="9" t="s">
        <v>35</v>
      </c>
      <c r="E583" s="9" t="s">
        <v>36</v>
      </c>
      <c r="F583" s="9" t="s">
        <v>3332</v>
      </c>
      <c r="G583" s="9" t="s">
        <v>3332</v>
      </c>
      <c r="H583" s="9" t="s">
        <v>38</v>
      </c>
      <c r="J583" s="9" t="s">
        <v>2999</v>
      </c>
      <c r="K583" s="9" t="s">
        <v>39</v>
      </c>
      <c r="L583" s="9" t="s">
        <v>40</v>
      </c>
      <c r="M583" s="9" t="s">
        <v>40</v>
      </c>
      <c r="P583" s="9" t="s">
        <v>2838</v>
      </c>
      <c r="Q583" s="9" t="s">
        <v>42</v>
      </c>
      <c r="R583" s="9">
        <v>10000.0</v>
      </c>
      <c r="S583" s="9">
        <v>0.0</v>
      </c>
      <c r="U583" s="9">
        <v>0.0</v>
      </c>
      <c r="V583" s="9" t="s">
        <v>763</v>
      </c>
      <c r="W583" s="9" t="s">
        <v>384</v>
      </c>
      <c r="X583" s="9" t="s">
        <v>764</v>
      </c>
      <c r="Y583" s="9" t="s">
        <v>70</v>
      </c>
      <c r="Z583" s="9" t="s">
        <v>98</v>
      </c>
      <c r="AA583" s="9" t="s">
        <v>48</v>
      </c>
      <c r="AC583" s="9">
        <v>8.0</v>
      </c>
      <c r="AD583" s="9">
        <v>10.0</v>
      </c>
      <c r="AE583" s="9">
        <v>4.0</v>
      </c>
      <c r="AF583" s="9">
        <v>2500.0</v>
      </c>
      <c r="AG583" s="9" t="s">
        <v>42</v>
      </c>
    </row>
    <row r="584">
      <c r="A584" s="7">
        <v>44487.677229293986</v>
      </c>
      <c r="B584" s="9" t="s">
        <v>73</v>
      </c>
      <c r="C584" s="9">
        <v>39.0</v>
      </c>
      <c r="D584" s="9" t="s">
        <v>35</v>
      </c>
      <c r="E584" s="9" t="s">
        <v>36</v>
      </c>
      <c r="F584" s="9" t="s">
        <v>50</v>
      </c>
      <c r="G584" s="9" t="s">
        <v>82</v>
      </c>
      <c r="H584" s="9" t="s">
        <v>38</v>
      </c>
      <c r="I584" s="9" t="s">
        <v>2368</v>
      </c>
      <c r="J584" s="9" t="s">
        <v>3333</v>
      </c>
      <c r="K584" s="9" t="s">
        <v>39</v>
      </c>
      <c r="L584" s="9" t="s">
        <v>40</v>
      </c>
      <c r="M584" s="9" t="s">
        <v>40</v>
      </c>
      <c r="P584" s="9" t="s">
        <v>119</v>
      </c>
      <c r="Q584" s="9" t="s">
        <v>42</v>
      </c>
      <c r="R584" s="9">
        <v>9500.0</v>
      </c>
      <c r="S584" s="9">
        <v>20000.0</v>
      </c>
      <c r="U584" s="9">
        <v>18.0</v>
      </c>
      <c r="V584" s="9" t="s">
        <v>226</v>
      </c>
      <c r="W584" s="9" t="s">
        <v>227</v>
      </c>
      <c r="X584" s="9" t="s">
        <v>58</v>
      </c>
      <c r="Y584" s="9" t="s">
        <v>228</v>
      </c>
      <c r="Z584" s="9" t="s">
        <v>132</v>
      </c>
      <c r="AA584" s="9" t="s">
        <v>61</v>
      </c>
      <c r="AC584" s="9">
        <v>8.0</v>
      </c>
      <c r="AD584" s="9">
        <v>18.0</v>
      </c>
      <c r="AE584" s="9">
        <v>4.0</v>
      </c>
      <c r="AF584" s="9">
        <v>1000.0</v>
      </c>
      <c r="AG584" s="9" t="s">
        <v>42</v>
      </c>
    </row>
    <row r="585">
      <c r="A585" s="7">
        <v>44491.83956743055</v>
      </c>
      <c r="B585" s="9" t="s">
        <v>49</v>
      </c>
      <c r="C585" s="9">
        <v>25.0</v>
      </c>
      <c r="D585" s="9" t="s">
        <v>35</v>
      </c>
      <c r="E585" s="9" t="s">
        <v>36</v>
      </c>
      <c r="F585" s="9" t="s">
        <v>363</v>
      </c>
      <c r="G585" s="9" t="s">
        <v>527</v>
      </c>
      <c r="H585" s="9" t="s">
        <v>38</v>
      </c>
      <c r="I585" s="9" t="s">
        <v>2384</v>
      </c>
      <c r="J585" s="9" t="s">
        <v>2478</v>
      </c>
      <c r="K585" s="9" t="s">
        <v>40</v>
      </c>
      <c r="L585" s="9" t="s">
        <v>39</v>
      </c>
      <c r="M585" s="9" t="s">
        <v>40</v>
      </c>
      <c r="N585" s="9" t="s">
        <v>1666</v>
      </c>
      <c r="P585" s="9" t="s">
        <v>128</v>
      </c>
      <c r="Q585" s="9" t="s">
        <v>2521</v>
      </c>
      <c r="R585" s="9">
        <v>3500.0</v>
      </c>
      <c r="S585" s="9">
        <v>3500.0</v>
      </c>
      <c r="T585" s="9">
        <v>0.0</v>
      </c>
      <c r="U585" s="9">
        <v>12.0</v>
      </c>
      <c r="V585" s="9" t="s">
        <v>1667</v>
      </c>
      <c r="W585" s="9" t="s">
        <v>1668</v>
      </c>
      <c r="X585" s="9" t="s">
        <v>1669</v>
      </c>
      <c r="Y585" s="9" t="s">
        <v>155</v>
      </c>
      <c r="Z585" s="9" t="s">
        <v>132</v>
      </c>
      <c r="AA585" s="9" t="s">
        <v>91</v>
      </c>
      <c r="AB585" s="9" t="s">
        <v>1670</v>
      </c>
      <c r="AC585" s="9">
        <v>7.0</v>
      </c>
      <c r="AD585" s="9">
        <v>1.0</v>
      </c>
      <c r="AE585" s="9">
        <v>1.0</v>
      </c>
      <c r="AF585" s="9">
        <v>3300.0</v>
      </c>
      <c r="AG585" s="9" t="s">
        <v>42</v>
      </c>
    </row>
    <row r="586">
      <c r="A586" s="7">
        <v>44491.927589328705</v>
      </c>
      <c r="B586" s="9" t="s">
        <v>49</v>
      </c>
      <c r="C586" s="9">
        <v>26.0</v>
      </c>
      <c r="D586" s="9" t="s">
        <v>35</v>
      </c>
      <c r="E586" s="9" t="s">
        <v>36</v>
      </c>
      <c r="F586" s="9" t="s">
        <v>2430</v>
      </c>
      <c r="G586" s="9" t="s">
        <v>124</v>
      </c>
      <c r="H586" s="9" t="s">
        <v>38</v>
      </c>
      <c r="I586" s="9" t="s">
        <v>2388</v>
      </c>
      <c r="J586" s="9" t="s">
        <v>2490</v>
      </c>
      <c r="K586" s="9" t="s">
        <v>39</v>
      </c>
      <c r="L586" s="9" t="s">
        <v>40</v>
      </c>
      <c r="M586" s="9" t="s">
        <v>40</v>
      </c>
      <c r="P586" s="9" t="s">
        <v>3334</v>
      </c>
      <c r="Q586" s="9" t="s">
        <v>42</v>
      </c>
      <c r="R586" s="9">
        <v>5250.0</v>
      </c>
      <c r="S586" s="9" t="s">
        <v>3335</v>
      </c>
      <c r="U586" s="9">
        <v>24.0</v>
      </c>
      <c r="V586" s="9" t="s">
        <v>1133</v>
      </c>
      <c r="W586" s="9" t="s">
        <v>3336</v>
      </c>
      <c r="X586" s="9" t="s">
        <v>2548</v>
      </c>
      <c r="Y586" s="9" t="s">
        <v>59</v>
      </c>
      <c r="Z586" s="9" t="s">
        <v>90</v>
      </c>
      <c r="AA586" s="9" t="s">
        <v>91</v>
      </c>
      <c r="AC586" s="9">
        <v>9.0</v>
      </c>
      <c r="AD586" s="9">
        <v>3.0</v>
      </c>
      <c r="AE586" s="9">
        <v>3.0</v>
      </c>
      <c r="AF586" s="9">
        <v>2800.0</v>
      </c>
      <c r="AG586" s="9" t="s">
        <v>42</v>
      </c>
    </row>
    <row r="587">
      <c r="A587" s="7">
        <v>44492.5206365162</v>
      </c>
      <c r="B587" s="9" t="s">
        <v>49</v>
      </c>
      <c r="C587" s="9">
        <v>29.0</v>
      </c>
      <c r="D587" s="9" t="s">
        <v>35</v>
      </c>
      <c r="E587" s="9" t="s">
        <v>36</v>
      </c>
      <c r="F587" s="9" t="s">
        <v>2430</v>
      </c>
      <c r="G587" s="9" t="s">
        <v>51</v>
      </c>
      <c r="H587" s="9" t="s">
        <v>38</v>
      </c>
      <c r="I587" s="9" t="s">
        <v>3337</v>
      </c>
      <c r="J587" s="9" t="s">
        <v>3338</v>
      </c>
      <c r="K587" s="9" t="s">
        <v>39</v>
      </c>
      <c r="L587" s="9" t="s">
        <v>40</v>
      </c>
      <c r="M587" s="9" t="s">
        <v>40</v>
      </c>
      <c r="N587" s="9" t="s">
        <v>784</v>
      </c>
      <c r="P587" s="9" t="s">
        <v>3121</v>
      </c>
      <c r="Q587" s="9" t="s">
        <v>42</v>
      </c>
      <c r="R587" s="9">
        <v>5300.0</v>
      </c>
      <c r="S587" s="9">
        <v>1.0</v>
      </c>
      <c r="T587" s="9">
        <v>0.0</v>
      </c>
      <c r="U587" s="9">
        <v>14.0</v>
      </c>
      <c r="V587" s="9" t="s">
        <v>785</v>
      </c>
      <c r="W587" s="9" t="s">
        <v>3339</v>
      </c>
      <c r="X587" s="9" t="s">
        <v>2548</v>
      </c>
      <c r="Y587" s="9" t="s">
        <v>70</v>
      </c>
      <c r="Z587" s="9" t="s">
        <v>47</v>
      </c>
      <c r="AA587" s="9" t="s">
        <v>61</v>
      </c>
      <c r="AC587" s="9">
        <v>5.0</v>
      </c>
      <c r="AD587" s="9">
        <v>1.0</v>
      </c>
      <c r="AE587" s="9">
        <v>3.0</v>
      </c>
      <c r="AF587" s="9">
        <v>2500.0</v>
      </c>
      <c r="AG587" s="9" t="s">
        <v>42</v>
      </c>
    </row>
    <row r="588">
      <c r="A588" s="7">
        <v>44492.526477060186</v>
      </c>
      <c r="B588" s="9" t="s">
        <v>73</v>
      </c>
      <c r="C588" s="9">
        <v>28.0</v>
      </c>
      <c r="D588" s="9" t="s">
        <v>35</v>
      </c>
      <c r="E588" s="9" t="s">
        <v>36</v>
      </c>
      <c r="F588" s="9" t="s">
        <v>2544</v>
      </c>
      <c r="G588" s="9" t="s">
        <v>2544</v>
      </c>
      <c r="H588" s="9" t="s">
        <v>38</v>
      </c>
      <c r="I588" s="9" t="s">
        <v>3340</v>
      </c>
      <c r="J588" s="9" t="s">
        <v>3341</v>
      </c>
      <c r="K588" s="9" t="s">
        <v>40</v>
      </c>
      <c r="L588" s="9" t="s">
        <v>40</v>
      </c>
      <c r="M588" s="9" t="s">
        <v>40</v>
      </c>
      <c r="P588" s="9" t="s">
        <v>3342</v>
      </c>
      <c r="Q588" s="9" t="s">
        <v>2521</v>
      </c>
      <c r="R588" s="9">
        <v>4000.0</v>
      </c>
      <c r="S588" s="9">
        <v>0.0</v>
      </c>
      <c r="T588" s="9">
        <v>0.0</v>
      </c>
      <c r="U588" s="9">
        <v>12.0</v>
      </c>
      <c r="V588" s="9" t="s">
        <v>523</v>
      </c>
      <c r="W588" s="9" t="s">
        <v>3343</v>
      </c>
      <c r="X588" s="9" t="s">
        <v>2466</v>
      </c>
      <c r="Y588" s="9" t="s">
        <v>59</v>
      </c>
      <c r="Z588" s="9" t="s">
        <v>60</v>
      </c>
      <c r="AA588" s="9" t="s">
        <v>61</v>
      </c>
      <c r="AC588" s="9">
        <v>6.0</v>
      </c>
      <c r="AD588" s="9">
        <v>0.8</v>
      </c>
      <c r="AE588" s="9">
        <v>3.0</v>
      </c>
      <c r="AF588" s="9">
        <v>1900.0</v>
      </c>
      <c r="AG588" s="9" t="s">
        <v>42</v>
      </c>
    </row>
    <row r="589">
      <c r="A589" s="7">
        <v>44492.75589216435</v>
      </c>
      <c r="B589" s="9" t="s">
        <v>49</v>
      </c>
      <c r="C589" s="9">
        <v>32.0</v>
      </c>
      <c r="D589" s="9" t="s">
        <v>35</v>
      </c>
      <c r="E589" s="9" t="s">
        <v>36</v>
      </c>
      <c r="F589" s="9" t="s">
        <v>124</v>
      </c>
      <c r="G589" s="9" t="s">
        <v>124</v>
      </c>
      <c r="H589" s="9" t="s">
        <v>302</v>
      </c>
      <c r="I589" s="9" t="s">
        <v>2780</v>
      </c>
      <c r="J589" s="9" t="s">
        <v>1269</v>
      </c>
      <c r="K589" s="9" t="s">
        <v>40</v>
      </c>
      <c r="L589" s="9" t="s">
        <v>39</v>
      </c>
      <c r="M589" s="9" t="s">
        <v>40</v>
      </c>
      <c r="N589" s="9" t="s">
        <v>1270</v>
      </c>
      <c r="P589" s="9" t="s">
        <v>3344</v>
      </c>
      <c r="Q589" s="9" t="s">
        <v>42</v>
      </c>
      <c r="R589" s="9">
        <v>4800.0</v>
      </c>
      <c r="S589" s="9">
        <v>0.0</v>
      </c>
      <c r="T589" s="9">
        <v>0.0</v>
      </c>
      <c r="U589" s="9">
        <v>14.0</v>
      </c>
      <c r="V589" s="9" t="s">
        <v>1271</v>
      </c>
      <c r="W589" s="9" t="s">
        <v>1272</v>
      </c>
      <c r="X589" s="9" t="s">
        <v>122</v>
      </c>
      <c r="Y589" s="9" t="s">
        <v>97</v>
      </c>
      <c r="Z589" s="9" t="s">
        <v>71</v>
      </c>
      <c r="AA589" s="9" t="s">
        <v>48</v>
      </c>
      <c r="AB589" s="9" t="s">
        <v>1273</v>
      </c>
      <c r="AC589" s="9">
        <v>7.0</v>
      </c>
      <c r="AD589" s="9">
        <v>2.0</v>
      </c>
      <c r="AE589" s="9">
        <v>3.0</v>
      </c>
      <c r="AF589" s="9">
        <v>3000.0</v>
      </c>
      <c r="AG589" s="9" t="s">
        <v>42</v>
      </c>
    </row>
    <row r="590">
      <c r="A590" s="7">
        <v>44493.56063876157</v>
      </c>
      <c r="B590" s="9" t="s">
        <v>73</v>
      </c>
      <c r="C590" s="9">
        <v>22.0</v>
      </c>
      <c r="D590" s="9" t="s">
        <v>35</v>
      </c>
      <c r="E590" s="9" t="s">
        <v>36</v>
      </c>
      <c r="F590" s="9" t="s">
        <v>171</v>
      </c>
      <c r="G590" s="9" t="s">
        <v>206</v>
      </c>
      <c r="H590" s="9" t="s">
        <v>38</v>
      </c>
      <c r="I590" s="9" t="s">
        <v>3345</v>
      </c>
      <c r="J590" s="9" t="s">
        <v>3346</v>
      </c>
      <c r="K590" s="9" t="s">
        <v>39</v>
      </c>
      <c r="L590" s="9" t="s">
        <v>40</v>
      </c>
      <c r="M590" s="9" t="s">
        <v>40</v>
      </c>
      <c r="P590" s="9" t="s">
        <v>3347</v>
      </c>
      <c r="Q590" s="9" t="s">
        <v>42</v>
      </c>
      <c r="R590" s="9">
        <v>1000.0</v>
      </c>
      <c r="S590" s="9">
        <v>0.0</v>
      </c>
      <c r="T590" s="9">
        <v>0.0</v>
      </c>
      <c r="U590" s="9">
        <v>0.0</v>
      </c>
      <c r="V590" s="9" t="s">
        <v>208</v>
      </c>
      <c r="W590" s="9" t="s">
        <v>209</v>
      </c>
      <c r="X590" s="9" t="s">
        <v>210</v>
      </c>
      <c r="Y590" s="9" t="s">
        <v>211</v>
      </c>
      <c r="Z590" s="9" t="s">
        <v>132</v>
      </c>
      <c r="AA590" s="9" t="s">
        <v>61</v>
      </c>
      <c r="AC590" s="9">
        <v>5.0</v>
      </c>
      <c r="AD590" s="9">
        <v>0.0</v>
      </c>
      <c r="AE590" s="9">
        <v>0.0</v>
      </c>
      <c r="AF590" s="9">
        <v>1000.0</v>
      </c>
      <c r="AG590" s="9" t="s">
        <v>2934</v>
      </c>
    </row>
    <row r="591">
      <c r="A591" s="7">
        <v>44495.08046652778</v>
      </c>
      <c r="B591" s="9" t="s">
        <v>49</v>
      </c>
      <c r="C591" s="9">
        <v>26.0</v>
      </c>
      <c r="D591" s="9" t="s">
        <v>35</v>
      </c>
      <c r="E591" s="9" t="s">
        <v>36</v>
      </c>
      <c r="F591" s="9" t="s">
        <v>349</v>
      </c>
      <c r="G591" s="9" t="s">
        <v>349</v>
      </c>
      <c r="H591" s="9" t="s">
        <v>38</v>
      </c>
      <c r="I591" s="9" t="s">
        <v>3348</v>
      </c>
      <c r="J591" s="9" t="s">
        <v>2385</v>
      </c>
      <c r="K591" s="9" t="s">
        <v>39</v>
      </c>
      <c r="L591" s="9" t="s">
        <v>40</v>
      </c>
      <c r="M591" s="9" t="s">
        <v>40</v>
      </c>
      <c r="P591" s="9" t="s">
        <v>146</v>
      </c>
      <c r="Q591" s="9" t="s">
        <v>42</v>
      </c>
      <c r="R591" s="9">
        <v>4000.0</v>
      </c>
      <c r="S591" s="9">
        <v>0.0</v>
      </c>
      <c r="T591" s="9">
        <v>0.0</v>
      </c>
      <c r="U591" s="9">
        <v>18.0</v>
      </c>
      <c r="V591" s="9" t="s">
        <v>1345</v>
      </c>
      <c r="W591" s="9" t="s">
        <v>1346</v>
      </c>
      <c r="X591" s="9" t="s">
        <v>122</v>
      </c>
      <c r="Y591" s="9" t="s">
        <v>1347</v>
      </c>
      <c r="Z591" s="9" t="s">
        <v>81</v>
      </c>
      <c r="AA591" s="9" t="s">
        <v>61</v>
      </c>
      <c r="AC591" s="9">
        <v>6.0</v>
      </c>
      <c r="AD591" s="9">
        <v>2.0</v>
      </c>
      <c r="AE591" s="9">
        <v>1.0</v>
      </c>
      <c r="AF591" s="9">
        <v>3000.0</v>
      </c>
      <c r="AG591" s="9" t="s">
        <v>42</v>
      </c>
    </row>
    <row r="592">
      <c r="A592" s="7">
        <v>44495.572583877314</v>
      </c>
      <c r="B592" s="9" t="s">
        <v>49</v>
      </c>
      <c r="C592" s="9">
        <v>27.0</v>
      </c>
      <c r="D592" s="9" t="s">
        <v>35</v>
      </c>
      <c r="E592" s="9" t="s">
        <v>36</v>
      </c>
      <c r="F592" s="9" t="s">
        <v>50</v>
      </c>
      <c r="G592" s="9" t="s">
        <v>493</v>
      </c>
      <c r="H592" s="9" t="s">
        <v>38</v>
      </c>
      <c r="I592" s="9" t="s">
        <v>2413</v>
      </c>
      <c r="J592" s="9" t="s">
        <v>161</v>
      </c>
      <c r="K592" s="9" t="s">
        <v>39</v>
      </c>
      <c r="L592" s="9" t="s">
        <v>39</v>
      </c>
      <c r="M592" s="9" t="s">
        <v>39</v>
      </c>
      <c r="N592" s="9" t="s">
        <v>1552</v>
      </c>
      <c r="O592" s="9" t="s">
        <v>1553</v>
      </c>
      <c r="P592" s="9" t="s">
        <v>3349</v>
      </c>
      <c r="Q592" s="9" t="s">
        <v>42</v>
      </c>
      <c r="R592" s="9">
        <v>4325.0</v>
      </c>
      <c r="S592" s="9">
        <v>8650.0</v>
      </c>
      <c r="T592" s="9">
        <v>0.0</v>
      </c>
      <c r="U592" s="9">
        <v>15.0</v>
      </c>
      <c r="V592" s="9" t="s">
        <v>1555</v>
      </c>
      <c r="W592" s="9" t="s">
        <v>1556</v>
      </c>
      <c r="X592" s="9" t="s">
        <v>58</v>
      </c>
      <c r="Y592" s="9" t="s">
        <v>1557</v>
      </c>
      <c r="Z592" s="9" t="s">
        <v>132</v>
      </c>
      <c r="AA592" s="9" t="s">
        <v>91</v>
      </c>
      <c r="AB592" s="9" t="s">
        <v>1558</v>
      </c>
      <c r="AC592" s="9">
        <v>7.0</v>
      </c>
      <c r="AD592" s="9">
        <v>3.5</v>
      </c>
      <c r="AE592" s="9">
        <v>1.0</v>
      </c>
      <c r="AF592" s="9">
        <v>3100.0</v>
      </c>
      <c r="AG592" s="9" t="s">
        <v>42</v>
      </c>
    </row>
    <row r="593">
      <c r="A593" s="7">
        <v>44495.91755572917</v>
      </c>
      <c r="B593" s="9" t="s">
        <v>49</v>
      </c>
      <c r="C593" s="9">
        <v>26.0</v>
      </c>
      <c r="D593" s="9" t="s">
        <v>35</v>
      </c>
      <c r="E593" s="9" t="s">
        <v>36</v>
      </c>
      <c r="H593" s="9" t="s">
        <v>247</v>
      </c>
      <c r="K593" s="9" t="s">
        <v>39</v>
      </c>
      <c r="L593" s="9" t="s">
        <v>39</v>
      </c>
      <c r="M593" s="9" t="s">
        <v>40</v>
      </c>
      <c r="P593" s="9" t="s">
        <v>128</v>
      </c>
      <c r="Q593" s="9" t="s">
        <v>42</v>
      </c>
      <c r="R593" s="9">
        <v>7000.0</v>
      </c>
      <c r="S593" s="9">
        <v>5000.0</v>
      </c>
      <c r="T593" s="9">
        <v>7000.0</v>
      </c>
      <c r="U593" s="9">
        <v>20.0</v>
      </c>
      <c r="V593" s="9" t="s">
        <v>2246</v>
      </c>
      <c r="W593" s="9" t="s">
        <v>2247</v>
      </c>
      <c r="X593" s="9" t="s">
        <v>122</v>
      </c>
      <c r="Y593" s="9" t="s">
        <v>59</v>
      </c>
      <c r="Z593" s="9" t="s">
        <v>60</v>
      </c>
      <c r="AA593" s="9" t="s">
        <v>91</v>
      </c>
      <c r="AC593" s="9">
        <v>8.0</v>
      </c>
      <c r="AD593" s="9">
        <v>5.0</v>
      </c>
      <c r="AE593" s="9">
        <v>1.0</v>
      </c>
      <c r="AF593" s="9">
        <v>7000.0</v>
      </c>
      <c r="AG593" s="9" t="s">
        <v>42</v>
      </c>
    </row>
    <row r="594">
      <c r="A594" s="7">
        <v>44495.97799745371</v>
      </c>
      <c r="B594" s="9" t="s">
        <v>49</v>
      </c>
      <c r="C594" s="9">
        <v>25.0</v>
      </c>
      <c r="D594" s="9" t="s">
        <v>35</v>
      </c>
      <c r="E594" s="9" t="s">
        <v>36</v>
      </c>
      <c r="F594" s="9" t="s">
        <v>50</v>
      </c>
      <c r="G594" s="9" t="s">
        <v>106</v>
      </c>
      <c r="H594" s="9" t="s">
        <v>38</v>
      </c>
      <c r="I594" s="9" t="s">
        <v>2413</v>
      </c>
      <c r="J594" s="9" t="s">
        <v>161</v>
      </c>
      <c r="K594" s="9" t="s">
        <v>39</v>
      </c>
      <c r="L594" s="9" t="s">
        <v>40</v>
      </c>
      <c r="M594" s="9" t="s">
        <v>40</v>
      </c>
      <c r="P594" s="9" t="s">
        <v>2538</v>
      </c>
      <c r="Q594" s="9" t="s">
        <v>42</v>
      </c>
      <c r="R594" s="9">
        <v>4200.0</v>
      </c>
      <c r="S594" s="9">
        <v>6000.0</v>
      </c>
      <c r="T594" s="9">
        <v>0.0</v>
      </c>
      <c r="U594" s="9">
        <v>14.0</v>
      </c>
      <c r="V594" s="9" t="s">
        <v>226</v>
      </c>
      <c r="W594" s="9" t="s">
        <v>1292</v>
      </c>
      <c r="X594" s="9" t="s">
        <v>58</v>
      </c>
      <c r="Y594" s="9" t="s">
        <v>59</v>
      </c>
      <c r="Z594" s="9" t="s">
        <v>132</v>
      </c>
      <c r="AA594" s="9" t="s">
        <v>91</v>
      </c>
      <c r="AC594" s="9">
        <v>9.0</v>
      </c>
      <c r="AD594" s="9">
        <v>3.0</v>
      </c>
      <c r="AE594" s="9">
        <v>0.0</v>
      </c>
      <c r="AF594" s="9">
        <v>3000.0</v>
      </c>
      <c r="AG594" s="9" t="s">
        <v>42</v>
      </c>
    </row>
    <row r="595">
      <c r="A595" s="7">
        <v>44496.87191012732</v>
      </c>
      <c r="B595" s="9" t="s">
        <v>73</v>
      </c>
      <c r="C595" s="9">
        <v>24.0</v>
      </c>
      <c r="D595" s="9" t="s">
        <v>35</v>
      </c>
      <c r="E595" s="9" t="s">
        <v>36</v>
      </c>
      <c r="F595" s="9" t="s">
        <v>50</v>
      </c>
      <c r="G595" s="9" t="s">
        <v>180</v>
      </c>
      <c r="H595" s="9" t="s">
        <v>38</v>
      </c>
      <c r="I595" s="9" t="s">
        <v>3350</v>
      </c>
      <c r="J595" s="9" t="s">
        <v>3351</v>
      </c>
      <c r="K595" s="9" t="s">
        <v>40</v>
      </c>
      <c r="L595" s="9" t="s">
        <v>39</v>
      </c>
      <c r="M595" s="9" t="s">
        <v>40</v>
      </c>
      <c r="N595" s="9" t="s">
        <v>706</v>
      </c>
      <c r="P595" s="9" t="s">
        <v>3257</v>
      </c>
      <c r="Q595" s="9" t="s">
        <v>42</v>
      </c>
      <c r="R595" s="9">
        <v>2800.0</v>
      </c>
      <c r="S595" s="9">
        <v>0.0</v>
      </c>
      <c r="T595" s="9">
        <v>0.0</v>
      </c>
      <c r="U595" s="9">
        <v>15.0</v>
      </c>
      <c r="V595" s="9" t="s">
        <v>67</v>
      </c>
      <c r="W595" s="9" t="s">
        <v>707</v>
      </c>
      <c r="X595" s="9" t="s">
        <v>58</v>
      </c>
      <c r="Y595" s="9" t="s">
        <v>708</v>
      </c>
      <c r="Z595" s="9" t="s">
        <v>71</v>
      </c>
      <c r="AA595" s="9" t="s">
        <v>61</v>
      </c>
      <c r="AC595" s="9">
        <v>6.0</v>
      </c>
      <c r="AD595" s="9">
        <v>1.5</v>
      </c>
      <c r="AE595" s="9">
        <v>0.0</v>
      </c>
      <c r="AF595" s="9">
        <v>2300.0</v>
      </c>
      <c r="AG595" s="9" t="s">
        <v>42</v>
      </c>
    </row>
    <row r="596">
      <c r="A596" s="7">
        <v>44497.0371958912</v>
      </c>
      <c r="B596" s="9" t="s">
        <v>49</v>
      </c>
      <c r="C596" s="9">
        <v>23.0</v>
      </c>
      <c r="D596" s="9" t="s">
        <v>35</v>
      </c>
      <c r="E596" s="9" t="s">
        <v>36</v>
      </c>
      <c r="F596" s="9" t="s">
        <v>3352</v>
      </c>
      <c r="G596" s="9" t="s">
        <v>3352</v>
      </c>
      <c r="H596" s="9" t="s">
        <v>38</v>
      </c>
      <c r="I596" s="9" t="s">
        <v>3353</v>
      </c>
      <c r="J596" s="9" t="s">
        <v>3354</v>
      </c>
      <c r="K596" s="9" t="s">
        <v>39</v>
      </c>
      <c r="L596" s="9" t="s">
        <v>40</v>
      </c>
      <c r="M596" s="9" t="s">
        <v>40</v>
      </c>
      <c r="P596" s="9" t="s">
        <v>3355</v>
      </c>
      <c r="Q596" s="9" t="s">
        <v>3054</v>
      </c>
      <c r="R596" s="9">
        <v>4000.0</v>
      </c>
      <c r="S596" s="9" t="s">
        <v>2024</v>
      </c>
      <c r="T596" s="9" t="s">
        <v>2024</v>
      </c>
      <c r="U596" s="9">
        <v>20.0</v>
      </c>
      <c r="V596" s="9" t="s">
        <v>2025</v>
      </c>
      <c r="W596" s="9" t="s">
        <v>163</v>
      </c>
      <c r="X596" s="9" t="s">
        <v>99</v>
      </c>
      <c r="Y596" s="9" t="s">
        <v>59</v>
      </c>
      <c r="Z596" s="9" t="s">
        <v>90</v>
      </c>
      <c r="AA596" s="9" t="s">
        <v>61</v>
      </c>
      <c r="AC596" s="9">
        <v>10.0</v>
      </c>
      <c r="AD596" s="9">
        <v>0.0</v>
      </c>
      <c r="AE596" s="9">
        <v>0.0</v>
      </c>
      <c r="AF596" s="9">
        <v>4000.0</v>
      </c>
      <c r="AG596" s="9" t="s">
        <v>3054</v>
      </c>
    </row>
    <row r="597">
      <c r="A597" s="7">
        <v>44497.633971469906</v>
      </c>
      <c r="B597" s="9" t="s">
        <v>49</v>
      </c>
      <c r="C597" s="9">
        <v>33.0</v>
      </c>
      <c r="D597" s="9" t="s">
        <v>35</v>
      </c>
      <c r="E597" s="9" t="s">
        <v>36</v>
      </c>
      <c r="G597" s="9" t="s">
        <v>3356</v>
      </c>
      <c r="H597" s="9" t="s">
        <v>38</v>
      </c>
      <c r="I597" s="9" t="s">
        <v>3357</v>
      </c>
      <c r="J597" s="9" t="s">
        <v>3358</v>
      </c>
      <c r="K597" s="9" t="s">
        <v>39</v>
      </c>
      <c r="L597" s="9" t="s">
        <v>40</v>
      </c>
      <c r="M597" s="9" t="s">
        <v>40</v>
      </c>
      <c r="P597" s="9" t="s">
        <v>1028</v>
      </c>
      <c r="Q597" s="9" t="s">
        <v>42</v>
      </c>
      <c r="R597" s="9">
        <v>11000.0</v>
      </c>
      <c r="S597" s="9">
        <v>10000.0</v>
      </c>
      <c r="T597" s="9">
        <v>0.0</v>
      </c>
      <c r="U597" s="9">
        <v>20.0</v>
      </c>
      <c r="V597" s="9" t="s">
        <v>1029</v>
      </c>
      <c r="W597" s="9" t="s">
        <v>1030</v>
      </c>
      <c r="X597" s="9" t="s">
        <v>1031</v>
      </c>
      <c r="Y597" s="9" t="s">
        <v>547</v>
      </c>
      <c r="Z597" s="9" t="s">
        <v>60</v>
      </c>
      <c r="AA597" s="9" t="s">
        <v>91</v>
      </c>
      <c r="AC597" s="9">
        <v>7.0</v>
      </c>
      <c r="AD597" s="9">
        <v>9.0</v>
      </c>
      <c r="AE597" s="9">
        <v>1.0</v>
      </c>
      <c r="AF597" s="9">
        <v>2700.0</v>
      </c>
      <c r="AG597" s="9" t="s">
        <v>42</v>
      </c>
    </row>
    <row r="598">
      <c r="A598" s="7">
        <v>44497.83234758102</v>
      </c>
      <c r="B598" s="9" t="s">
        <v>49</v>
      </c>
      <c r="C598" s="9">
        <v>25.0</v>
      </c>
      <c r="D598" s="9" t="s">
        <v>35</v>
      </c>
      <c r="E598" s="9" t="s">
        <v>36</v>
      </c>
      <c r="F598" s="9" t="s">
        <v>50</v>
      </c>
      <c r="G598" s="9" t="s">
        <v>106</v>
      </c>
      <c r="H598" s="9" t="s">
        <v>38</v>
      </c>
      <c r="I598" s="9" t="s">
        <v>2368</v>
      </c>
      <c r="J598" s="9" t="s">
        <v>2421</v>
      </c>
      <c r="K598" s="9" t="s">
        <v>39</v>
      </c>
      <c r="L598" s="9" t="s">
        <v>40</v>
      </c>
      <c r="M598" s="9" t="s">
        <v>40</v>
      </c>
      <c r="P598" s="9" t="s">
        <v>128</v>
      </c>
      <c r="Q598" s="9" t="s">
        <v>42</v>
      </c>
      <c r="R598" s="9">
        <v>5800.0</v>
      </c>
      <c r="S598" s="9">
        <v>0.0</v>
      </c>
      <c r="T598" s="9">
        <v>0.0</v>
      </c>
      <c r="U598" s="9">
        <v>15.0</v>
      </c>
      <c r="V598" s="9" t="s">
        <v>1950</v>
      </c>
      <c r="W598" s="9" t="s">
        <v>224</v>
      </c>
      <c r="X598" s="9" t="s">
        <v>122</v>
      </c>
      <c r="Y598" s="9" t="s">
        <v>59</v>
      </c>
      <c r="Z598" s="9" t="s">
        <v>132</v>
      </c>
      <c r="AA598" s="9" t="s">
        <v>61</v>
      </c>
      <c r="AC598" s="9">
        <v>6.0</v>
      </c>
      <c r="AD598" s="9">
        <v>2.0</v>
      </c>
      <c r="AE598" s="9">
        <v>1.0</v>
      </c>
      <c r="AF598" s="9">
        <v>3800.0</v>
      </c>
      <c r="AG598" s="9" t="s">
        <v>42</v>
      </c>
    </row>
    <row r="599">
      <c r="A599" s="7">
        <v>44500.881897060186</v>
      </c>
      <c r="B599" s="9" t="s">
        <v>49</v>
      </c>
      <c r="C599" s="9">
        <v>25.0</v>
      </c>
      <c r="D599" s="9" t="s">
        <v>35</v>
      </c>
      <c r="E599" s="9" t="s">
        <v>36</v>
      </c>
      <c r="F599" s="9" t="s">
        <v>50</v>
      </c>
      <c r="G599" s="9" t="s">
        <v>3359</v>
      </c>
      <c r="H599" s="9" t="s">
        <v>38</v>
      </c>
      <c r="I599" s="9" t="s">
        <v>3360</v>
      </c>
      <c r="J599" s="9" t="s">
        <v>3109</v>
      </c>
      <c r="K599" s="9" t="s">
        <v>39</v>
      </c>
      <c r="L599" s="9" t="s">
        <v>40</v>
      </c>
      <c r="M599" s="9" t="s">
        <v>40</v>
      </c>
      <c r="P599" s="9" t="s">
        <v>689</v>
      </c>
      <c r="Q599" s="9" t="s">
        <v>42</v>
      </c>
      <c r="R599" s="9">
        <v>3200.0</v>
      </c>
      <c r="S599" s="9">
        <v>0.0</v>
      </c>
      <c r="T599" s="9">
        <v>0.0</v>
      </c>
      <c r="U599" s="9">
        <v>18.0</v>
      </c>
      <c r="V599" s="9" t="s">
        <v>690</v>
      </c>
      <c r="W599" s="9" t="s">
        <v>691</v>
      </c>
      <c r="X599" s="9" t="s">
        <v>610</v>
      </c>
      <c r="Y599" s="9" t="s">
        <v>70</v>
      </c>
      <c r="Z599" s="9" t="s">
        <v>132</v>
      </c>
      <c r="AA599" s="9" t="s">
        <v>91</v>
      </c>
      <c r="AB599" s="9" t="s">
        <v>3361</v>
      </c>
      <c r="AC599" s="9">
        <v>7.0</v>
      </c>
      <c r="AD599" s="9">
        <v>2.0</v>
      </c>
      <c r="AE599" s="9">
        <v>1.0</v>
      </c>
      <c r="AF599" s="9">
        <v>2200.0</v>
      </c>
      <c r="AG599" s="9" t="s">
        <v>3362</v>
      </c>
    </row>
    <row r="600">
      <c r="A600" s="7">
        <v>44501.42611540509</v>
      </c>
      <c r="B600" s="9" t="s">
        <v>49</v>
      </c>
      <c r="C600" s="9">
        <v>30.0</v>
      </c>
      <c r="D600" s="9" t="s">
        <v>35</v>
      </c>
      <c r="E600" s="9" t="s">
        <v>36</v>
      </c>
      <c r="F600" s="9" t="s">
        <v>275</v>
      </c>
      <c r="G600" s="9" t="s">
        <v>276</v>
      </c>
      <c r="H600" s="9" t="s">
        <v>38</v>
      </c>
      <c r="I600" s="9" t="s">
        <v>3363</v>
      </c>
      <c r="J600" s="9" t="s">
        <v>2472</v>
      </c>
      <c r="K600" s="9" t="s">
        <v>39</v>
      </c>
      <c r="L600" s="9" t="s">
        <v>39</v>
      </c>
      <c r="M600" s="9" t="s">
        <v>40</v>
      </c>
      <c r="N600" s="9" t="s">
        <v>280</v>
      </c>
      <c r="P600" s="9" t="s">
        <v>3364</v>
      </c>
      <c r="Q600" s="9" t="s">
        <v>42</v>
      </c>
      <c r="R600" s="9">
        <v>1600.0</v>
      </c>
      <c r="S600" s="9">
        <v>0.0</v>
      </c>
      <c r="T600" s="9">
        <v>0.0</v>
      </c>
      <c r="U600" s="9">
        <v>14.0</v>
      </c>
      <c r="V600" s="9" t="s">
        <v>282</v>
      </c>
      <c r="W600" s="9" t="s">
        <v>283</v>
      </c>
      <c r="X600" s="9" t="s">
        <v>284</v>
      </c>
      <c r="Y600" s="9" t="s">
        <v>285</v>
      </c>
      <c r="Z600" s="9" t="s">
        <v>132</v>
      </c>
      <c r="AA600" s="9" t="s">
        <v>48</v>
      </c>
      <c r="AB600" s="9" t="s">
        <v>286</v>
      </c>
      <c r="AC600" s="9">
        <v>3.0</v>
      </c>
      <c r="AD600" s="9">
        <v>3.0</v>
      </c>
      <c r="AE600" s="9">
        <v>4.0</v>
      </c>
      <c r="AF600" s="9">
        <v>1200.0</v>
      </c>
      <c r="AG600" s="9" t="s">
        <v>42</v>
      </c>
    </row>
    <row r="601">
      <c r="A601" s="7">
        <v>44502.829133113424</v>
      </c>
      <c r="B601" s="9" t="s">
        <v>49</v>
      </c>
      <c r="C601" s="9">
        <v>23.0</v>
      </c>
      <c r="D601" s="9" t="s">
        <v>35</v>
      </c>
      <c r="E601" s="9" t="s">
        <v>36</v>
      </c>
      <c r="F601" s="9" t="s">
        <v>50</v>
      </c>
      <c r="G601" s="9" t="s">
        <v>180</v>
      </c>
      <c r="H601" s="9" t="s">
        <v>38</v>
      </c>
      <c r="I601" s="9" t="s">
        <v>2413</v>
      </c>
      <c r="J601" s="9" t="s">
        <v>2685</v>
      </c>
      <c r="K601" s="9" t="s">
        <v>39</v>
      </c>
      <c r="L601" s="9" t="s">
        <v>39</v>
      </c>
      <c r="M601" s="9" t="s">
        <v>40</v>
      </c>
      <c r="P601" s="9" t="s">
        <v>3365</v>
      </c>
      <c r="Q601" s="9" t="s">
        <v>42</v>
      </c>
      <c r="R601" s="9">
        <v>3000.0</v>
      </c>
      <c r="S601" s="9">
        <v>0.0</v>
      </c>
      <c r="T601" s="9">
        <v>0.0</v>
      </c>
      <c r="U601" s="9">
        <v>12.0</v>
      </c>
      <c r="V601" s="9" t="s">
        <v>1249</v>
      </c>
      <c r="W601" s="9" t="s">
        <v>1250</v>
      </c>
      <c r="X601" s="9" t="s">
        <v>122</v>
      </c>
      <c r="Y601" s="9" t="s">
        <v>185</v>
      </c>
      <c r="Z601" s="9" t="s">
        <v>132</v>
      </c>
      <c r="AA601" s="9" t="s">
        <v>91</v>
      </c>
      <c r="AC601" s="9">
        <v>7.0</v>
      </c>
      <c r="AD601" s="9">
        <v>0.0</v>
      </c>
      <c r="AE601" s="9">
        <v>0.0</v>
      </c>
      <c r="AF601" s="9">
        <v>3000.0</v>
      </c>
      <c r="AG601" s="9" t="s">
        <v>42</v>
      </c>
    </row>
    <row r="602">
      <c r="A602" s="7">
        <v>44502.954843009255</v>
      </c>
      <c r="B602" s="9" t="s">
        <v>49</v>
      </c>
      <c r="C602" s="9">
        <v>23.0</v>
      </c>
      <c r="D602" s="9" t="s">
        <v>35</v>
      </c>
      <c r="E602" s="9" t="s">
        <v>36</v>
      </c>
      <c r="F602" s="9" t="s">
        <v>50</v>
      </c>
      <c r="G602" s="9" t="s">
        <v>354</v>
      </c>
      <c r="H602" s="9" t="s">
        <v>38</v>
      </c>
      <c r="I602" s="9" t="s">
        <v>3366</v>
      </c>
      <c r="J602" s="9" t="s">
        <v>3367</v>
      </c>
      <c r="K602" s="9" t="s">
        <v>39</v>
      </c>
      <c r="L602" s="9" t="s">
        <v>40</v>
      </c>
      <c r="M602" s="9" t="s">
        <v>40</v>
      </c>
      <c r="P602" s="9" t="s">
        <v>3368</v>
      </c>
      <c r="Q602" s="9" t="s">
        <v>42</v>
      </c>
      <c r="R602" s="9">
        <v>6000.0</v>
      </c>
      <c r="S602" s="9">
        <v>0.0</v>
      </c>
      <c r="T602" s="9">
        <v>0.0</v>
      </c>
      <c r="U602" s="9">
        <v>14.0</v>
      </c>
      <c r="V602" s="9" t="s">
        <v>1799</v>
      </c>
      <c r="W602" s="9" t="s">
        <v>457</v>
      </c>
      <c r="X602" s="9" t="s">
        <v>122</v>
      </c>
      <c r="Y602" s="9" t="s">
        <v>116</v>
      </c>
      <c r="Z602" s="9" t="s">
        <v>81</v>
      </c>
      <c r="AA602" s="9" t="s">
        <v>91</v>
      </c>
      <c r="AC602" s="9">
        <v>9.0</v>
      </c>
      <c r="AD602" s="9">
        <v>1.0</v>
      </c>
      <c r="AE602" s="9">
        <v>2.0</v>
      </c>
      <c r="AF602" s="9">
        <v>3500.0</v>
      </c>
      <c r="AG602" s="9" t="s">
        <v>42</v>
      </c>
    </row>
    <row r="603">
      <c r="A603" s="7">
        <v>44505.70735430556</v>
      </c>
      <c r="B603" s="9" t="s">
        <v>49</v>
      </c>
      <c r="C603" s="9">
        <v>22.0</v>
      </c>
      <c r="D603" s="9" t="s">
        <v>35</v>
      </c>
      <c r="E603" s="9" t="s">
        <v>36</v>
      </c>
      <c r="F603" s="9" t="s">
        <v>50</v>
      </c>
      <c r="G603" s="9" t="s">
        <v>51</v>
      </c>
      <c r="H603" s="9" t="s">
        <v>38</v>
      </c>
      <c r="I603" s="9" t="s">
        <v>2368</v>
      </c>
      <c r="J603" s="9" t="s">
        <v>944</v>
      </c>
      <c r="K603" s="9" t="s">
        <v>39</v>
      </c>
      <c r="L603" s="9" t="s">
        <v>40</v>
      </c>
      <c r="M603" s="9" t="s">
        <v>40</v>
      </c>
      <c r="P603" s="9" t="s">
        <v>3369</v>
      </c>
      <c r="Q603" s="9" t="s">
        <v>42</v>
      </c>
      <c r="R603" s="9">
        <v>5000.0</v>
      </c>
      <c r="S603" s="9">
        <v>0.0</v>
      </c>
      <c r="T603" s="9">
        <v>0.0</v>
      </c>
      <c r="U603" s="9">
        <v>12.0</v>
      </c>
      <c r="V603" s="9" t="s">
        <v>1770</v>
      </c>
      <c r="W603" s="9" t="s">
        <v>1771</v>
      </c>
      <c r="X603" s="9" t="s">
        <v>58</v>
      </c>
      <c r="Y603" s="9" t="s">
        <v>140</v>
      </c>
      <c r="Z603" s="9" t="s">
        <v>71</v>
      </c>
      <c r="AA603" s="9" t="s">
        <v>91</v>
      </c>
      <c r="AC603" s="9">
        <v>7.0</v>
      </c>
      <c r="AD603" s="9">
        <v>2.0</v>
      </c>
      <c r="AE603" s="9">
        <v>0.0</v>
      </c>
      <c r="AF603" s="9">
        <v>3500.0</v>
      </c>
      <c r="AG603" s="9" t="s">
        <v>42</v>
      </c>
    </row>
    <row r="604">
      <c r="A604" s="7">
        <v>44507.40774596065</v>
      </c>
      <c r="B604" s="9" t="s">
        <v>49</v>
      </c>
      <c r="C604" s="9">
        <v>32.0</v>
      </c>
      <c r="D604" s="9" t="s">
        <v>35</v>
      </c>
      <c r="E604" s="9" t="s">
        <v>36</v>
      </c>
      <c r="F604" s="9" t="s">
        <v>50</v>
      </c>
      <c r="G604" s="9" t="s">
        <v>50</v>
      </c>
      <c r="H604" s="9" t="s">
        <v>38</v>
      </c>
      <c r="I604" s="9" t="s">
        <v>806</v>
      </c>
      <c r="J604" s="9" t="s">
        <v>807</v>
      </c>
      <c r="K604" s="9" t="s">
        <v>39</v>
      </c>
      <c r="L604" s="9" t="s">
        <v>40</v>
      </c>
      <c r="M604" s="9" t="s">
        <v>40</v>
      </c>
      <c r="P604" s="9" t="s">
        <v>152</v>
      </c>
      <c r="Q604" s="9" t="s">
        <v>3321</v>
      </c>
      <c r="R604" s="9">
        <v>11350.0</v>
      </c>
      <c r="S604" s="9">
        <v>2.0</v>
      </c>
      <c r="U604" s="9">
        <v>16.0</v>
      </c>
      <c r="V604" s="9" t="s">
        <v>808</v>
      </c>
      <c r="W604" s="9" t="s">
        <v>809</v>
      </c>
      <c r="X604" s="9" t="s">
        <v>810</v>
      </c>
      <c r="Y604" s="9" t="s">
        <v>481</v>
      </c>
      <c r="Z604" s="9" t="s">
        <v>81</v>
      </c>
      <c r="AA604" s="9" t="s">
        <v>91</v>
      </c>
      <c r="AB604" s="9" t="s">
        <v>811</v>
      </c>
      <c r="AC604" s="9">
        <v>9.0</v>
      </c>
      <c r="AD604" s="9">
        <v>10.0</v>
      </c>
      <c r="AE604" s="9">
        <v>6.0</v>
      </c>
      <c r="AF604" s="9">
        <v>2500.0</v>
      </c>
      <c r="AG604" s="9" t="s">
        <v>2934</v>
      </c>
    </row>
    <row r="605">
      <c r="A605" s="7">
        <v>44508.782529895834</v>
      </c>
      <c r="B605" s="9" t="s">
        <v>73</v>
      </c>
      <c r="C605" s="9">
        <v>27.0</v>
      </c>
      <c r="D605" s="9" t="s">
        <v>35</v>
      </c>
      <c r="E605" s="9" t="s">
        <v>36</v>
      </c>
      <c r="F605" s="9" t="s">
        <v>124</v>
      </c>
      <c r="G605" s="9" t="s">
        <v>601</v>
      </c>
      <c r="H605" s="9" t="s">
        <v>38</v>
      </c>
      <c r="I605" s="9" t="s">
        <v>2907</v>
      </c>
      <c r="J605" s="9" t="s">
        <v>2908</v>
      </c>
      <c r="K605" s="9" t="s">
        <v>39</v>
      </c>
      <c r="L605" s="9" t="s">
        <v>40</v>
      </c>
      <c r="M605" s="9" t="s">
        <v>40</v>
      </c>
      <c r="P605" s="9" t="s">
        <v>2451</v>
      </c>
      <c r="Q605" s="9" t="s">
        <v>42</v>
      </c>
      <c r="R605" s="9">
        <v>5100.0</v>
      </c>
      <c r="U605" s="9">
        <v>14.0</v>
      </c>
      <c r="V605" s="9" t="s">
        <v>703</v>
      </c>
      <c r="W605" s="9" t="s">
        <v>704</v>
      </c>
      <c r="X605" s="9" t="s">
        <v>2466</v>
      </c>
      <c r="Y605" s="9" t="s">
        <v>89</v>
      </c>
      <c r="Z605" s="9" t="s">
        <v>90</v>
      </c>
      <c r="AA605" s="9" t="s">
        <v>91</v>
      </c>
      <c r="AC605" s="9">
        <v>10.0</v>
      </c>
      <c r="AD605" s="9">
        <v>4.0</v>
      </c>
      <c r="AE605" s="9">
        <v>3.0</v>
      </c>
      <c r="AF605" s="9">
        <v>2300.0</v>
      </c>
      <c r="AG605" s="9" t="s">
        <v>42</v>
      </c>
    </row>
    <row r="606">
      <c r="A606" s="7">
        <v>44509.12076515047</v>
      </c>
      <c r="B606" s="9" t="s">
        <v>49</v>
      </c>
      <c r="C606" s="9">
        <v>32.0</v>
      </c>
      <c r="D606" s="9" t="s">
        <v>35</v>
      </c>
      <c r="E606" s="9" t="s">
        <v>246</v>
      </c>
      <c r="F606" s="9" t="s">
        <v>246</v>
      </c>
      <c r="G606" s="9" t="s">
        <v>246</v>
      </c>
      <c r="H606" s="9" t="s">
        <v>38</v>
      </c>
      <c r="I606" s="9" t="s">
        <v>2413</v>
      </c>
      <c r="J606" s="9" t="s">
        <v>2464</v>
      </c>
      <c r="K606" s="9" t="s">
        <v>39</v>
      </c>
      <c r="L606" s="9" t="s">
        <v>40</v>
      </c>
      <c r="M606" s="9" t="s">
        <v>40</v>
      </c>
      <c r="P606" s="9" t="s">
        <v>3370</v>
      </c>
      <c r="Q606" s="9" t="s">
        <v>250</v>
      </c>
      <c r="R606" s="9">
        <v>5600.0</v>
      </c>
      <c r="S606" s="9">
        <v>0.0</v>
      </c>
      <c r="T606" s="9">
        <v>0.0</v>
      </c>
      <c r="U606" s="9">
        <v>20.0</v>
      </c>
      <c r="V606" s="9" t="s">
        <v>818</v>
      </c>
      <c r="W606" s="9" t="s">
        <v>819</v>
      </c>
      <c r="X606" s="9" t="s">
        <v>820</v>
      </c>
      <c r="Y606" s="9" t="s">
        <v>59</v>
      </c>
      <c r="Z606" s="9" t="s">
        <v>90</v>
      </c>
      <c r="AA606" s="9" t="s">
        <v>61</v>
      </c>
      <c r="AC606" s="9">
        <v>6.0</v>
      </c>
      <c r="AD606" s="9">
        <v>7.0</v>
      </c>
      <c r="AE606" s="9">
        <v>3.0</v>
      </c>
      <c r="AF606" s="9">
        <v>2500.0</v>
      </c>
      <c r="AG606" s="9" t="s">
        <v>42</v>
      </c>
    </row>
    <row r="607">
      <c r="A607" s="7">
        <v>44510.89119164352</v>
      </c>
      <c r="B607" s="9" t="s">
        <v>49</v>
      </c>
      <c r="C607" s="9">
        <v>23.0</v>
      </c>
      <c r="D607" s="9" t="s">
        <v>35</v>
      </c>
      <c r="E607" s="9" t="s">
        <v>36</v>
      </c>
      <c r="F607" s="9" t="s">
        <v>363</v>
      </c>
      <c r="H607" s="9" t="s">
        <v>38</v>
      </c>
      <c r="I607" s="9" t="s">
        <v>3124</v>
      </c>
      <c r="J607" s="9" t="s">
        <v>3358</v>
      </c>
      <c r="K607" s="9" t="s">
        <v>39</v>
      </c>
      <c r="L607" s="9" t="s">
        <v>40</v>
      </c>
      <c r="M607" s="9" t="s">
        <v>40</v>
      </c>
      <c r="P607" s="9" t="s">
        <v>152</v>
      </c>
      <c r="Q607" s="9" t="s">
        <v>42</v>
      </c>
      <c r="R607" s="9">
        <v>4000.0</v>
      </c>
      <c r="S607" s="9">
        <v>0.0</v>
      </c>
      <c r="T607" s="9">
        <v>0.0</v>
      </c>
      <c r="U607" s="9">
        <v>3.0</v>
      </c>
      <c r="V607" s="9" t="s">
        <v>1999</v>
      </c>
      <c r="W607" s="9" t="s">
        <v>2000</v>
      </c>
      <c r="X607" s="9" t="s">
        <v>363</v>
      </c>
      <c r="Y607" s="9" t="s">
        <v>80</v>
      </c>
      <c r="Z607" s="9" t="s">
        <v>81</v>
      </c>
      <c r="AA607" s="9" t="s">
        <v>61</v>
      </c>
      <c r="AC607" s="9">
        <v>5.0</v>
      </c>
      <c r="AD607" s="9">
        <v>1.0</v>
      </c>
      <c r="AE607" s="9">
        <v>1.0</v>
      </c>
      <c r="AF607" s="9">
        <v>4000.0</v>
      </c>
      <c r="AG607" s="9" t="s">
        <v>42</v>
      </c>
    </row>
    <row r="608">
      <c r="A608" s="7">
        <v>44512.384222175926</v>
      </c>
      <c r="B608" s="9" t="s">
        <v>49</v>
      </c>
      <c r="C608" s="9">
        <v>28.0</v>
      </c>
      <c r="D608" s="9" t="s">
        <v>35</v>
      </c>
      <c r="E608" s="9" t="s">
        <v>36</v>
      </c>
      <c r="F608" s="9" t="s">
        <v>50</v>
      </c>
      <c r="G608" s="9" t="s">
        <v>3097</v>
      </c>
      <c r="H608" s="9" t="s">
        <v>38</v>
      </c>
      <c r="I608" s="9" t="s">
        <v>220</v>
      </c>
      <c r="J608" s="9" t="s">
        <v>2894</v>
      </c>
      <c r="K608" s="9" t="s">
        <v>39</v>
      </c>
      <c r="L608" s="9" t="s">
        <v>40</v>
      </c>
      <c r="M608" s="9" t="s">
        <v>40</v>
      </c>
      <c r="P608" s="9" t="s">
        <v>977</v>
      </c>
      <c r="Q608" s="9" t="s">
        <v>42</v>
      </c>
      <c r="R608" s="9">
        <v>2900.0</v>
      </c>
      <c r="S608" s="9">
        <v>0.0</v>
      </c>
      <c r="T608" s="9">
        <v>0.0</v>
      </c>
      <c r="U608" s="9">
        <v>25.0</v>
      </c>
      <c r="V608" s="9" t="s">
        <v>978</v>
      </c>
      <c r="W608" s="9" t="s">
        <v>979</v>
      </c>
      <c r="X608" s="9" t="s">
        <v>58</v>
      </c>
      <c r="Y608" s="9" t="s">
        <v>59</v>
      </c>
      <c r="Z608" s="9" t="s">
        <v>81</v>
      </c>
      <c r="AA608" s="9" t="s">
        <v>133</v>
      </c>
      <c r="AB608" s="9" t="s">
        <v>980</v>
      </c>
      <c r="AC608" s="9">
        <v>7.0</v>
      </c>
      <c r="AD608" s="9">
        <v>2.0</v>
      </c>
      <c r="AE608" s="9">
        <v>4.0</v>
      </c>
      <c r="AF608" s="9">
        <v>2600.0</v>
      </c>
      <c r="AG608" s="9" t="s">
        <v>42</v>
      </c>
    </row>
    <row r="609">
      <c r="A609" s="7">
        <v>44512.405625555555</v>
      </c>
      <c r="B609" s="9" t="s">
        <v>49</v>
      </c>
      <c r="C609" s="9">
        <v>27.0</v>
      </c>
      <c r="D609" s="9" t="s">
        <v>35</v>
      </c>
      <c r="E609" s="9" t="s">
        <v>36</v>
      </c>
      <c r="F609" s="9" t="s">
        <v>171</v>
      </c>
      <c r="G609" s="9" t="s">
        <v>171</v>
      </c>
      <c r="H609" s="9" t="s">
        <v>38</v>
      </c>
      <c r="I609" s="9" t="s">
        <v>3371</v>
      </c>
      <c r="J609" s="9" t="s">
        <v>723</v>
      </c>
      <c r="K609" s="9" t="s">
        <v>39</v>
      </c>
      <c r="L609" s="9" t="s">
        <v>39</v>
      </c>
      <c r="M609" s="9" t="s">
        <v>40</v>
      </c>
      <c r="P609" s="9" t="s">
        <v>146</v>
      </c>
      <c r="Q609" s="9" t="s">
        <v>42</v>
      </c>
      <c r="R609" s="9">
        <v>4500.0</v>
      </c>
      <c r="S609" s="9">
        <v>0.0</v>
      </c>
      <c r="T609" s="9">
        <v>0.0</v>
      </c>
      <c r="U609" s="9">
        <v>14.0</v>
      </c>
      <c r="V609" s="9" t="s">
        <v>1073</v>
      </c>
      <c r="W609" s="9" t="s">
        <v>1074</v>
      </c>
      <c r="X609" s="9" t="s">
        <v>58</v>
      </c>
      <c r="Y609" s="9" t="s">
        <v>59</v>
      </c>
      <c r="Z609" s="9" t="s">
        <v>132</v>
      </c>
      <c r="AA609" s="9" t="s">
        <v>61</v>
      </c>
      <c r="AC609" s="9">
        <v>4.0</v>
      </c>
      <c r="AD609" s="9">
        <v>3.0</v>
      </c>
      <c r="AE609" s="9">
        <v>2.0</v>
      </c>
      <c r="AF609" s="9">
        <v>2800.0</v>
      </c>
      <c r="AG609" s="9" t="s">
        <v>42</v>
      </c>
    </row>
    <row r="610">
      <c r="A610" s="7">
        <v>44517.63214541667</v>
      </c>
      <c r="B610" s="9" t="s">
        <v>49</v>
      </c>
      <c r="C610" s="9">
        <v>27.0</v>
      </c>
      <c r="D610" s="9" t="s">
        <v>35</v>
      </c>
      <c r="E610" s="9" t="s">
        <v>36</v>
      </c>
      <c r="F610" s="9" t="s">
        <v>50</v>
      </c>
      <c r="G610" s="9" t="s">
        <v>1302</v>
      </c>
      <c r="H610" s="9" t="s">
        <v>38</v>
      </c>
      <c r="I610" s="9" t="s">
        <v>2413</v>
      </c>
      <c r="J610" s="9" t="s">
        <v>2385</v>
      </c>
      <c r="K610" s="9" t="s">
        <v>39</v>
      </c>
      <c r="L610" s="9" t="s">
        <v>40</v>
      </c>
      <c r="M610" s="9" t="s">
        <v>40</v>
      </c>
      <c r="P610" s="9" t="s">
        <v>3372</v>
      </c>
      <c r="Q610" s="9" t="s">
        <v>42</v>
      </c>
      <c r="R610" s="9">
        <v>6300.0</v>
      </c>
      <c r="U610" s="9">
        <v>14.0</v>
      </c>
      <c r="V610" s="9" t="s">
        <v>67</v>
      </c>
      <c r="W610" s="9" t="s">
        <v>1303</v>
      </c>
      <c r="X610" s="9" t="s">
        <v>58</v>
      </c>
      <c r="Y610" s="9" t="s">
        <v>547</v>
      </c>
      <c r="Z610" s="9" t="s">
        <v>132</v>
      </c>
      <c r="AA610" s="9" t="s">
        <v>91</v>
      </c>
      <c r="AC610" s="9">
        <v>8.0</v>
      </c>
      <c r="AD610" s="9">
        <v>4.0</v>
      </c>
      <c r="AE610" s="9">
        <v>3.0</v>
      </c>
      <c r="AF610" s="9">
        <v>3000.0</v>
      </c>
      <c r="AG610" s="9" t="s">
        <v>42</v>
      </c>
    </row>
    <row r="611">
      <c r="A611" s="7">
        <v>44517.684892708334</v>
      </c>
      <c r="B611" s="9" t="s">
        <v>49</v>
      </c>
      <c r="C611" s="9">
        <v>22.0</v>
      </c>
      <c r="D611" s="9" t="s">
        <v>35</v>
      </c>
      <c r="E611" s="9" t="s">
        <v>36</v>
      </c>
      <c r="F611" s="9" t="s">
        <v>186</v>
      </c>
      <c r="G611" s="9" t="s">
        <v>187</v>
      </c>
      <c r="H611" s="9" t="s">
        <v>38</v>
      </c>
      <c r="I611" s="9" t="s">
        <v>2467</v>
      </c>
      <c r="K611" s="9" t="s">
        <v>39</v>
      </c>
      <c r="L611" s="9" t="s">
        <v>40</v>
      </c>
      <c r="M611" s="9" t="s">
        <v>40</v>
      </c>
      <c r="P611" s="9" t="s">
        <v>1685</v>
      </c>
      <c r="Q611" s="9" t="s">
        <v>42</v>
      </c>
      <c r="R611" s="9">
        <v>3300.0</v>
      </c>
      <c r="U611" s="9">
        <v>14.0</v>
      </c>
      <c r="V611" s="9" t="s">
        <v>1686</v>
      </c>
      <c r="W611" s="9" t="s">
        <v>1687</v>
      </c>
      <c r="X611" s="9" t="s">
        <v>79</v>
      </c>
      <c r="Y611" s="9" t="s">
        <v>80</v>
      </c>
      <c r="Z611" s="9" t="s">
        <v>90</v>
      </c>
      <c r="AA611" s="9" t="s">
        <v>91</v>
      </c>
      <c r="AC611" s="9">
        <v>7.0</v>
      </c>
      <c r="AD611" s="9">
        <v>1.0</v>
      </c>
      <c r="AE611" s="9">
        <v>2.0</v>
      </c>
      <c r="AF611" s="9">
        <v>3300.0</v>
      </c>
      <c r="AG611" s="9" t="s">
        <v>42</v>
      </c>
    </row>
    <row r="612">
      <c r="A612" s="7">
        <v>44518.23429540509</v>
      </c>
      <c r="B612" s="9" t="s">
        <v>49</v>
      </c>
      <c r="C612" s="9">
        <v>22.0</v>
      </c>
      <c r="D612" s="9" t="s">
        <v>35</v>
      </c>
      <c r="E612" s="9" t="s">
        <v>36</v>
      </c>
      <c r="F612" s="9" t="s">
        <v>225</v>
      </c>
      <c r="G612" s="9" t="s">
        <v>225</v>
      </c>
      <c r="H612" s="9" t="s">
        <v>38</v>
      </c>
      <c r="I612" s="9" t="s">
        <v>3373</v>
      </c>
      <c r="J612" s="9" t="s">
        <v>2801</v>
      </c>
      <c r="K612" s="9" t="s">
        <v>39</v>
      </c>
      <c r="L612" s="9" t="s">
        <v>39</v>
      </c>
      <c r="M612" s="9" t="s">
        <v>40</v>
      </c>
      <c r="N612" s="9" t="s">
        <v>1010</v>
      </c>
      <c r="P612" s="9" t="s">
        <v>3219</v>
      </c>
      <c r="Q612" s="9" t="s">
        <v>2934</v>
      </c>
      <c r="R612" s="9">
        <v>2700.0</v>
      </c>
      <c r="S612" s="9">
        <v>0.0</v>
      </c>
      <c r="T612" s="9">
        <v>0.0</v>
      </c>
      <c r="U612" s="9">
        <v>14.0</v>
      </c>
      <c r="V612" s="9" t="s">
        <v>1011</v>
      </c>
      <c r="W612" s="9" t="s">
        <v>1012</v>
      </c>
      <c r="X612" s="9" t="s">
        <v>734</v>
      </c>
      <c r="Y612" s="9" t="s">
        <v>1013</v>
      </c>
      <c r="Z612" s="9" t="s">
        <v>132</v>
      </c>
      <c r="AA612" s="9" t="s">
        <v>61</v>
      </c>
      <c r="AC612" s="9">
        <v>1.0</v>
      </c>
      <c r="AD612" s="9" t="s">
        <v>1014</v>
      </c>
      <c r="AE612" s="9">
        <v>0.0</v>
      </c>
      <c r="AF612" s="9">
        <v>2700.0</v>
      </c>
      <c r="AG612" s="9" t="s">
        <v>2934</v>
      </c>
    </row>
    <row r="613">
      <c r="A613" s="7">
        <v>44518.70144931713</v>
      </c>
      <c r="B613" s="9" t="s">
        <v>49</v>
      </c>
      <c r="C613" s="9">
        <v>28.0</v>
      </c>
      <c r="D613" s="9" t="s">
        <v>35</v>
      </c>
      <c r="E613" s="9" t="s">
        <v>36</v>
      </c>
      <c r="F613" s="9" t="s">
        <v>172</v>
      </c>
      <c r="G613" s="9" t="s">
        <v>173</v>
      </c>
      <c r="H613" s="9" t="s">
        <v>38</v>
      </c>
      <c r="I613" s="9" t="s">
        <v>2467</v>
      </c>
      <c r="J613" s="9" t="s">
        <v>3374</v>
      </c>
      <c r="K613" s="9" t="s">
        <v>39</v>
      </c>
      <c r="L613" s="9" t="s">
        <v>40</v>
      </c>
      <c r="M613" s="9" t="s">
        <v>40</v>
      </c>
      <c r="P613" s="9" t="s">
        <v>146</v>
      </c>
      <c r="Q613" s="9" t="s">
        <v>42</v>
      </c>
      <c r="R613" s="9">
        <v>4000.0</v>
      </c>
      <c r="S613" s="9">
        <v>4000.0</v>
      </c>
      <c r="T613" s="9">
        <v>0.0</v>
      </c>
      <c r="U613" s="9">
        <v>14.0</v>
      </c>
      <c r="V613" s="9" t="s">
        <v>216</v>
      </c>
      <c r="W613" s="9" t="s">
        <v>217</v>
      </c>
      <c r="X613" s="9" t="s">
        <v>172</v>
      </c>
      <c r="Y613" s="9" t="s">
        <v>218</v>
      </c>
      <c r="Z613" s="9" t="s">
        <v>60</v>
      </c>
      <c r="AA613" s="9" t="s">
        <v>61</v>
      </c>
      <c r="AB613" s="9" t="s">
        <v>219</v>
      </c>
      <c r="AC613" s="9">
        <v>7.0</v>
      </c>
      <c r="AD613" s="9">
        <v>7.0</v>
      </c>
      <c r="AE613" s="9">
        <v>1.0</v>
      </c>
      <c r="AF613" s="9">
        <v>1000.0</v>
      </c>
      <c r="AG613" s="9" t="s">
        <v>42</v>
      </c>
    </row>
    <row r="614">
      <c r="A614" s="7">
        <v>44520.78969167824</v>
      </c>
      <c r="B614" s="9" t="s">
        <v>49</v>
      </c>
      <c r="C614" s="9">
        <v>24.0</v>
      </c>
      <c r="D614" s="9" t="s">
        <v>35</v>
      </c>
      <c r="E614" s="9" t="s">
        <v>36</v>
      </c>
      <c r="H614" s="9" t="s">
        <v>38</v>
      </c>
      <c r="K614" s="9" t="s">
        <v>39</v>
      </c>
      <c r="L614" s="9" t="s">
        <v>40</v>
      </c>
      <c r="M614" s="9" t="s">
        <v>40</v>
      </c>
      <c r="P614" s="9" t="s">
        <v>3375</v>
      </c>
      <c r="Q614" s="9" t="s">
        <v>42</v>
      </c>
      <c r="R614" s="9">
        <v>3800.0</v>
      </c>
      <c r="U614" s="9">
        <v>10.0</v>
      </c>
      <c r="V614" s="9" t="s">
        <v>339</v>
      </c>
      <c r="W614" s="9" t="s">
        <v>163</v>
      </c>
      <c r="X614" s="9" t="s">
        <v>340</v>
      </c>
      <c r="Y614" s="9" t="s">
        <v>105</v>
      </c>
      <c r="Z614" s="9" t="s">
        <v>132</v>
      </c>
      <c r="AA614" s="9" t="s">
        <v>91</v>
      </c>
      <c r="AC614" s="9">
        <v>8.0</v>
      </c>
      <c r="AD614" s="9">
        <v>2.0</v>
      </c>
      <c r="AE614" s="9">
        <v>0.0</v>
      </c>
      <c r="AF614" s="9">
        <v>1500.0</v>
      </c>
      <c r="AG614" s="9" t="s">
        <v>42</v>
      </c>
    </row>
    <row r="615">
      <c r="A615" s="7">
        <v>44522.65859521991</v>
      </c>
      <c r="B615" s="9" t="s">
        <v>49</v>
      </c>
      <c r="C615" s="9">
        <v>37.0</v>
      </c>
      <c r="D615" s="9" t="s">
        <v>35</v>
      </c>
      <c r="E615" s="9" t="s">
        <v>36</v>
      </c>
      <c r="F615" s="9" t="s">
        <v>63</v>
      </c>
      <c r="G615" s="9" t="s">
        <v>1661</v>
      </c>
      <c r="H615" s="9" t="s">
        <v>247</v>
      </c>
      <c r="I615" s="9" t="s">
        <v>3376</v>
      </c>
      <c r="J615" s="9" t="s">
        <v>2444</v>
      </c>
      <c r="K615" s="9" t="s">
        <v>39</v>
      </c>
      <c r="L615" s="9" t="s">
        <v>40</v>
      </c>
      <c r="M615" s="9" t="s">
        <v>40</v>
      </c>
      <c r="P615" s="9" t="s">
        <v>2377</v>
      </c>
      <c r="Q615" s="9" t="s">
        <v>42</v>
      </c>
      <c r="R615" s="9">
        <v>8800.0</v>
      </c>
      <c r="S615" s="9">
        <v>0.0</v>
      </c>
      <c r="T615" s="9">
        <v>0.0</v>
      </c>
      <c r="U615" s="9">
        <v>0.0</v>
      </c>
      <c r="V615" s="9" t="s">
        <v>1662</v>
      </c>
      <c r="W615" s="9" t="s">
        <v>1663</v>
      </c>
      <c r="X615" s="9" t="s">
        <v>267</v>
      </c>
      <c r="Y615" s="9" t="s">
        <v>116</v>
      </c>
      <c r="Z615" s="9" t="s">
        <v>71</v>
      </c>
      <c r="AA615" s="9" t="s">
        <v>61</v>
      </c>
      <c r="AC615" s="9">
        <v>7.0</v>
      </c>
      <c r="AD615" s="9">
        <v>13.0</v>
      </c>
      <c r="AE615" s="9">
        <v>2.0</v>
      </c>
      <c r="AF615" s="9">
        <v>3300.0</v>
      </c>
      <c r="AG615" s="9" t="s">
        <v>42</v>
      </c>
    </row>
    <row r="616">
      <c r="A616" s="7">
        <v>44523.57481295139</v>
      </c>
      <c r="B616" s="9" t="s">
        <v>49</v>
      </c>
      <c r="C616" s="9">
        <v>25.0</v>
      </c>
      <c r="D616" s="9" t="s">
        <v>35</v>
      </c>
      <c r="E616" s="9" t="s">
        <v>36</v>
      </c>
      <c r="F616" s="9" t="s">
        <v>50</v>
      </c>
      <c r="G616" s="9" t="s">
        <v>117</v>
      </c>
      <c r="H616" s="9" t="s">
        <v>38</v>
      </c>
      <c r="I616" s="9" t="s">
        <v>2368</v>
      </c>
      <c r="J616" s="9" t="s">
        <v>2490</v>
      </c>
      <c r="K616" s="9" t="s">
        <v>39</v>
      </c>
      <c r="L616" s="9" t="s">
        <v>40</v>
      </c>
      <c r="M616" s="9" t="s">
        <v>40</v>
      </c>
      <c r="P616" s="9" t="s">
        <v>128</v>
      </c>
      <c r="Q616" s="9" t="s">
        <v>42</v>
      </c>
      <c r="R616" s="9">
        <v>3000.0</v>
      </c>
      <c r="S616" s="9">
        <v>0.0</v>
      </c>
      <c r="T616" s="9">
        <v>0.0</v>
      </c>
      <c r="U616" s="9">
        <v>16.0</v>
      </c>
      <c r="V616" s="9" t="s">
        <v>1322</v>
      </c>
      <c r="W616" s="9" t="s">
        <v>1323</v>
      </c>
      <c r="X616" s="9" t="s">
        <v>122</v>
      </c>
      <c r="Y616" s="9" t="s">
        <v>481</v>
      </c>
      <c r="Z616" s="9" t="s">
        <v>60</v>
      </c>
      <c r="AA616" s="9" t="s">
        <v>61</v>
      </c>
      <c r="AB616" s="9" t="s">
        <v>1324</v>
      </c>
      <c r="AC616" s="9">
        <v>8.0</v>
      </c>
      <c r="AD616" s="9">
        <v>2.0</v>
      </c>
      <c r="AE616" s="9">
        <v>0.0</v>
      </c>
      <c r="AF616" s="9">
        <v>3000.0</v>
      </c>
      <c r="AG616" s="9" t="s">
        <v>42</v>
      </c>
    </row>
    <row r="617">
      <c r="A617" s="7">
        <v>44527.43112775463</v>
      </c>
      <c r="B617" s="9" t="s">
        <v>49</v>
      </c>
      <c r="C617" s="9">
        <v>24.0</v>
      </c>
      <c r="D617" s="9" t="s">
        <v>35</v>
      </c>
      <c r="E617" s="9" t="s">
        <v>36</v>
      </c>
      <c r="F617" s="9" t="s">
        <v>349</v>
      </c>
      <c r="G617" s="9" t="s">
        <v>349</v>
      </c>
      <c r="H617" s="9" t="s">
        <v>38</v>
      </c>
      <c r="I617" s="9" t="s">
        <v>2368</v>
      </c>
      <c r="J617" s="9" t="s">
        <v>2444</v>
      </c>
      <c r="K617" s="9" t="s">
        <v>39</v>
      </c>
      <c r="L617" s="9" t="s">
        <v>40</v>
      </c>
      <c r="M617" s="9" t="s">
        <v>40</v>
      </c>
      <c r="P617" s="9" t="s">
        <v>146</v>
      </c>
      <c r="Q617" s="9" t="s">
        <v>42</v>
      </c>
      <c r="R617" s="9">
        <v>4500.0</v>
      </c>
      <c r="S617" s="9">
        <v>0.0</v>
      </c>
      <c r="T617" s="9">
        <v>0.0</v>
      </c>
      <c r="U617" s="9">
        <v>14.0</v>
      </c>
      <c r="V617" s="9" t="s">
        <v>1758</v>
      </c>
      <c r="W617" s="9" t="s">
        <v>321</v>
      </c>
      <c r="X617" s="9" t="s">
        <v>349</v>
      </c>
      <c r="Y617" s="9" t="s">
        <v>59</v>
      </c>
      <c r="Z617" s="9" t="s">
        <v>81</v>
      </c>
      <c r="AA617" s="9" t="s">
        <v>91</v>
      </c>
      <c r="AC617" s="9">
        <v>8.0</v>
      </c>
      <c r="AD617" s="9">
        <v>2.0</v>
      </c>
      <c r="AE617" s="9">
        <v>0.0</v>
      </c>
      <c r="AF617" s="9">
        <v>3400.0</v>
      </c>
      <c r="AG617" s="9" t="s">
        <v>42</v>
      </c>
    </row>
    <row r="618">
      <c r="A618" s="7">
        <v>44534.1120047338</v>
      </c>
      <c r="B618" s="9" t="s">
        <v>49</v>
      </c>
      <c r="C618" s="9">
        <v>24.0</v>
      </c>
      <c r="D618" s="9" t="s">
        <v>35</v>
      </c>
      <c r="E618" s="9" t="s">
        <v>36</v>
      </c>
      <c r="F618" s="9" t="s">
        <v>604</v>
      </c>
      <c r="G618" s="9" t="s">
        <v>604</v>
      </c>
      <c r="H618" s="9" t="s">
        <v>38</v>
      </c>
      <c r="I618" s="9" t="s">
        <v>3377</v>
      </c>
      <c r="J618" s="9" t="s">
        <v>3378</v>
      </c>
      <c r="K618" s="9" t="s">
        <v>39</v>
      </c>
      <c r="L618" s="9" t="s">
        <v>40</v>
      </c>
      <c r="M618" s="9" t="s">
        <v>39</v>
      </c>
      <c r="O618" s="9" t="s">
        <v>398</v>
      </c>
      <c r="P618" s="9" t="s">
        <v>2465</v>
      </c>
      <c r="Q618" s="9" t="s">
        <v>42</v>
      </c>
      <c r="R618" s="9">
        <v>3600.0</v>
      </c>
      <c r="S618" s="9">
        <v>0.0</v>
      </c>
      <c r="T618" s="9">
        <v>0.0</v>
      </c>
      <c r="U618" s="9">
        <v>14.0</v>
      </c>
      <c r="V618" s="9" t="s">
        <v>1263</v>
      </c>
      <c r="W618" s="9" t="s">
        <v>1264</v>
      </c>
      <c r="X618" s="9" t="s">
        <v>131</v>
      </c>
      <c r="Y618" s="9" t="s">
        <v>1265</v>
      </c>
      <c r="Z618" s="9" t="s">
        <v>132</v>
      </c>
      <c r="AA618" s="9" t="s">
        <v>61</v>
      </c>
      <c r="AB618" s="9" t="s">
        <v>1266</v>
      </c>
      <c r="AC618" s="9">
        <v>5.0</v>
      </c>
      <c r="AD618" s="9">
        <v>2.0</v>
      </c>
      <c r="AE618" s="9">
        <v>0.0</v>
      </c>
      <c r="AF618" s="9">
        <v>3000.0</v>
      </c>
      <c r="AG618" s="9" t="s">
        <v>42</v>
      </c>
    </row>
    <row r="619">
      <c r="A619" s="7">
        <v>44534.427220115744</v>
      </c>
      <c r="B619" s="9" t="s">
        <v>49</v>
      </c>
      <c r="C619" s="9">
        <v>24.0</v>
      </c>
      <c r="D619" s="9" t="s">
        <v>35</v>
      </c>
      <c r="E619" s="9" t="s">
        <v>36</v>
      </c>
      <c r="F619" s="9" t="s">
        <v>50</v>
      </c>
      <c r="G619" s="9" t="s">
        <v>82</v>
      </c>
      <c r="H619" s="9" t="s">
        <v>38</v>
      </c>
      <c r="I619" s="9" t="s">
        <v>3379</v>
      </c>
      <c r="J619" s="9" t="s">
        <v>2472</v>
      </c>
      <c r="K619" s="9" t="s">
        <v>39</v>
      </c>
      <c r="L619" s="9" t="s">
        <v>40</v>
      </c>
      <c r="M619" s="9" t="s">
        <v>40</v>
      </c>
      <c r="P619" s="9" t="s">
        <v>3380</v>
      </c>
      <c r="Q619" s="9" t="s">
        <v>42</v>
      </c>
      <c r="R619" s="9">
        <v>3500.0</v>
      </c>
      <c r="S619" s="9">
        <v>0.0</v>
      </c>
      <c r="T619" s="9">
        <v>0.0</v>
      </c>
      <c r="U619" s="9">
        <v>14.0</v>
      </c>
      <c r="V619" s="9" t="s">
        <v>555</v>
      </c>
      <c r="W619" s="9" t="s">
        <v>556</v>
      </c>
      <c r="X619" s="9" t="s">
        <v>58</v>
      </c>
      <c r="Y619" s="9" t="s">
        <v>80</v>
      </c>
      <c r="Z619" s="9" t="s">
        <v>81</v>
      </c>
      <c r="AA619" s="9" t="s">
        <v>61</v>
      </c>
      <c r="AC619" s="9">
        <v>4.0</v>
      </c>
      <c r="AD619" s="9">
        <v>1.0</v>
      </c>
      <c r="AE619" s="9">
        <v>1.0</v>
      </c>
      <c r="AF619" s="9">
        <v>2000.0</v>
      </c>
      <c r="AG619" s="9" t="s">
        <v>42</v>
      </c>
    </row>
    <row r="620">
      <c r="A620" s="7">
        <v>44534.85428403935</v>
      </c>
      <c r="B620" s="9" t="s">
        <v>49</v>
      </c>
      <c r="C620" s="9">
        <v>30.0</v>
      </c>
      <c r="D620" s="9" t="s">
        <v>35</v>
      </c>
      <c r="E620" s="9" t="s">
        <v>36</v>
      </c>
      <c r="F620" s="9" t="s">
        <v>275</v>
      </c>
      <c r="G620" s="9" t="s">
        <v>276</v>
      </c>
      <c r="H620" s="9" t="s">
        <v>38</v>
      </c>
      <c r="I620" s="9" t="s">
        <v>3250</v>
      </c>
      <c r="J620" s="9" t="s">
        <v>2472</v>
      </c>
      <c r="K620" s="9" t="s">
        <v>39</v>
      </c>
      <c r="L620" s="9" t="s">
        <v>40</v>
      </c>
      <c r="M620" s="9" t="s">
        <v>40</v>
      </c>
      <c r="P620" s="9" t="s">
        <v>3381</v>
      </c>
      <c r="Q620" s="9" t="s">
        <v>42</v>
      </c>
      <c r="R620" s="9">
        <v>1600.0</v>
      </c>
      <c r="S620" s="9">
        <v>0.0</v>
      </c>
      <c r="U620" s="9">
        <v>12.0</v>
      </c>
      <c r="V620" s="9" t="s">
        <v>278</v>
      </c>
      <c r="W620" s="9" t="s">
        <v>279</v>
      </c>
      <c r="X620" s="9" t="s">
        <v>276</v>
      </c>
      <c r="Y620" s="9" t="s">
        <v>70</v>
      </c>
      <c r="Z620" s="9" t="s">
        <v>132</v>
      </c>
      <c r="AA620" s="9" t="s">
        <v>48</v>
      </c>
      <c r="AC620" s="9">
        <v>1.0</v>
      </c>
      <c r="AD620" s="9">
        <v>3.0</v>
      </c>
      <c r="AE620" s="9">
        <v>4.0</v>
      </c>
      <c r="AF620" s="9">
        <v>1200.0</v>
      </c>
      <c r="AG620" s="9" t="s">
        <v>42</v>
      </c>
    </row>
    <row r="621">
      <c r="A621" s="7">
        <v>44536.29459508102</v>
      </c>
      <c r="B621" s="9" t="s">
        <v>49</v>
      </c>
      <c r="C621" s="9">
        <v>28.0</v>
      </c>
      <c r="D621" s="9" t="s">
        <v>35</v>
      </c>
      <c r="E621" s="9" t="s">
        <v>36</v>
      </c>
      <c r="H621" s="9" t="s">
        <v>38</v>
      </c>
      <c r="I621" s="9" t="s">
        <v>3382</v>
      </c>
      <c r="J621" s="9" t="s">
        <v>1570</v>
      </c>
      <c r="K621" s="9" t="s">
        <v>39</v>
      </c>
      <c r="L621" s="9" t="s">
        <v>40</v>
      </c>
      <c r="M621" s="9" t="s">
        <v>40</v>
      </c>
      <c r="P621" s="9" t="s">
        <v>1571</v>
      </c>
      <c r="Q621" s="9" t="s">
        <v>42</v>
      </c>
      <c r="R621" s="9">
        <v>10300.0</v>
      </c>
      <c r="U621" s="9">
        <v>16.0</v>
      </c>
      <c r="V621" s="9" t="s">
        <v>1572</v>
      </c>
      <c r="W621" s="9" t="s">
        <v>1573</v>
      </c>
      <c r="X621" s="9" t="s">
        <v>1574</v>
      </c>
      <c r="Y621" s="9" t="s">
        <v>423</v>
      </c>
      <c r="Z621" s="9" t="s">
        <v>60</v>
      </c>
      <c r="AA621" s="9" t="s">
        <v>61</v>
      </c>
      <c r="AC621" s="9">
        <v>7.0</v>
      </c>
      <c r="AD621" s="9">
        <v>5.0</v>
      </c>
      <c r="AE621" s="9">
        <v>3.0</v>
      </c>
      <c r="AF621" s="9">
        <v>3150.0</v>
      </c>
      <c r="AG621" s="9" t="s">
        <v>42</v>
      </c>
    </row>
    <row r="622">
      <c r="A622" s="7">
        <v>44536.83192939815</v>
      </c>
      <c r="B622" s="9" t="s">
        <v>49</v>
      </c>
      <c r="C622" s="9">
        <v>22.0</v>
      </c>
      <c r="D622" s="9" t="s">
        <v>35</v>
      </c>
      <c r="E622" s="9" t="s">
        <v>36</v>
      </c>
      <c r="F622" s="9" t="s">
        <v>363</v>
      </c>
      <c r="G622" s="9" t="s">
        <v>527</v>
      </c>
      <c r="H622" s="9" t="s">
        <v>38</v>
      </c>
      <c r="I622" s="9" t="s">
        <v>3383</v>
      </c>
      <c r="J622" s="9" t="s">
        <v>3243</v>
      </c>
      <c r="K622" s="9" t="s">
        <v>39</v>
      </c>
      <c r="L622" s="9" t="s">
        <v>40</v>
      </c>
      <c r="M622" s="9" t="s">
        <v>40</v>
      </c>
      <c r="P622" s="9" t="s">
        <v>128</v>
      </c>
      <c r="Q622" s="9" t="s">
        <v>42</v>
      </c>
      <c r="R622" s="9">
        <v>3400.0</v>
      </c>
      <c r="S622" s="9">
        <v>0.0</v>
      </c>
      <c r="T622" s="9">
        <v>0.0</v>
      </c>
      <c r="U622" s="9">
        <v>14.0</v>
      </c>
      <c r="V622" s="9" t="s">
        <v>1755</v>
      </c>
      <c r="W622" s="9" t="s">
        <v>1756</v>
      </c>
      <c r="X622" s="9" t="s">
        <v>79</v>
      </c>
      <c r="Y622" s="9" t="s">
        <v>347</v>
      </c>
      <c r="Z622" s="9" t="s">
        <v>81</v>
      </c>
      <c r="AA622" s="9" t="s">
        <v>91</v>
      </c>
      <c r="AC622" s="9">
        <v>8.0</v>
      </c>
      <c r="AD622" s="9" t="s">
        <v>1757</v>
      </c>
      <c r="AE622" s="9">
        <v>0.0</v>
      </c>
      <c r="AF622" s="9">
        <v>3400.0</v>
      </c>
      <c r="AG622" s="9" t="s">
        <v>42</v>
      </c>
    </row>
    <row r="623">
      <c r="A623" s="7">
        <v>44538.15534787037</v>
      </c>
      <c r="B623" s="9" t="s">
        <v>49</v>
      </c>
      <c r="C623" s="9">
        <v>23.0</v>
      </c>
      <c r="D623" s="9" t="s">
        <v>35</v>
      </c>
      <c r="E623" s="9" t="s">
        <v>36</v>
      </c>
      <c r="F623" s="9" t="s">
        <v>349</v>
      </c>
      <c r="G623" s="9" t="s">
        <v>296</v>
      </c>
      <c r="H623" s="9" t="s">
        <v>38</v>
      </c>
      <c r="I623" s="9" t="s">
        <v>2368</v>
      </c>
      <c r="J623" s="9" t="s">
        <v>944</v>
      </c>
      <c r="K623" s="9" t="s">
        <v>39</v>
      </c>
      <c r="L623" s="9" t="s">
        <v>40</v>
      </c>
      <c r="M623" s="9" t="s">
        <v>40</v>
      </c>
      <c r="P623" s="9" t="s">
        <v>146</v>
      </c>
      <c r="Q623" s="9" t="s">
        <v>42</v>
      </c>
      <c r="R623" s="9">
        <v>3300.0</v>
      </c>
      <c r="S623" s="9">
        <v>6600.0</v>
      </c>
      <c r="T623" s="9">
        <v>0.0</v>
      </c>
      <c r="U623" s="9">
        <v>15.0</v>
      </c>
      <c r="V623" s="9" t="s">
        <v>1318</v>
      </c>
      <c r="W623" s="9" t="s">
        <v>1319</v>
      </c>
      <c r="X623" s="9" t="s">
        <v>122</v>
      </c>
      <c r="Y623" s="9" t="s">
        <v>155</v>
      </c>
      <c r="Z623" s="9" t="s">
        <v>71</v>
      </c>
      <c r="AA623" s="9" t="s">
        <v>61</v>
      </c>
      <c r="AC623" s="9">
        <v>5.0</v>
      </c>
      <c r="AD623" s="9">
        <v>1.0</v>
      </c>
      <c r="AE623" s="9">
        <v>0.0</v>
      </c>
      <c r="AF623" s="9">
        <v>3000.0</v>
      </c>
      <c r="AG623" s="9" t="s">
        <v>42</v>
      </c>
    </row>
    <row r="624">
      <c r="A624" s="7">
        <v>44538.498834502316</v>
      </c>
      <c r="B624" s="9" t="s">
        <v>49</v>
      </c>
      <c r="C624" s="9">
        <v>23.0</v>
      </c>
      <c r="D624" s="9" t="s">
        <v>35</v>
      </c>
      <c r="E624" s="9" t="s">
        <v>36</v>
      </c>
      <c r="F624" s="9" t="s">
        <v>50</v>
      </c>
      <c r="G624" s="9" t="s">
        <v>106</v>
      </c>
      <c r="H624" s="9" t="s">
        <v>93</v>
      </c>
      <c r="I624" s="9" t="s">
        <v>2658</v>
      </c>
      <c r="J624" s="9" t="s">
        <v>454</v>
      </c>
      <c r="K624" s="9" t="s">
        <v>39</v>
      </c>
      <c r="L624" s="9" t="s">
        <v>40</v>
      </c>
      <c r="M624" s="9" t="s">
        <v>40</v>
      </c>
      <c r="P624" s="9" t="s">
        <v>455</v>
      </c>
      <c r="Q624" s="9" t="s">
        <v>42</v>
      </c>
      <c r="R624" s="9">
        <v>3200.0</v>
      </c>
      <c r="S624" s="9">
        <v>0.0</v>
      </c>
      <c r="T624" s="9">
        <v>0.0</v>
      </c>
      <c r="U624" s="9">
        <v>12.0</v>
      </c>
      <c r="V624" s="9" t="s">
        <v>456</v>
      </c>
      <c r="W624" s="9" t="s">
        <v>457</v>
      </c>
      <c r="X624" s="9" t="s">
        <v>58</v>
      </c>
      <c r="Y624" s="9" t="s">
        <v>159</v>
      </c>
      <c r="Z624" s="9" t="s">
        <v>132</v>
      </c>
      <c r="AA624" s="9" t="s">
        <v>61</v>
      </c>
      <c r="AC624" s="9">
        <v>8.0</v>
      </c>
      <c r="AD624" s="9">
        <v>3.0</v>
      </c>
      <c r="AE624" s="9">
        <v>1.0</v>
      </c>
      <c r="AF624" s="9">
        <v>1800.0</v>
      </c>
      <c r="AG624" s="9" t="s">
        <v>42</v>
      </c>
    </row>
    <row r="625">
      <c r="A625" s="7">
        <v>44540.969871724534</v>
      </c>
      <c r="B625" s="9" t="s">
        <v>49</v>
      </c>
      <c r="C625" s="9">
        <v>37.0</v>
      </c>
      <c r="D625" s="9" t="s">
        <v>35</v>
      </c>
      <c r="E625" s="9" t="s">
        <v>36</v>
      </c>
      <c r="F625" s="9" t="s">
        <v>50</v>
      </c>
      <c r="G625" s="9" t="s">
        <v>117</v>
      </c>
      <c r="H625" s="9" t="s">
        <v>38</v>
      </c>
      <c r="I625" s="9" t="s">
        <v>3384</v>
      </c>
      <c r="J625" s="9" t="s">
        <v>3385</v>
      </c>
      <c r="K625" s="9" t="s">
        <v>39</v>
      </c>
      <c r="L625" s="9" t="s">
        <v>40</v>
      </c>
      <c r="M625" s="9" t="s">
        <v>40</v>
      </c>
      <c r="N625" s="9" t="s">
        <v>3386</v>
      </c>
      <c r="O625" s="9" t="s">
        <v>3386</v>
      </c>
      <c r="P625" s="9" t="s">
        <v>3000</v>
      </c>
      <c r="Q625" s="9" t="s">
        <v>42</v>
      </c>
      <c r="R625" s="9">
        <v>11500.0</v>
      </c>
      <c r="S625" s="9">
        <v>11500.0</v>
      </c>
      <c r="T625" s="9">
        <v>0.0</v>
      </c>
      <c r="U625" s="9">
        <v>18.0</v>
      </c>
      <c r="V625" s="9" t="s">
        <v>2315</v>
      </c>
      <c r="W625" s="9" t="s">
        <v>1378</v>
      </c>
      <c r="X625" s="9" t="s">
        <v>2316</v>
      </c>
      <c r="Y625" s="9" t="s">
        <v>59</v>
      </c>
      <c r="Z625" s="9" t="s">
        <v>71</v>
      </c>
      <c r="AA625" s="9" t="s">
        <v>61</v>
      </c>
      <c r="AC625" s="9">
        <v>10.0</v>
      </c>
      <c r="AD625" s="9">
        <v>11.0</v>
      </c>
      <c r="AE625" s="9">
        <v>3.0</v>
      </c>
      <c r="AF625" s="9">
        <v>11500.0</v>
      </c>
      <c r="AG625" s="9">
        <v>11500.0</v>
      </c>
    </row>
    <row r="626">
      <c r="A626" s="7">
        <v>44545.948067986115</v>
      </c>
      <c r="B626" s="9" t="s">
        <v>49</v>
      </c>
      <c r="C626" s="9">
        <v>40.0</v>
      </c>
      <c r="D626" s="9" t="s">
        <v>35</v>
      </c>
      <c r="E626" s="9" t="s">
        <v>36</v>
      </c>
      <c r="F626" s="9" t="s">
        <v>69</v>
      </c>
      <c r="G626" s="9" t="s">
        <v>3387</v>
      </c>
      <c r="H626" s="9" t="s">
        <v>38</v>
      </c>
      <c r="I626" s="9" t="s">
        <v>3130</v>
      </c>
      <c r="J626" s="9" t="s">
        <v>3388</v>
      </c>
      <c r="K626" s="9" t="s">
        <v>39</v>
      </c>
      <c r="L626" s="9" t="s">
        <v>40</v>
      </c>
      <c r="M626" s="9" t="s">
        <v>39</v>
      </c>
      <c r="O626" s="9" t="s">
        <v>3389</v>
      </c>
      <c r="P626" s="9" t="s">
        <v>3390</v>
      </c>
      <c r="Q626" s="9" t="s">
        <v>3054</v>
      </c>
      <c r="R626" s="9">
        <v>6000.0</v>
      </c>
      <c r="S626" s="9">
        <v>0.0</v>
      </c>
      <c r="T626" s="9">
        <v>0.0</v>
      </c>
      <c r="U626" s="9">
        <v>14.0</v>
      </c>
      <c r="V626" s="9" t="s">
        <v>1796</v>
      </c>
      <c r="W626" s="9" t="s">
        <v>1797</v>
      </c>
      <c r="X626" s="9" t="s">
        <v>1798</v>
      </c>
      <c r="Y626" s="9" t="s">
        <v>116</v>
      </c>
      <c r="Z626" s="9" t="s">
        <v>47</v>
      </c>
      <c r="AA626" s="9" t="s">
        <v>61</v>
      </c>
      <c r="AC626" s="9">
        <v>8.0</v>
      </c>
      <c r="AD626" s="9">
        <v>10.0</v>
      </c>
      <c r="AE626" s="9">
        <v>3.0</v>
      </c>
      <c r="AF626" s="9">
        <v>3500.0</v>
      </c>
      <c r="AG626" s="9" t="s">
        <v>3054</v>
      </c>
    </row>
    <row r="627">
      <c r="A627" s="7">
        <v>44548.94672995371</v>
      </c>
      <c r="B627" s="9" t="s">
        <v>73</v>
      </c>
      <c r="C627" s="9">
        <v>25.0</v>
      </c>
      <c r="D627" s="9" t="s">
        <v>35</v>
      </c>
      <c r="E627" s="9" t="s">
        <v>36</v>
      </c>
      <c r="F627" s="9" t="s">
        <v>349</v>
      </c>
      <c r="G627" s="9" t="s">
        <v>349</v>
      </c>
      <c r="H627" s="9" t="s">
        <v>38</v>
      </c>
      <c r="I627" s="9" t="s">
        <v>2961</v>
      </c>
      <c r="J627" s="9" t="s">
        <v>2389</v>
      </c>
      <c r="K627" s="9" t="s">
        <v>40</v>
      </c>
      <c r="L627" s="9" t="s">
        <v>40</v>
      </c>
      <c r="M627" s="9" t="s">
        <v>40</v>
      </c>
      <c r="P627" s="9" t="s">
        <v>128</v>
      </c>
      <c r="Q627" s="9" t="s">
        <v>42</v>
      </c>
      <c r="R627" s="9">
        <v>4200.0</v>
      </c>
      <c r="S627" s="9">
        <v>0.0</v>
      </c>
      <c r="T627" s="9">
        <v>0.0</v>
      </c>
      <c r="U627" s="9">
        <v>14.0</v>
      </c>
      <c r="V627" s="9" t="s">
        <v>463</v>
      </c>
      <c r="W627" s="9" t="s">
        <v>1267</v>
      </c>
      <c r="X627" s="9" t="s">
        <v>349</v>
      </c>
      <c r="Y627" s="9" t="s">
        <v>1268</v>
      </c>
      <c r="Z627" s="9" t="s">
        <v>71</v>
      </c>
      <c r="AA627" s="9" t="s">
        <v>61</v>
      </c>
      <c r="AC627" s="9">
        <v>5.0</v>
      </c>
      <c r="AD627" s="9">
        <v>1.0</v>
      </c>
      <c r="AE627" s="9">
        <v>1.0</v>
      </c>
      <c r="AF627" s="9">
        <v>3000.0</v>
      </c>
      <c r="AG627" s="9" t="s">
        <v>42</v>
      </c>
    </row>
    <row r="628">
      <c r="A628" s="7">
        <v>44549.07945394676</v>
      </c>
      <c r="B628" s="9" t="s">
        <v>49</v>
      </c>
      <c r="C628" s="9">
        <v>35.0</v>
      </c>
      <c r="D628" s="9" t="s">
        <v>35</v>
      </c>
      <c r="E628" s="9" t="s">
        <v>36</v>
      </c>
      <c r="F628" s="9" t="s">
        <v>50</v>
      </c>
      <c r="G628" s="9" t="s">
        <v>206</v>
      </c>
      <c r="H628" s="9" t="s">
        <v>38</v>
      </c>
      <c r="I628" s="9" t="s">
        <v>2758</v>
      </c>
      <c r="J628" s="9" t="s">
        <v>3391</v>
      </c>
      <c r="K628" s="9" t="s">
        <v>39</v>
      </c>
      <c r="L628" s="9" t="s">
        <v>40</v>
      </c>
      <c r="M628" s="9" t="s">
        <v>40</v>
      </c>
      <c r="P628" s="9" t="s">
        <v>119</v>
      </c>
      <c r="Q628" s="9" t="s">
        <v>2934</v>
      </c>
      <c r="R628" s="9">
        <v>9500.0</v>
      </c>
      <c r="S628" s="9" t="s">
        <v>3392</v>
      </c>
      <c r="U628" s="9">
        <v>20.0</v>
      </c>
      <c r="V628" s="9" t="s">
        <v>709</v>
      </c>
      <c r="W628" s="9" t="s">
        <v>3393</v>
      </c>
      <c r="X628" s="9" t="s">
        <v>2390</v>
      </c>
      <c r="Y628" s="9" t="s">
        <v>347</v>
      </c>
      <c r="Z628" s="9" t="s">
        <v>81</v>
      </c>
      <c r="AA628" s="9" t="s">
        <v>61</v>
      </c>
      <c r="AC628" s="9">
        <v>6.0</v>
      </c>
      <c r="AD628" s="9">
        <v>10.0</v>
      </c>
      <c r="AE628" s="9">
        <v>3.0</v>
      </c>
      <c r="AF628" s="9">
        <v>2300.0</v>
      </c>
      <c r="AG628" s="9" t="s">
        <v>42</v>
      </c>
    </row>
    <row r="629">
      <c r="A629" s="7">
        <v>44549.568231990736</v>
      </c>
      <c r="B629" s="9" t="s">
        <v>49</v>
      </c>
      <c r="C629" s="9">
        <v>35.0</v>
      </c>
      <c r="D629" s="9" t="s">
        <v>35</v>
      </c>
      <c r="E629" s="9" t="s">
        <v>36</v>
      </c>
      <c r="F629" s="9" t="s">
        <v>50</v>
      </c>
      <c r="G629" s="9" t="s">
        <v>117</v>
      </c>
      <c r="H629" s="9" t="s">
        <v>247</v>
      </c>
      <c r="I629" s="9" t="s">
        <v>3394</v>
      </c>
      <c r="J629" s="9" t="s">
        <v>1806</v>
      </c>
      <c r="K629" s="9" t="s">
        <v>40</v>
      </c>
      <c r="L629" s="9" t="s">
        <v>39</v>
      </c>
      <c r="M629" s="9" t="s">
        <v>40</v>
      </c>
      <c r="N629" s="9" t="s">
        <v>1807</v>
      </c>
      <c r="O629" s="9" t="s">
        <v>1808</v>
      </c>
      <c r="P629" s="9" t="s">
        <v>548</v>
      </c>
      <c r="Q629" s="9" t="s">
        <v>42</v>
      </c>
      <c r="R629" s="9">
        <v>3500.0</v>
      </c>
      <c r="S629" s="9" t="s">
        <v>113</v>
      </c>
      <c r="T629" s="9">
        <v>0.0</v>
      </c>
      <c r="U629" s="9">
        <v>14.0</v>
      </c>
      <c r="V629" s="9" t="s">
        <v>459</v>
      </c>
      <c r="W629" s="9" t="s">
        <v>1809</v>
      </c>
      <c r="X629" s="9" t="s">
        <v>124</v>
      </c>
      <c r="Y629" s="9" t="s">
        <v>59</v>
      </c>
      <c r="Z629" s="9" t="s">
        <v>71</v>
      </c>
      <c r="AA629" s="9" t="s">
        <v>61</v>
      </c>
      <c r="AC629" s="9">
        <v>10.0</v>
      </c>
      <c r="AD629" s="9">
        <v>1.0</v>
      </c>
      <c r="AE629" s="9">
        <v>4.0</v>
      </c>
      <c r="AF629" s="9">
        <v>3500.0</v>
      </c>
      <c r="AG629" s="9" t="s">
        <v>42</v>
      </c>
    </row>
    <row r="630">
      <c r="A630" s="7">
        <v>44549.78107232639</v>
      </c>
      <c r="B630" s="9" t="s">
        <v>49</v>
      </c>
      <c r="C630" s="9">
        <v>27.0</v>
      </c>
      <c r="D630" s="9" t="s">
        <v>35</v>
      </c>
      <c r="E630" s="9" t="s">
        <v>36</v>
      </c>
      <c r="F630" s="9" t="s">
        <v>225</v>
      </c>
      <c r="G630" s="9" t="s">
        <v>225</v>
      </c>
      <c r="H630" s="9" t="s">
        <v>38</v>
      </c>
      <c r="I630" s="9" t="s">
        <v>2465</v>
      </c>
      <c r="J630" s="9" t="s">
        <v>2443</v>
      </c>
      <c r="K630" s="9" t="s">
        <v>39</v>
      </c>
      <c r="L630" s="9" t="s">
        <v>40</v>
      </c>
      <c r="M630" s="9" t="s">
        <v>40</v>
      </c>
      <c r="P630" s="9" t="s">
        <v>2485</v>
      </c>
      <c r="Q630" s="9" t="s">
        <v>2934</v>
      </c>
      <c r="R630" s="9">
        <v>5500.0</v>
      </c>
      <c r="U630" s="9">
        <v>10.0</v>
      </c>
      <c r="V630" s="9" t="s">
        <v>463</v>
      </c>
      <c r="W630" s="9" t="s">
        <v>3039</v>
      </c>
      <c r="X630" s="9" t="s">
        <v>225</v>
      </c>
      <c r="Y630" s="9" t="s">
        <v>105</v>
      </c>
      <c r="Z630" s="9" t="s">
        <v>132</v>
      </c>
      <c r="AA630" s="9" t="s">
        <v>61</v>
      </c>
      <c r="AC630" s="9">
        <v>6.0</v>
      </c>
      <c r="AD630" s="9">
        <v>4.0</v>
      </c>
      <c r="AE630" s="9">
        <v>2.0</v>
      </c>
      <c r="AF630" s="9">
        <v>3000.0</v>
      </c>
      <c r="AG630" s="9" t="s">
        <v>2934</v>
      </c>
    </row>
    <row r="631">
      <c r="A631" s="7">
        <v>44550.7095500463</v>
      </c>
      <c r="B631" s="9" t="s">
        <v>49</v>
      </c>
      <c r="C631" s="9">
        <v>33.0</v>
      </c>
      <c r="D631" s="9" t="s">
        <v>35</v>
      </c>
      <c r="E631" s="9" t="s">
        <v>36</v>
      </c>
      <c r="F631" s="9" t="s">
        <v>124</v>
      </c>
      <c r="G631" s="9" t="s">
        <v>124</v>
      </c>
      <c r="H631" s="9" t="s">
        <v>38</v>
      </c>
      <c r="I631" s="9" t="s">
        <v>2368</v>
      </c>
      <c r="J631" s="9" t="s">
        <v>761</v>
      </c>
      <c r="K631" s="9" t="s">
        <v>39</v>
      </c>
      <c r="L631" s="9" t="s">
        <v>40</v>
      </c>
      <c r="M631" s="9" t="s">
        <v>40</v>
      </c>
      <c r="P631" s="9" t="s">
        <v>2774</v>
      </c>
      <c r="Q631" s="9" t="s">
        <v>42</v>
      </c>
      <c r="R631" s="9">
        <v>15000.0</v>
      </c>
      <c r="S631" s="9">
        <v>0.0</v>
      </c>
      <c r="T631" s="9">
        <v>0.0</v>
      </c>
      <c r="U631" s="9">
        <v>0.0</v>
      </c>
      <c r="V631" s="9" t="s">
        <v>67</v>
      </c>
      <c r="W631" s="9" t="s">
        <v>44</v>
      </c>
      <c r="X631" s="9" t="s">
        <v>122</v>
      </c>
      <c r="Y631" s="9" t="s">
        <v>347</v>
      </c>
      <c r="Z631" s="9" t="s">
        <v>47</v>
      </c>
      <c r="AA631" s="9" t="s">
        <v>61</v>
      </c>
      <c r="AC631" s="9">
        <v>7.0</v>
      </c>
      <c r="AD631" s="22" t="s">
        <v>762</v>
      </c>
      <c r="AE631" s="9">
        <v>3.0</v>
      </c>
      <c r="AF631" s="9">
        <v>2500.0</v>
      </c>
      <c r="AG631" s="9" t="s">
        <v>42</v>
      </c>
    </row>
    <row r="632">
      <c r="A632" s="7">
        <v>44551.90821335648</v>
      </c>
      <c r="B632" s="9" t="s">
        <v>49</v>
      </c>
      <c r="C632" s="9">
        <v>24.0</v>
      </c>
      <c r="D632" s="9" t="s">
        <v>35</v>
      </c>
      <c r="E632" s="9" t="s">
        <v>36</v>
      </c>
      <c r="F632" s="9" t="s">
        <v>2430</v>
      </c>
      <c r="G632" s="9" t="s">
        <v>2651</v>
      </c>
      <c r="H632" s="9" t="s">
        <v>38</v>
      </c>
      <c r="I632" s="9" t="s">
        <v>3395</v>
      </c>
      <c r="J632" s="9" t="s">
        <v>3396</v>
      </c>
      <c r="K632" s="9" t="s">
        <v>39</v>
      </c>
      <c r="L632" s="9" t="s">
        <v>40</v>
      </c>
      <c r="M632" s="9" t="s">
        <v>40</v>
      </c>
      <c r="P632" s="9" t="s">
        <v>3397</v>
      </c>
      <c r="Q632" s="9" t="s">
        <v>42</v>
      </c>
      <c r="R632" s="9">
        <v>5100.0</v>
      </c>
      <c r="S632" s="9">
        <v>0.0</v>
      </c>
      <c r="T632" s="9">
        <v>0.0</v>
      </c>
      <c r="U632" s="9">
        <v>22.0</v>
      </c>
      <c r="V632" s="9" t="s">
        <v>2028</v>
      </c>
      <c r="W632" s="9" t="s">
        <v>2029</v>
      </c>
      <c r="X632" s="9" t="s">
        <v>131</v>
      </c>
      <c r="Y632" s="9" t="s">
        <v>59</v>
      </c>
      <c r="Z632" s="9" t="s">
        <v>60</v>
      </c>
      <c r="AA632" s="9" t="s">
        <v>91</v>
      </c>
      <c r="AC632" s="9">
        <v>8.0</v>
      </c>
      <c r="AD632" s="9">
        <v>2.0</v>
      </c>
      <c r="AE632" s="9">
        <v>2.0</v>
      </c>
      <c r="AF632" s="9">
        <v>4000.0</v>
      </c>
      <c r="AG632" s="9" t="s">
        <v>42</v>
      </c>
    </row>
    <row r="633">
      <c r="A633" s="7">
        <v>44553.50975452546</v>
      </c>
      <c r="B633" s="9" t="s">
        <v>49</v>
      </c>
      <c r="C633" s="9">
        <v>26.0</v>
      </c>
      <c r="D633" s="9" t="s">
        <v>35</v>
      </c>
      <c r="E633" s="9" t="s">
        <v>36</v>
      </c>
      <c r="F633" s="9" t="s">
        <v>50</v>
      </c>
      <c r="G633" s="9" t="s">
        <v>493</v>
      </c>
      <c r="H633" s="9" t="s">
        <v>247</v>
      </c>
      <c r="I633" s="9" t="s">
        <v>3398</v>
      </c>
      <c r="J633" s="9" t="s">
        <v>2997</v>
      </c>
      <c r="K633" s="9" t="s">
        <v>40</v>
      </c>
      <c r="L633" s="9" t="s">
        <v>40</v>
      </c>
      <c r="M633" s="9" t="s">
        <v>39</v>
      </c>
      <c r="O633" s="9" t="s">
        <v>1616</v>
      </c>
      <c r="P633" s="9" t="s">
        <v>2101</v>
      </c>
      <c r="Q633" s="9" t="s">
        <v>42</v>
      </c>
      <c r="R633" s="9">
        <v>8000.0</v>
      </c>
      <c r="S633" s="9">
        <v>7000.0</v>
      </c>
      <c r="T633" s="9">
        <v>0.0</v>
      </c>
      <c r="U633" s="9">
        <v>15.0</v>
      </c>
      <c r="V633" s="9" t="s">
        <v>2102</v>
      </c>
      <c r="W633" s="9" t="s">
        <v>2103</v>
      </c>
      <c r="X633" s="9" t="s">
        <v>36</v>
      </c>
      <c r="Y633" s="9" t="s">
        <v>89</v>
      </c>
      <c r="Z633" s="9" t="s">
        <v>81</v>
      </c>
      <c r="AA633" s="9" t="s">
        <v>133</v>
      </c>
      <c r="AC633" s="9">
        <v>9.0</v>
      </c>
      <c r="AD633" s="9">
        <v>3.0</v>
      </c>
      <c r="AE633" s="9">
        <v>1.0</v>
      </c>
      <c r="AF633" s="9">
        <v>4500.0</v>
      </c>
      <c r="AG633" s="9" t="s">
        <v>42</v>
      </c>
    </row>
    <row r="634">
      <c r="A634" s="7">
        <v>44554.711774236115</v>
      </c>
      <c r="B634" s="9" t="s">
        <v>49</v>
      </c>
      <c r="C634" s="9">
        <v>37.0</v>
      </c>
      <c r="D634" s="9" t="s">
        <v>35</v>
      </c>
      <c r="E634" s="9" t="s">
        <v>36</v>
      </c>
      <c r="F634" s="9" t="s">
        <v>50</v>
      </c>
      <c r="G634" s="9" t="s">
        <v>349</v>
      </c>
      <c r="H634" s="9" t="s">
        <v>38</v>
      </c>
      <c r="I634" s="9" t="s">
        <v>3399</v>
      </c>
      <c r="J634" s="9" t="s">
        <v>3400</v>
      </c>
      <c r="K634" s="9" t="s">
        <v>39</v>
      </c>
      <c r="L634" s="9" t="s">
        <v>40</v>
      </c>
      <c r="M634" s="9" t="s">
        <v>40</v>
      </c>
      <c r="P634" s="9" t="s">
        <v>462</v>
      </c>
      <c r="Q634" s="9" t="s">
        <v>42</v>
      </c>
      <c r="R634" s="9">
        <v>13500.0</v>
      </c>
      <c r="S634" s="9">
        <v>0.0</v>
      </c>
      <c r="T634" s="9">
        <v>0.0</v>
      </c>
      <c r="U634" s="9">
        <v>14.0</v>
      </c>
      <c r="V634" s="9" t="s">
        <v>463</v>
      </c>
      <c r="W634" s="9" t="s">
        <v>464</v>
      </c>
      <c r="X634" s="9" t="s">
        <v>131</v>
      </c>
      <c r="Y634" s="9" t="s">
        <v>70</v>
      </c>
      <c r="Z634" s="9" t="s">
        <v>71</v>
      </c>
      <c r="AA634" s="9" t="s">
        <v>91</v>
      </c>
      <c r="AC634" s="9">
        <v>6.0</v>
      </c>
      <c r="AD634" s="9">
        <v>15.0</v>
      </c>
      <c r="AE634" s="9">
        <v>5.0</v>
      </c>
      <c r="AF634" s="9">
        <v>1800.0</v>
      </c>
      <c r="AG634" s="9" t="s">
        <v>42</v>
      </c>
    </row>
    <row r="635">
      <c r="A635" s="7">
        <v>44557.94292673611</v>
      </c>
      <c r="B635" s="9" t="s">
        <v>49</v>
      </c>
      <c r="C635" s="9">
        <v>35.0</v>
      </c>
      <c r="D635" s="9" t="s">
        <v>35</v>
      </c>
      <c r="E635" s="9" t="s">
        <v>36</v>
      </c>
      <c r="F635" s="9" t="s">
        <v>617</v>
      </c>
      <c r="G635" s="9" t="s">
        <v>621</v>
      </c>
      <c r="H635" s="9" t="s">
        <v>38</v>
      </c>
      <c r="I635" s="9" t="s">
        <v>3401</v>
      </c>
      <c r="J635" s="9" t="s">
        <v>969</v>
      </c>
      <c r="K635" s="9" t="s">
        <v>39</v>
      </c>
      <c r="L635" s="9" t="s">
        <v>40</v>
      </c>
      <c r="M635" s="9" t="s">
        <v>39</v>
      </c>
      <c r="O635" s="9" t="s">
        <v>398</v>
      </c>
      <c r="P635" s="9" t="s">
        <v>2785</v>
      </c>
      <c r="Q635" s="9" t="s">
        <v>42</v>
      </c>
      <c r="R635" s="9">
        <v>8500.0</v>
      </c>
      <c r="S635" s="9">
        <v>12000.0</v>
      </c>
      <c r="T635" s="9">
        <v>0.0</v>
      </c>
      <c r="U635" s="9">
        <v>20.0</v>
      </c>
      <c r="V635" s="9" t="s">
        <v>970</v>
      </c>
      <c r="W635" s="9" t="s">
        <v>971</v>
      </c>
      <c r="X635" s="9" t="s">
        <v>972</v>
      </c>
      <c r="Y635" s="9" t="s">
        <v>159</v>
      </c>
      <c r="Z635" s="9" t="s">
        <v>71</v>
      </c>
      <c r="AA635" s="9" t="s">
        <v>61</v>
      </c>
      <c r="AC635" s="9">
        <v>7.0</v>
      </c>
      <c r="AD635" s="9">
        <v>13.0</v>
      </c>
      <c r="AE635" s="9">
        <v>1.0</v>
      </c>
      <c r="AF635" s="9">
        <v>2600.0</v>
      </c>
      <c r="AG635" s="9" t="s">
        <v>42</v>
      </c>
    </row>
    <row r="636">
      <c r="A636" s="7">
        <v>44574.43426574074</v>
      </c>
      <c r="B636" s="9" t="s">
        <v>73</v>
      </c>
      <c r="C636" s="9">
        <v>29.0</v>
      </c>
      <c r="D636" s="9" t="s">
        <v>35</v>
      </c>
      <c r="E636" s="9" t="s">
        <v>36</v>
      </c>
      <c r="F636" s="9" t="s">
        <v>69</v>
      </c>
      <c r="G636" s="9" t="s">
        <v>3387</v>
      </c>
      <c r="H636" s="9" t="s">
        <v>38</v>
      </c>
      <c r="I636" s="9" t="s">
        <v>3402</v>
      </c>
      <c r="J636" s="9" t="s">
        <v>2602</v>
      </c>
      <c r="K636" s="9" t="s">
        <v>40</v>
      </c>
      <c r="L636" s="9" t="s">
        <v>40</v>
      </c>
      <c r="M636" s="9" t="s">
        <v>40</v>
      </c>
      <c r="P636" s="9" t="s">
        <v>3071</v>
      </c>
      <c r="Q636" s="9" t="s">
        <v>42</v>
      </c>
      <c r="R636" s="9">
        <v>2800.0</v>
      </c>
      <c r="S636" s="9">
        <v>0.0</v>
      </c>
      <c r="T636" s="9">
        <v>0.0</v>
      </c>
      <c r="U636" s="9">
        <v>14.0</v>
      </c>
      <c r="V636" s="9" t="s">
        <v>1065</v>
      </c>
      <c r="W636" s="9" t="s">
        <v>1066</v>
      </c>
      <c r="X636" s="9" t="s">
        <v>58</v>
      </c>
      <c r="Y636" s="9" t="s">
        <v>70</v>
      </c>
      <c r="Z636" s="9" t="s">
        <v>47</v>
      </c>
      <c r="AA636" s="9" t="s">
        <v>61</v>
      </c>
      <c r="AC636" s="9">
        <v>6.0</v>
      </c>
      <c r="AD636" s="9" t="s">
        <v>1067</v>
      </c>
      <c r="AE636" s="9">
        <v>0.0</v>
      </c>
      <c r="AF636" s="9">
        <v>2800.0</v>
      </c>
      <c r="AG636" s="9" t="s">
        <v>42</v>
      </c>
    </row>
    <row r="637">
      <c r="A637" s="7">
        <v>44576.91933576389</v>
      </c>
      <c r="B637" s="9" t="s">
        <v>49</v>
      </c>
      <c r="C637" s="9">
        <v>27.0</v>
      </c>
      <c r="D637" s="9" t="s">
        <v>35</v>
      </c>
      <c r="E637" s="9" t="s">
        <v>36</v>
      </c>
      <c r="F637" s="9" t="s">
        <v>50</v>
      </c>
      <c r="G637" s="9" t="s">
        <v>493</v>
      </c>
      <c r="H637" s="9" t="s">
        <v>38</v>
      </c>
      <c r="I637" s="9" t="s">
        <v>790</v>
      </c>
      <c r="J637" s="9" t="s">
        <v>2832</v>
      </c>
      <c r="K637" s="9" t="s">
        <v>39</v>
      </c>
      <c r="L637" s="9" t="s">
        <v>40</v>
      </c>
      <c r="M637" s="9" t="s">
        <v>39</v>
      </c>
      <c r="O637" s="9" t="s">
        <v>398</v>
      </c>
      <c r="P637" s="9" t="s">
        <v>791</v>
      </c>
      <c r="Q637" s="9" t="s">
        <v>42</v>
      </c>
      <c r="R637" s="9">
        <v>6160.0</v>
      </c>
      <c r="S637" s="9">
        <v>7600.0</v>
      </c>
      <c r="U637" s="9">
        <v>14.0</v>
      </c>
      <c r="V637" s="9" t="s">
        <v>792</v>
      </c>
      <c r="W637" s="9" t="s">
        <v>793</v>
      </c>
      <c r="X637" s="9" t="s">
        <v>58</v>
      </c>
      <c r="Y637" s="9" t="s">
        <v>89</v>
      </c>
      <c r="Z637" s="9" t="s">
        <v>90</v>
      </c>
      <c r="AA637" s="9" t="s">
        <v>91</v>
      </c>
      <c r="AC637" s="9">
        <v>8.0</v>
      </c>
      <c r="AD637" s="9">
        <v>3.0</v>
      </c>
      <c r="AE637" s="9">
        <v>2.0</v>
      </c>
      <c r="AF637" s="9">
        <v>2500.0</v>
      </c>
      <c r="AG637" s="9" t="s">
        <v>42</v>
      </c>
    </row>
    <row r="638">
      <c r="A638" s="7">
        <v>44577.23928159723</v>
      </c>
      <c r="B638" s="9" t="s">
        <v>49</v>
      </c>
      <c r="C638" s="9">
        <v>42.0</v>
      </c>
      <c r="D638" s="9" t="s">
        <v>35</v>
      </c>
      <c r="E638" s="9" t="s">
        <v>36</v>
      </c>
      <c r="F638" s="9" t="s">
        <v>50</v>
      </c>
      <c r="G638" s="9" t="s">
        <v>300</v>
      </c>
      <c r="H638" s="9" t="s">
        <v>3090</v>
      </c>
      <c r="I638" s="9" t="s">
        <v>3403</v>
      </c>
      <c r="K638" s="9" t="s">
        <v>39</v>
      </c>
      <c r="L638" s="9" t="s">
        <v>40</v>
      </c>
      <c r="M638" s="9" t="s">
        <v>40</v>
      </c>
      <c r="P638" s="9" t="s">
        <v>3404</v>
      </c>
      <c r="Q638" s="9" t="s">
        <v>42</v>
      </c>
      <c r="R638" s="9">
        <v>28400.0</v>
      </c>
      <c r="S638" s="9">
        <v>100000.0</v>
      </c>
      <c r="T638" s="9">
        <v>0.0</v>
      </c>
      <c r="U638" s="9">
        <v>20.0</v>
      </c>
      <c r="V638" s="9" t="s">
        <v>2333</v>
      </c>
      <c r="W638" s="9" t="s">
        <v>2334</v>
      </c>
      <c r="X638" s="9" t="s">
        <v>2335</v>
      </c>
      <c r="Y638" s="9" t="s">
        <v>155</v>
      </c>
      <c r="Z638" s="9" t="s">
        <v>81</v>
      </c>
      <c r="AA638" s="9" t="s">
        <v>91</v>
      </c>
      <c r="AC638" s="9">
        <v>9.0</v>
      </c>
      <c r="AD638" s="9">
        <v>20.0</v>
      </c>
      <c r="AE638" s="9">
        <v>6.0</v>
      </c>
      <c r="AF638" s="9">
        <v>19400.0</v>
      </c>
      <c r="AG638" s="9" t="s">
        <v>42</v>
      </c>
    </row>
    <row r="639">
      <c r="A639" s="7">
        <v>44577.389644930554</v>
      </c>
      <c r="B639" s="9" t="s">
        <v>49</v>
      </c>
      <c r="C639" s="9">
        <v>25.0</v>
      </c>
      <c r="D639" s="9" t="s">
        <v>35</v>
      </c>
      <c r="E639" s="9" t="s">
        <v>36</v>
      </c>
      <c r="F639" s="9" t="s">
        <v>50</v>
      </c>
      <c r="G639" s="9" t="s">
        <v>1704</v>
      </c>
      <c r="H639" s="9" t="s">
        <v>38</v>
      </c>
      <c r="I639" s="9" t="s">
        <v>2907</v>
      </c>
      <c r="J639" s="9" t="s">
        <v>3405</v>
      </c>
      <c r="K639" s="9" t="s">
        <v>39</v>
      </c>
      <c r="L639" s="9" t="s">
        <v>40</v>
      </c>
      <c r="M639" s="9" t="s">
        <v>40</v>
      </c>
      <c r="P639" s="9" t="s">
        <v>1701</v>
      </c>
      <c r="Q639" s="9" t="s">
        <v>2915</v>
      </c>
      <c r="R639" s="9">
        <v>3300.0</v>
      </c>
      <c r="S639" s="9">
        <v>0.0</v>
      </c>
      <c r="T639" s="9">
        <v>0.0</v>
      </c>
      <c r="U639" s="9">
        <v>18.0</v>
      </c>
      <c r="V639" s="9" t="s">
        <v>1702</v>
      </c>
      <c r="W639" s="9" t="s">
        <v>1703</v>
      </c>
      <c r="X639" s="9" t="s">
        <v>1704</v>
      </c>
      <c r="Y639" s="9" t="s">
        <v>89</v>
      </c>
      <c r="Z639" s="9" t="s">
        <v>132</v>
      </c>
      <c r="AA639" s="9" t="s">
        <v>91</v>
      </c>
      <c r="AC639" s="9">
        <v>6.0</v>
      </c>
      <c r="AD639" s="9">
        <v>2.0</v>
      </c>
      <c r="AE639" s="9">
        <v>3.0</v>
      </c>
      <c r="AF639" s="9">
        <v>3300.0</v>
      </c>
      <c r="AG639" s="9" t="s">
        <v>42</v>
      </c>
    </row>
    <row r="640">
      <c r="A640" s="7">
        <v>44577.88539203704</v>
      </c>
      <c r="B640" s="9" t="s">
        <v>49</v>
      </c>
      <c r="C640" s="9">
        <v>29.0</v>
      </c>
      <c r="D640" s="9" t="s">
        <v>35</v>
      </c>
      <c r="E640" s="9" t="s">
        <v>36</v>
      </c>
      <c r="F640" s="9" t="s">
        <v>50</v>
      </c>
      <c r="G640" s="9" t="s">
        <v>493</v>
      </c>
      <c r="H640" s="9" t="s">
        <v>247</v>
      </c>
      <c r="I640" s="9" t="s">
        <v>3406</v>
      </c>
      <c r="J640" s="9" t="s">
        <v>944</v>
      </c>
      <c r="K640" s="9" t="s">
        <v>39</v>
      </c>
      <c r="L640" s="9" t="s">
        <v>40</v>
      </c>
      <c r="M640" s="9" t="s">
        <v>39</v>
      </c>
      <c r="O640" s="9" t="s">
        <v>2172</v>
      </c>
      <c r="P640" s="9" t="s">
        <v>3407</v>
      </c>
      <c r="Q640" s="9" t="s">
        <v>42</v>
      </c>
      <c r="R640" s="9">
        <v>6000.0</v>
      </c>
      <c r="S640" s="9">
        <v>0.0</v>
      </c>
      <c r="T640" s="9">
        <v>0.0</v>
      </c>
      <c r="U640" s="9">
        <v>18.0</v>
      </c>
      <c r="V640" s="9" t="s">
        <v>2173</v>
      </c>
      <c r="W640" s="9" t="s">
        <v>2174</v>
      </c>
      <c r="X640" s="9" t="s">
        <v>122</v>
      </c>
      <c r="Y640" s="9" t="s">
        <v>423</v>
      </c>
      <c r="Z640" s="9" t="s">
        <v>90</v>
      </c>
      <c r="AA640" s="9" t="s">
        <v>61</v>
      </c>
      <c r="AC640" s="9">
        <v>9.0</v>
      </c>
      <c r="AD640" s="9">
        <v>2.0</v>
      </c>
      <c r="AE640" s="9">
        <v>1.0</v>
      </c>
      <c r="AF640" s="9">
        <v>5000.0</v>
      </c>
      <c r="AG640" s="9" t="s">
        <v>42</v>
      </c>
    </row>
    <row r="641">
      <c r="A641" s="7">
        <v>44578.94050768518</v>
      </c>
      <c r="B641" s="9" t="s">
        <v>49</v>
      </c>
      <c r="C641" s="9">
        <v>24.0</v>
      </c>
      <c r="D641" s="9" t="s">
        <v>35</v>
      </c>
      <c r="E641" s="9" t="s">
        <v>36</v>
      </c>
      <c r="F641" s="9" t="s">
        <v>124</v>
      </c>
      <c r="G641" s="9" t="s">
        <v>773</v>
      </c>
      <c r="H641" s="9" t="s">
        <v>38</v>
      </c>
      <c r="I641" s="9" t="s">
        <v>3250</v>
      </c>
      <c r="J641" s="9" t="s">
        <v>3306</v>
      </c>
      <c r="K641" s="9" t="s">
        <v>39</v>
      </c>
      <c r="L641" s="9" t="s">
        <v>40</v>
      </c>
      <c r="M641" s="9" t="s">
        <v>40</v>
      </c>
      <c r="P641" s="9" t="s">
        <v>2806</v>
      </c>
      <c r="Q641" s="9" t="s">
        <v>42</v>
      </c>
      <c r="R641" s="9">
        <v>3800.0</v>
      </c>
      <c r="S641" s="9">
        <v>0.0</v>
      </c>
      <c r="T641" s="9">
        <v>0.0</v>
      </c>
      <c r="U641" s="9">
        <v>14.0</v>
      </c>
      <c r="V641" s="9" t="s">
        <v>1787</v>
      </c>
      <c r="W641" s="9" t="s">
        <v>1788</v>
      </c>
      <c r="X641" s="9" t="s">
        <v>122</v>
      </c>
      <c r="Y641" s="9" t="s">
        <v>70</v>
      </c>
      <c r="Z641" s="9" t="s">
        <v>71</v>
      </c>
      <c r="AA641" s="9" t="s">
        <v>61</v>
      </c>
      <c r="AC641" s="9">
        <v>7.0</v>
      </c>
      <c r="AD641" s="9">
        <v>2.0</v>
      </c>
      <c r="AE641" s="9">
        <v>2.0</v>
      </c>
      <c r="AF641" s="9">
        <v>3500.0</v>
      </c>
      <c r="AG641" s="9" t="s">
        <v>42</v>
      </c>
    </row>
    <row r="642">
      <c r="A642" s="7">
        <v>44578.999417569445</v>
      </c>
      <c r="B642" s="9" t="s">
        <v>49</v>
      </c>
      <c r="C642" s="9">
        <v>37.0</v>
      </c>
      <c r="D642" s="9" t="s">
        <v>35</v>
      </c>
      <c r="E642" s="9" t="s">
        <v>36</v>
      </c>
      <c r="F642" s="9" t="s">
        <v>63</v>
      </c>
      <c r="G642" s="9" t="s">
        <v>301</v>
      </c>
      <c r="H642" s="9" t="s">
        <v>118</v>
      </c>
      <c r="I642" s="9" t="s">
        <v>118</v>
      </c>
      <c r="J642" s="9" t="s">
        <v>3408</v>
      </c>
      <c r="K642" s="9" t="s">
        <v>890</v>
      </c>
      <c r="L642" s="9" t="s">
        <v>40</v>
      </c>
      <c r="M642" s="9" t="s">
        <v>40</v>
      </c>
      <c r="P642" s="9" t="s">
        <v>249</v>
      </c>
      <c r="Q642" s="9" t="s">
        <v>42</v>
      </c>
      <c r="R642" s="9">
        <v>15000.0</v>
      </c>
      <c r="S642" s="9">
        <v>0.0</v>
      </c>
      <c r="T642" s="20">
        <v>0.05</v>
      </c>
      <c r="U642" s="9">
        <v>100.0</v>
      </c>
      <c r="V642" s="9" t="s">
        <v>2298</v>
      </c>
      <c r="W642" s="9" t="s">
        <v>2299</v>
      </c>
      <c r="X642" s="9" t="s">
        <v>267</v>
      </c>
      <c r="Y642" s="9" t="s">
        <v>59</v>
      </c>
      <c r="Z642" s="9" t="s">
        <v>71</v>
      </c>
      <c r="AA642" s="9" t="s">
        <v>91</v>
      </c>
      <c r="AC642" s="9">
        <v>10.0</v>
      </c>
      <c r="AD642" s="9">
        <v>12.0</v>
      </c>
      <c r="AE642" s="9">
        <v>4.0</v>
      </c>
      <c r="AF642" s="9">
        <v>10000.0</v>
      </c>
      <c r="AG642" s="9" t="s">
        <v>42</v>
      </c>
    </row>
    <row r="643">
      <c r="A643" s="7">
        <v>44579.442705821755</v>
      </c>
      <c r="B643" s="9" t="s">
        <v>49</v>
      </c>
      <c r="C643" s="9">
        <v>39.0</v>
      </c>
      <c r="D643" s="9" t="s">
        <v>35</v>
      </c>
      <c r="E643" s="9" t="s">
        <v>36</v>
      </c>
      <c r="F643" s="9" t="s">
        <v>124</v>
      </c>
      <c r="G643" s="9" t="s">
        <v>124</v>
      </c>
      <c r="H643" s="9" t="s">
        <v>38</v>
      </c>
      <c r="I643" s="9" t="s">
        <v>3409</v>
      </c>
      <c r="J643" s="9" t="s">
        <v>391</v>
      </c>
      <c r="K643" s="9" t="s">
        <v>40</v>
      </c>
      <c r="L643" s="9" t="s">
        <v>40</v>
      </c>
      <c r="M643" s="9" t="s">
        <v>40</v>
      </c>
      <c r="P643" s="9" t="s">
        <v>392</v>
      </c>
      <c r="Q643" s="9" t="s">
        <v>42</v>
      </c>
      <c r="R643" s="9">
        <v>17000.0</v>
      </c>
      <c r="S643" s="9" t="s">
        <v>3410</v>
      </c>
      <c r="T643" s="9">
        <v>0.0</v>
      </c>
      <c r="U643" s="9">
        <v>14.0</v>
      </c>
      <c r="V643" s="9" t="s">
        <v>393</v>
      </c>
      <c r="W643" s="9" t="s">
        <v>394</v>
      </c>
      <c r="X643" s="9" t="s">
        <v>124</v>
      </c>
      <c r="Y643" s="9" t="s">
        <v>395</v>
      </c>
      <c r="Z643" s="9" t="s">
        <v>71</v>
      </c>
      <c r="AA643" s="9" t="s">
        <v>91</v>
      </c>
      <c r="AC643" s="9">
        <v>8.0</v>
      </c>
      <c r="AD643" s="9">
        <v>15.0</v>
      </c>
      <c r="AE643" s="9">
        <v>5.0</v>
      </c>
      <c r="AF643" s="9">
        <v>1600.0</v>
      </c>
      <c r="AG643" s="9" t="s">
        <v>42</v>
      </c>
    </row>
    <row r="644">
      <c r="A644" s="7">
        <v>44579.56175313657</v>
      </c>
      <c r="B644" s="9" t="s">
        <v>49</v>
      </c>
      <c r="C644" s="9">
        <v>26.0</v>
      </c>
      <c r="D644" s="9" t="s">
        <v>35</v>
      </c>
      <c r="E644" s="9" t="s">
        <v>36</v>
      </c>
      <c r="F644" s="9" t="s">
        <v>363</v>
      </c>
      <c r="G644" s="9" t="s">
        <v>527</v>
      </c>
      <c r="H644" s="9" t="s">
        <v>38</v>
      </c>
      <c r="I644" s="9" t="s">
        <v>3411</v>
      </c>
      <c r="J644" s="9" t="s">
        <v>2406</v>
      </c>
      <c r="K644" s="9" t="s">
        <v>39</v>
      </c>
      <c r="L644" s="9" t="s">
        <v>39</v>
      </c>
      <c r="M644" s="9" t="s">
        <v>40</v>
      </c>
      <c r="N644" s="9" t="s">
        <v>475</v>
      </c>
      <c r="P644" s="9" t="s">
        <v>1672</v>
      </c>
      <c r="Q644" s="9" t="s">
        <v>42</v>
      </c>
      <c r="R644" s="9">
        <v>4000.0</v>
      </c>
      <c r="S644" s="9">
        <v>0.0</v>
      </c>
      <c r="T644" s="9">
        <v>0.0</v>
      </c>
      <c r="U644" s="9">
        <v>14.0</v>
      </c>
      <c r="V644" s="9" t="s">
        <v>1673</v>
      </c>
      <c r="W644" s="9" t="s">
        <v>1674</v>
      </c>
      <c r="X644" s="9" t="s">
        <v>79</v>
      </c>
      <c r="Y644" s="9" t="s">
        <v>1675</v>
      </c>
      <c r="Z644" s="9" t="s">
        <v>90</v>
      </c>
      <c r="AA644" s="9" t="s">
        <v>61</v>
      </c>
      <c r="AC644" s="9">
        <v>8.0</v>
      </c>
      <c r="AD644" s="9">
        <v>1.0</v>
      </c>
      <c r="AE644" s="9">
        <v>1.0</v>
      </c>
      <c r="AF644" s="9">
        <v>3300.0</v>
      </c>
      <c r="AG644" s="9" t="s">
        <v>42</v>
      </c>
    </row>
    <row r="645">
      <c r="A645" s="7">
        <v>44579.57986916667</v>
      </c>
      <c r="B645" s="9" t="s">
        <v>49</v>
      </c>
      <c r="C645" s="9">
        <v>41.0</v>
      </c>
      <c r="D645" s="9" t="s">
        <v>35</v>
      </c>
      <c r="E645" s="9" t="s">
        <v>2233</v>
      </c>
      <c r="F645" s="9" t="s">
        <v>3412</v>
      </c>
      <c r="G645" s="9" t="s">
        <v>2235</v>
      </c>
      <c r="H645" s="9" t="s">
        <v>247</v>
      </c>
      <c r="I645" s="9" t="s">
        <v>3413</v>
      </c>
      <c r="J645" s="9" t="s">
        <v>3414</v>
      </c>
      <c r="K645" s="9" t="s">
        <v>40</v>
      </c>
      <c r="L645" s="9" t="s">
        <v>40</v>
      </c>
      <c r="M645" s="9" t="s">
        <v>40</v>
      </c>
      <c r="N645" s="9" t="s">
        <v>3414</v>
      </c>
      <c r="P645" s="9" t="s">
        <v>119</v>
      </c>
      <c r="Q645" s="9" t="s">
        <v>2237</v>
      </c>
      <c r="R645" s="9">
        <v>12000.0</v>
      </c>
      <c r="S645" s="9">
        <v>30000.0</v>
      </c>
      <c r="T645" s="9">
        <v>7000.0</v>
      </c>
      <c r="U645" s="9">
        <v>25.0</v>
      </c>
      <c r="V645" s="9" t="s">
        <v>2238</v>
      </c>
      <c r="W645" s="9" t="s">
        <v>2239</v>
      </c>
      <c r="X645" s="9" t="s">
        <v>2240</v>
      </c>
      <c r="Y645" s="9" t="s">
        <v>423</v>
      </c>
      <c r="Z645" s="9" t="s">
        <v>81</v>
      </c>
      <c r="AA645" s="9" t="s">
        <v>61</v>
      </c>
      <c r="AB645" s="9" t="s">
        <v>2241</v>
      </c>
      <c r="AC645" s="9">
        <v>8.0</v>
      </c>
      <c r="AD645" s="9">
        <v>7.0</v>
      </c>
      <c r="AE645" s="9">
        <v>4.0</v>
      </c>
      <c r="AF645" s="9">
        <v>7000.0</v>
      </c>
      <c r="AG645" s="9" t="s">
        <v>3415</v>
      </c>
    </row>
    <row r="646">
      <c r="A646" s="7">
        <v>44579.63087033565</v>
      </c>
      <c r="B646" s="9" t="s">
        <v>73</v>
      </c>
      <c r="C646" s="9">
        <v>29.0</v>
      </c>
      <c r="D646" s="9" t="s">
        <v>35</v>
      </c>
      <c r="E646" s="9" t="s">
        <v>36</v>
      </c>
      <c r="H646" s="9" t="s">
        <v>247</v>
      </c>
      <c r="I646" s="9" t="s">
        <v>3416</v>
      </c>
      <c r="K646" s="9" t="s">
        <v>40</v>
      </c>
      <c r="L646" s="9" t="s">
        <v>39</v>
      </c>
      <c r="M646" s="9" t="s">
        <v>40</v>
      </c>
      <c r="P646" s="9" t="s">
        <v>293</v>
      </c>
      <c r="Q646" s="9" t="s">
        <v>42</v>
      </c>
      <c r="R646" s="9">
        <v>5319.0</v>
      </c>
      <c r="U646" s="9">
        <v>24.0</v>
      </c>
      <c r="V646" s="9" t="s">
        <v>827</v>
      </c>
      <c r="W646" s="9" t="s">
        <v>78</v>
      </c>
      <c r="X646" s="9" t="s">
        <v>131</v>
      </c>
      <c r="Y646" s="9" t="s">
        <v>59</v>
      </c>
      <c r="Z646" s="9" t="s">
        <v>60</v>
      </c>
      <c r="AA646" s="9" t="s">
        <v>61</v>
      </c>
      <c r="AC646" s="9">
        <v>5.0</v>
      </c>
      <c r="AD646" s="9">
        <v>4.0</v>
      </c>
      <c r="AE646" s="9">
        <v>1.0</v>
      </c>
      <c r="AF646" s="9">
        <v>2500.0</v>
      </c>
      <c r="AG646" s="9" t="s">
        <v>42</v>
      </c>
    </row>
    <row r="647">
      <c r="A647" s="7">
        <v>44579.65698181713</v>
      </c>
      <c r="B647" s="9" t="s">
        <v>49</v>
      </c>
      <c r="C647" s="9">
        <v>28.0</v>
      </c>
      <c r="D647" s="9" t="s">
        <v>35</v>
      </c>
      <c r="E647" s="9" t="s">
        <v>36</v>
      </c>
      <c r="F647" s="9" t="s">
        <v>172</v>
      </c>
      <c r="G647" s="9" t="s">
        <v>3417</v>
      </c>
      <c r="H647" s="9" t="s">
        <v>38</v>
      </c>
      <c r="I647" s="9" t="s">
        <v>3418</v>
      </c>
      <c r="J647" s="9" t="s">
        <v>3419</v>
      </c>
      <c r="K647" s="9" t="s">
        <v>40</v>
      </c>
      <c r="L647" s="9" t="s">
        <v>40</v>
      </c>
      <c r="M647" s="9" t="s">
        <v>40</v>
      </c>
      <c r="P647" s="9" t="s">
        <v>3420</v>
      </c>
      <c r="Q647" s="9" t="s">
        <v>2934</v>
      </c>
      <c r="R647" s="9">
        <v>2000.0</v>
      </c>
      <c r="S647" s="9">
        <v>0.0</v>
      </c>
      <c r="T647" s="9">
        <v>0.0</v>
      </c>
      <c r="U647" s="9">
        <v>12.0</v>
      </c>
      <c r="V647" s="9" t="s">
        <v>67</v>
      </c>
      <c r="W647" s="9" t="s">
        <v>3421</v>
      </c>
      <c r="X647" s="9" t="s">
        <v>3422</v>
      </c>
      <c r="Y647" s="9" t="s">
        <v>159</v>
      </c>
      <c r="Z647" s="9" t="s">
        <v>71</v>
      </c>
      <c r="AA647" s="9" t="s">
        <v>91</v>
      </c>
      <c r="AC647" s="9">
        <v>6.0</v>
      </c>
      <c r="AD647" s="9">
        <v>2.0</v>
      </c>
      <c r="AE647" s="9">
        <v>1.0</v>
      </c>
      <c r="AF647" s="9">
        <v>2000.0</v>
      </c>
      <c r="AG647" s="9" t="s">
        <v>2934</v>
      </c>
    </row>
    <row r="648">
      <c r="A648" s="7">
        <v>44579.82518616898</v>
      </c>
      <c r="B648" s="9" t="s">
        <v>73</v>
      </c>
      <c r="C648" s="9">
        <v>29.0</v>
      </c>
      <c r="D648" s="9" t="s">
        <v>35</v>
      </c>
      <c r="E648" s="9" t="s">
        <v>36</v>
      </c>
      <c r="F648" s="9" t="s">
        <v>63</v>
      </c>
      <c r="G648" s="9" t="s">
        <v>3423</v>
      </c>
      <c r="H648" s="9" t="s">
        <v>38</v>
      </c>
      <c r="I648" s="9" t="s">
        <v>2368</v>
      </c>
      <c r="J648" s="9" t="s">
        <v>2444</v>
      </c>
      <c r="K648" s="9" t="s">
        <v>39</v>
      </c>
      <c r="L648" s="9" t="s">
        <v>40</v>
      </c>
      <c r="M648" s="9" t="s">
        <v>40</v>
      </c>
      <c r="P648" s="9" t="s">
        <v>146</v>
      </c>
      <c r="Q648" s="9" t="s">
        <v>42</v>
      </c>
      <c r="R648" s="9">
        <v>5000.0</v>
      </c>
      <c r="S648" s="9">
        <v>5000.0</v>
      </c>
      <c r="U648" s="9">
        <v>16.0</v>
      </c>
      <c r="V648" s="9" t="s">
        <v>396</v>
      </c>
      <c r="W648" s="9" t="s">
        <v>397</v>
      </c>
      <c r="X648" s="9" t="s">
        <v>246</v>
      </c>
      <c r="Y648" s="9" t="s">
        <v>116</v>
      </c>
      <c r="Z648" s="9" t="s">
        <v>71</v>
      </c>
      <c r="AA648" s="9" t="s">
        <v>91</v>
      </c>
      <c r="AC648" s="9">
        <v>8.0</v>
      </c>
      <c r="AD648" s="9">
        <v>3.0</v>
      </c>
      <c r="AE648" s="9">
        <v>2.0</v>
      </c>
      <c r="AF648" s="9">
        <v>1600.0</v>
      </c>
      <c r="AG648" s="9" t="s">
        <v>42</v>
      </c>
    </row>
    <row r="649">
      <c r="A649" s="7">
        <v>44579.87184506944</v>
      </c>
      <c r="B649" s="9" t="s">
        <v>49</v>
      </c>
      <c r="C649" s="9">
        <v>43.0</v>
      </c>
      <c r="D649" s="9" t="s">
        <v>35</v>
      </c>
      <c r="E649" s="9" t="s">
        <v>36</v>
      </c>
      <c r="F649" s="9" t="s">
        <v>124</v>
      </c>
      <c r="G649" s="9" t="s">
        <v>206</v>
      </c>
      <c r="H649" s="9" t="s">
        <v>38</v>
      </c>
      <c r="I649" s="9" t="s">
        <v>2368</v>
      </c>
      <c r="J649" s="9" t="s">
        <v>3424</v>
      </c>
      <c r="K649" s="9" t="s">
        <v>39</v>
      </c>
      <c r="L649" s="9" t="s">
        <v>40</v>
      </c>
      <c r="M649" s="9" t="s">
        <v>40</v>
      </c>
      <c r="N649" s="9" t="s">
        <v>113</v>
      </c>
      <c r="P649" s="9" t="s">
        <v>3425</v>
      </c>
      <c r="Q649" s="9" t="s">
        <v>42</v>
      </c>
      <c r="R649" s="9">
        <v>13000.0</v>
      </c>
      <c r="S649" s="9">
        <v>0.0</v>
      </c>
      <c r="T649" s="9">
        <v>0.0</v>
      </c>
      <c r="U649" s="9">
        <v>14.0</v>
      </c>
      <c r="V649" s="9" t="s">
        <v>676</v>
      </c>
      <c r="W649" s="9" t="s">
        <v>677</v>
      </c>
      <c r="X649" s="9" t="s">
        <v>678</v>
      </c>
      <c r="Y649" s="9" t="s">
        <v>679</v>
      </c>
      <c r="Z649" s="9" t="s">
        <v>71</v>
      </c>
      <c r="AA649" s="9" t="s">
        <v>61</v>
      </c>
      <c r="AC649" s="9">
        <v>10.0</v>
      </c>
      <c r="AD649" s="9">
        <v>22.0</v>
      </c>
      <c r="AE649" s="9">
        <v>7.0</v>
      </c>
      <c r="AF649" s="9">
        <v>2200.0</v>
      </c>
      <c r="AG649" s="9" t="s">
        <v>42</v>
      </c>
    </row>
    <row r="650">
      <c r="A650" s="7">
        <v>44579.89085241898</v>
      </c>
      <c r="B650" s="9" t="s">
        <v>49</v>
      </c>
      <c r="C650" s="9">
        <v>30.0</v>
      </c>
      <c r="D650" s="9" t="s">
        <v>35</v>
      </c>
      <c r="E650" s="9" t="s">
        <v>36</v>
      </c>
      <c r="F650" s="9" t="s">
        <v>50</v>
      </c>
      <c r="G650" s="9" t="s">
        <v>99</v>
      </c>
      <c r="H650" s="9" t="s">
        <v>93</v>
      </c>
      <c r="I650" s="9" t="s">
        <v>3426</v>
      </c>
      <c r="J650" s="9" t="s">
        <v>2999</v>
      </c>
      <c r="K650" s="9" t="s">
        <v>39</v>
      </c>
      <c r="L650" s="9" t="s">
        <v>40</v>
      </c>
      <c r="M650" s="9" t="s">
        <v>40</v>
      </c>
      <c r="P650" s="9" t="s">
        <v>2486</v>
      </c>
      <c r="Q650" s="9" t="s">
        <v>42</v>
      </c>
      <c r="R650" s="9">
        <v>7500.0</v>
      </c>
      <c r="S650" s="9">
        <v>0.0</v>
      </c>
      <c r="T650" s="9">
        <v>0.0</v>
      </c>
      <c r="U650" s="9">
        <v>14.0</v>
      </c>
      <c r="V650" s="9" t="s">
        <v>1800</v>
      </c>
      <c r="W650" s="9" t="s">
        <v>321</v>
      </c>
      <c r="X650" s="9" t="s">
        <v>1801</v>
      </c>
      <c r="Y650" s="9" t="s">
        <v>350</v>
      </c>
      <c r="Z650" s="9" t="s">
        <v>71</v>
      </c>
      <c r="AA650" s="9" t="s">
        <v>61</v>
      </c>
      <c r="AC650" s="9">
        <v>8.0</v>
      </c>
      <c r="AD650" s="9">
        <v>8.0</v>
      </c>
      <c r="AE650" s="9">
        <v>2.0</v>
      </c>
      <c r="AF650" s="9">
        <v>3500.0</v>
      </c>
      <c r="AG650" s="9" t="s">
        <v>42</v>
      </c>
    </row>
    <row r="651">
      <c r="A651" s="7">
        <v>44580.10013021991</v>
      </c>
      <c r="B651" s="9" t="s">
        <v>49</v>
      </c>
      <c r="C651" s="9">
        <v>30.0</v>
      </c>
      <c r="D651" s="9" t="s">
        <v>35</v>
      </c>
      <c r="E651" s="9" t="s">
        <v>36</v>
      </c>
      <c r="F651" s="9" t="s">
        <v>50</v>
      </c>
      <c r="G651" s="9" t="s">
        <v>565</v>
      </c>
      <c r="H651" s="9" t="s">
        <v>38</v>
      </c>
      <c r="I651" s="9" t="s">
        <v>2368</v>
      </c>
      <c r="J651" s="9" t="s">
        <v>2385</v>
      </c>
      <c r="K651" s="9" t="s">
        <v>39</v>
      </c>
      <c r="L651" s="9" t="s">
        <v>40</v>
      </c>
      <c r="M651" s="9" t="s">
        <v>40</v>
      </c>
      <c r="P651" s="9" t="s">
        <v>3427</v>
      </c>
      <c r="Q651" s="9" t="s">
        <v>42</v>
      </c>
      <c r="R651" s="9">
        <v>8000.0</v>
      </c>
      <c r="S651" s="9">
        <v>8000.0</v>
      </c>
      <c r="T651" s="9">
        <v>0.0</v>
      </c>
      <c r="U651" s="9">
        <v>16.0</v>
      </c>
      <c r="V651" s="9" t="s">
        <v>567</v>
      </c>
      <c r="W651" s="9" t="s">
        <v>568</v>
      </c>
      <c r="X651" s="9" t="s">
        <v>246</v>
      </c>
      <c r="Y651" s="9" t="s">
        <v>228</v>
      </c>
      <c r="Z651" s="9" t="s">
        <v>71</v>
      </c>
      <c r="AA651" s="9" t="s">
        <v>61</v>
      </c>
      <c r="AB651" s="9" t="s">
        <v>569</v>
      </c>
      <c r="AC651" s="9">
        <v>10.0</v>
      </c>
      <c r="AD651" s="9">
        <v>8.0</v>
      </c>
      <c r="AE651" s="9">
        <v>3.0</v>
      </c>
      <c r="AF651" s="9">
        <v>2000.0</v>
      </c>
      <c r="AG651" s="9" t="s">
        <v>42</v>
      </c>
    </row>
    <row r="652">
      <c r="A652" s="7">
        <v>44580.65753998843</v>
      </c>
      <c r="B652" s="9" t="s">
        <v>73</v>
      </c>
      <c r="C652" s="9">
        <v>27.0</v>
      </c>
      <c r="D652" s="9" t="s">
        <v>35</v>
      </c>
      <c r="E652" s="9" t="s">
        <v>36</v>
      </c>
      <c r="F652" s="9" t="s">
        <v>50</v>
      </c>
      <c r="G652" s="9" t="s">
        <v>117</v>
      </c>
      <c r="H652" s="9" t="s">
        <v>38</v>
      </c>
      <c r="I652" s="9" t="s">
        <v>3428</v>
      </c>
      <c r="J652" s="9" t="s">
        <v>2675</v>
      </c>
      <c r="K652" s="9" t="s">
        <v>40</v>
      </c>
      <c r="L652" s="9" t="s">
        <v>39</v>
      </c>
      <c r="M652" s="9" t="s">
        <v>40</v>
      </c>
      <c r="P652" s="9" t="s">
        <v>2438</v>
      </c>
      <c r="Q652" s="9" t="s">
        <v>42</v>
      </c>
      <c r="R652" s="9">
        <v>3500.0</v>
      </c>
      <c r="S652" s="9">
        <v>0.0</v>
      </c>
      <c r="T652" s="9">
        <v>0.0</v>
      </c>
      <c r="U652" s="9">
        <v>8.0</v>
      </c>
      <c r="V652" s="9" t="s">
        <v>1003</v>
      </c>
      <c r="W652" s="9" t="s">
        <v>1004</v>
      </c>
      <c r="X652" s="9" t="s">
        <v>58</v>
      </c>
      <c r="Y652" s="9" t="s">
        <v>547</v>
      </c>
      <c r="Z652" s="9" t="s">
        <v>71</v>
      </c>
      <c r="AA652" s="9" t="s">
        <v>61</v>
      </c>
      <c r="AC652" s="9">
        <v>7.0</v>
      </c>
      <c r="AD652" s="9">
        <v>3.0</v>
      </c>
      <c r="AE652" s="9">
        <v>2.0</v>
      </c>
      <c r="AF652" s="9">
        <v>2700.0</v>
      </c>
      <c r="AG652" s="9" t="s">
        <v>42</v>
      </c>
    </row>
    <row r="653">
      <c r="A653" s="7">
        <v>44580.89462688657</v>
      </c>
      <c r="B653" s="9" t="s">
        <v>73</v>
      </c>
      <c r="C653" s="9">
        <v>26.0</v>
      </c>
      <c r="D653" s="9" t="s">
        <v>35</v>
      </c>
      <c r="E653" s="9" t="s">
        <v>36</v>
      </c>
      <c r="F653" s="9" t="s">
        <v>50</v>
      </c>
      <c r="G653" s="9" t="s">
        <v>106</v>
      </c>
      <c r="H653" s="9" t="s">
        <v>38</v>
      </c>
      <c r="I653" s="9" t="s">
        <v>3429</v>
      </c>
      <c r="J653" s="9" t="s">
        <v>3430</v>
      </c>
      <c r="K653" s="9" t="s">
        <v>39</v>
      </c>
      <c r="L653" s="9" t="s">
        <v>40</v>
      </c>
      <c r="M653" s="9" t="s">
        <v>40</v>
      </c>
      <c r="P653" s="9" t="s">
        <v>1333</v>
      </c>
      <c r="Q653" s="9" t="s">
        <v>42</v>
      </c>
      <c r="R653" s="9">
        <v>3590.0</v>
      </c>
      <c r="S653" s="9">
        <v>6590.0</v>
      </c>
      <c r="U653" s="9">
        <v>16.0</v>
      </c>
      <c r="V653" s="9" t="s">
        <v>1334</v>
      </c>
      <c r="W653" s="9" t="s">
        <v>1335</v>
      </c>
      <c r="X653" s="9" t="s">
        <v>106</v>
      </c>
      <c r="Y653" s="9" t="s">
        <v>59</v>
      </c>
      <c r="Z653" s="9" t="s">
        <v>60</v>
      </c>
      <c r="AA653" s="9" t="s">
        <v>61</v>
      </c>
      <c r="AC653" s="9">
        <v>6.0</v>
      </c>
      <c r="AD653" s="9">
        <v>2.0</v>
      </c>
      <c r="AE653" s="9">
        <v>0.0</v>
      </c>
      <c r="AF653" s="9">
        <v>3000.0</v>
      </c>
      <c r="AG653" s="9" t="s">
        <v>42</v>
      </c>
    </row>
    <row r="654">
      <c r="A654" s="7">
        <v>44581.031047662036</v>
      </c>
      <c r="B654" s="9" t="s">
        <v>49</v>
      </c>
      <c r="C654" s="9">
        <v>26.0</v>
      </c>
      <c r="D654" s="9" t="s">
        <v>35</v>
      </c>
      <c r="E654" s="9" t="s">
        <v>36</v>
      </c>
      <c r="F654" s="9" t="s">
        <v>349</v>
      </c>
      <c r="G654" s="9" t="s">
        <v>296</v>
      </c>
      <c r="H654" s="9" t="s">
        <v>38</v>
      </c>
      <c r="I654" s="9" t="s">
        <v>3431</v>
      </c>
      <c r="J654" s="9" t="s">
        <v>2997</v>
      </c>
      <c r="K654" s="9" t="s">
        <v>39</v>
      </c>
      <c r="L654" s="9" t="s">
        <v>40</v>
      </c>
      <c r="M654" s="9" t="s">
        <v>40</v>
      </c>
      <c r="P654" s="9" t="s">
        <v>2412</v>
      </c>
      <c r="Q654" s="9" t="s">
        <v>42</v>
      </c>
      <c r="R654" s="9">
        <v>4300.0</v>
      </c>
      <c r="S654" s="9">
        <v>4300.0</v>
      </c>
      <c r="T654" s="9">
        <v>0.0</v>
      </c>
      <c r="U654" s="9">
        <v>15.0</v>
      </c>
      <c r="V654" s="9" t="s">
        <v>1094</v>
      </c>
      <c r="W654" s="9" t="s">
        <v>1095</v>
      </c>
      <c r="X654" s="9" t="s">
        <v>1096</v>
      </c>
      <c r="Y654" s="9" t="s">
        <v>89</v>
      </c>
      <c r="Z654" s="9" t="s">
        <v>81</v>
      </c>
      <c r="AA654" s="9" t="s">
        <v>61</v>
      </c>
      <c r="AC654" s="9">
        <v>1.0</v>
      </c>
      <c r="AD654" s="9">
        <v>1.0</v>
      </c>
      <c r="AE654" s="9">
        <v>2.0</v>
      </c>
      <c r="AF654" s="9">
        <v>2800.0</v>
      </c>
      <c r="AG654" s="9" t="s">
        <v>42</v>
      </c>
    </row>
    <row r="655">
      <c r="A655" s="7">
        <v>44582.45067640046</v>
      </c>
      <c r="B655" s="9" t="s">
        <v>73</v>
      </c>
      <c r="C655" s="9">
        <v>38.0</v>
      </c>
      <c r="D655" s="9" t="s">
        <v>35</v>
      </c>
      <c r="E655" s="9" t="s">
        <v>36</v>
      </c>
      <c r="F655" s="9" t="s">
        <v>50</v>
      </c>
      <c r="G655" s="9" t="s">
        <v>3099</v>
      </c>
      <c r="H655" s="9" t="s">
        <v>3432</v>
      </c>
      <c r="I655" s="9" t="s">
        <v>3394</v>
      </c>
      <c r="J655" s="9" t="s">
        <v>3433</v>
      </c>
      <c r="K655" s="9" t="s">
        <v>40</v>
      </c>
      <c r="L655" s="9" t="s">
        <v>39</v>
      </c>
      <c r="M655" s="9" t="s">
        <v>40</v>
      </c>
      <c r="N655" s="9" t="s">
        <v>110</v>
      </c>
      <c r="P655" s="9" t="s">
        <v>3434</v>
      </c>
      <c r="Q655" s="9" t="s">
        <v>112</v>
      </c>
      <c r="R655" s="9">
        <v>800.0</v>
      </c>
      <c r="S655" s="9" t="s">
        <v>113</v>
      </c>
      <c r="T655" s="9" t="s">
        <v>113</v>
      </c>
      <c r="U655" s="9">
        <v>0.0</v>
      </c>
      <c r="V655" s="9" t="s">
        <v>67</v>
      </c>
      <c r="W655" s="9" t="s">
        <v>114</v>
      </c>
      <c r="X655" s="9" t="s">
        <v>115</v>
      </c>
      <c r="Y655" s="9" t="s">
        <v>116</v>
      </c>
      <c r="Z655" s="9" t="s">
        <v>47</v>
      </c>
      <c r="AA655" s="9" t="s">
        <v>61</v>
      </c>
      <c r="AC655" s="9">
        <v>6.0</v>
      </c>
      <c r="AD655" s="9">
        <v>1.5</v>
      </c>
      <c r="AE655" s="9">
        <v>1.0</v>
      </c>
      <c r="AF655" s="9">
        <v>12.0</v>
      </c>
      <c r="AG655" s="9" t="s">
        <v>112</v>
      </c>
    </row>
    <row r="656">
      <c r="A656" s="7">
        <v>44582.803703240745</v>
      </c>
      <c r="B656" s="9" t="s">
        <v>49</v>
      </c>
      <c r="C656" s="9">
        <v>31.0</v>
      </c>
      <c r="D656" s="9" t="s">
        <v>35</v>
      </c>
      <c r="E656" s="9" t="s">
        <v>36</v>
      </c>
      <c r="F656" s="9" t="s">
        <v>50</v>
      </c>
      <c r="G656" s="9" t="s">
        <v>1704</v>
      </c>
      <c r="H656" s="9" t="s">
        <v>38</v>
      </c>
      <c r="I656" s="9" t="s">
        <v>3435</v>
      </c>
      <c r="J656" s="9" t="s">
        <v>944</v>
      </c>
      <c r="K656" s="9" t="s">
        <v>40</v>
      </c>
      <c r="L656" s="9" t="s">
        <v>39</v>
      </c>
      <c r="M656" s="9" t="s">
        <v>40</v>
      </c>
      <c r="N656" s="9" t="s">
        <v>1326</v>
      </c>
      <c r="P656" s="9" t="s">
        <v>2486</v>
      </c>
      <c r="Q656" s="9" t="s">
        <v>42</v>
      </c>
      <c r="R656" s="9">
        <v>6500.0</v>
      </c>
      <c r="S656" s="9">
        <v>0.0</v>
      </c>
      <c r="T656" s="9">
        <v>0.0</v>
      </c>
      <c r="U656" s="9">
        <v>16.0</v>
      </c>
      <c r="V656" s="9" t="s">
        <v>1327</v>
      </c>
      <c r="W656" s="9" t="s">
        <v>1328</v>
      </c>
      <c r="X656" s="9" t="s">
        <v>36</v>
      </c>
      <c r="Y656" s="9" t="s">
        <v>159</v>
      </c>
      <c r="Z656" s="9" t="s">
        <v>81</v>
      </c>
      <c r="AA656" s="9" t="s">
        <v>133</v>
      </c>
      <c r="AC656" s="9">
        <v>9.0</v>
      </c>
      <c r="AD656" s="9">
        <v>6.0</v>
      </c>
      <c r="AE656" s="9">
        <v>4.0</v>
      </c>
      <c r="AF656" s="9">
        <v>3000.0</v>
      </c>
      <c r="AG656" s="9" t="s">
        <v>42</v>
      </c>
    </row>
    <row r="657">
      <c r="A657" s="7">
        <v>44588.04815030092</v>
      </c>
      <c r="B657" s="9" t="s">
        <v>49</v>
      </c>
      <c r="C657" s="9">
        <v>40.0</v>
      </c>
      <c r="D657" s="9" t="s">
        <v>35</v>
      </c>
      <c r="E657" s="9" t="s">
        <v>36</v>
      </c>
      <c r="F657" s="9" t="s">
        <v>225</v>
      </c>
      <c r="H657" s="9" t="s">
        <v>38</v>
      </c>
      <c r="I657" s="9" t="s">
        <v>3436</v>
      </c>
      <c r="J657" s="9" t="s">
        <v>3437</v>
      </c>
      <c r="K657" s="9" t="s">
        <v>39</v>
      </c>
      <c r="L657" s="9" t="s">
        <v>40</v>
      </c>
      <c r="M657" s="9" t="s">
        <v>39</v>
      </c>
      <c r="O657" s="9" t="s">
        <v>3438</v>
      </c>
      <c r="P657" s="9" t="s">
        <v>2581</v>
      </c>
      <c r="Q657" s="9" t="s">
        <v>3321</v>
      </c>
      <c r="R657" s="9">
        <v>15000.0</v>
      </c>
      <c r="S657" s="9">
        <v>0.0</v>
      </c>
      <c r="U657" s="9">
        <v>14.0</v>
      </c>
      <c r="V657" s="9" t="s">
        <v>223</v>
      </c>
      <c r="W657" s="9" t="s">
        <v>3439</v>
      </c>
      <c r="X657" s="9" t="s">
        <v>225</v>
      </c>
      <c r="Y657" s="9" t="s">
        <v>155</v>
      </c>
      <c r="Z657" s="9" t="s">
        <v>132</v>
      </c>
      <c r="AA657" s="9" t="s">
        <v>61</v>
      </c>
      <c r="AC657" s="9">
        <v>6.0</v>
      </c>
      <c r="AD657" s="9">
        <v>10.0</v>
      </c>
      <c r="AE657" s="9">
        <v>10.0</v>
      </c>
      <c r="AF657" s="9">
        <v>1000.0</v>
      </c>
      <c r="AG657" s="9" t="s">
        <v>3321</v>
      </c>
    </row>
    <row r="658">
      <c r="A658" s="7">
        <v>44590.52244212963</v>
      </c>
      <c r="B658" s="9" t="s">
        <v>49</v>
      </c>
      <c r="C658" s="9">
        <v>31.0</v>
      </c>
      <c r="D658" s="9" t="s">
        <v>142</v>
      </c>
      <c r="E658" s="9" t="s">
        <v>36</v>
      </c>
      <c r="F658" s="9" t="s">
        <v>412</v>
      </c>
      <c r="G658" s="9" t="s">
        <v>625</v>
      </c>
      <c r="H658" s="9" t="s">
        <v>247</v>
      </c>
      <c r="I658" s="9" t="s">
        <v>3440</v>
      </c>
      <c r="J658" s="9" t="s">
        <v>3441</v>
      </c>
      <c r="K658" s="9" t="s">
        <v>39</v>
      </c>
      <c r="L658" s="9" t="s">
        <v>40</v>
      </c>
      <c r="M658" s="9" t="s">
        <v>40</v>
      </c>
      <c r="P658" s="9" t="s">
        <v>2575</v>
      </c>
      <c r="Q658" s="9" t="s">
        <v>2934</v>
      </c>
      <c r="R658" s="9">
        <v>6000.0</v>
      </c>
      <c r="S658" s="9" t="s">
        <v>1657</v>
      </c>
      <c r="U658" s="9">
        <v>16.0</v>
      </c>
      <c r="V658" s="9" t="s">
        <v>804</v>
      </c>
      <c r="W658" s="9" t="s">
        <v>805</v>
      </c>
      <c r="X658" s="9" t="s">
        <v>625</v>
      </c>
      <c r="Y658" s="9" t="s">
        <v>481</v>
      </c>
      <c r="Z658" s="9" t="s">
        <v>47</v>
      </c>
      <c r="AA658" s="9" t="s">
        <v>61</v>
      </c>
      <c r="AC658" s="9">
        <v>5.0</v>
      </c>
      <c r="AD658" s="9">
        <v>7.0</v>
      </c>
      <c r="AE658" s="9">
        <v>1.0</v>
      </c>
      <c r="AF658" s="9">
        <v>2500.0</v>
      </c>
      <c r="AG658" s="9" t="s">
        <v>2934</v>
      </c>
    </row>
    <row r="659">
      <c r="A659" s="7">
        <v>44592.978987939816</v>
      </c>
      <c r="B659" s="9" t="s">
        <v>49</v>
      </c>
      <c r="C659" s="9">
        <v>48.0</v>
      </c>
      <c r="D659" s="9" t="s">
        <v>35</v>
      </c>
      <c r="E659" s="9" t="s">
        <v>36</v>
      </c>
      <c r="F659" s="9" t="s">
        <v>50</v>
      </c>
      <c r="G659" s="9" t="s">
        <v>106</v>
      </c>
      <c r="H659" s="9" t="s">
        <v>93</v>
      </c>
      <c r="I659" s="9" t="s">
        <v>364</v>
      </c>
      <c r="J659" s="9" t="s">
        <v>3259</v>
      </c>
      <c r="K659" s="9" t="s">
        <v>39</v>
      </c>
      <c r="L659" s="9" t="s">
        <v>40</v>
      </c>
      <c r="M659" s="9" t="s">
        <v>40</v>
      </c>
      <c r="P659" s="9" t="s">
        <v>3442</v>
      </c>
      <c r="Q659" s="9" t="s">
        <v>42</v>
      </c>
      <c r="R659" s="9">
        <v>20000.0</v>
      </c>
      <c r="U659" s="9">
        <v>21.0</v>
      </c>
      <c r="V659" s="9" t="s">
        <v>365</v>
      </c>
      <c r="W659" s="9" t="s">
        <v>366</v>
      </c>
      <c r="X659" s="9" t="s">
        <v>204</v>
      </c>
      <c r="Y659" s="9" t="s">
        <v>59</v>
      </c>
      <c r="Z659" s="9" t="s">
        <v>132</v>
      </c>
      <c r="AA659" s="9" t="s">
        <v>91</v>
      </c>
      <c r="AC659" s="9">
        <v>9.0</v>
      </c>
      <c r="AD659" s="9">
        <v>30.0</v>
      </c>
      <c r="AE659" s="9">
        <v>10.0</v>
      </c>
      <c r="AF659" s="9">
        <v>1500.0</v>
      </c>
      <c r="AG659" s="9" t="s">
        <v>42</v>
      </c>
    </row>
    <row r="660">
      <c r="A660" s="7">
        <v>44595.58326076389</v>
      </c>
      <c r="B660" s="9" t="s">
        <v>49</v>
      </c>
      <c r="C660" s="9">
        <v>22.0</v>
      </c>
      <c r="D660" s="9" t="s">
        <v>35</v>
      </c>
      <c r="E660" s="9" t="s">
        <v>36</v>
      </c>
      <c r="F660" s="9" t="s">
        <v>363</v>
      </c>
      <c r="G660" s="9" t="s">
        <v>212</v>
      </c>
      <c r="H660" s="9" t="s">
        <v>93</v>
      </c>
      <c r="I660" s="9" t="s">
        <v>3443</v>
      </c>
      <c r="J660" s="9" t="s">
        <v>3444</v>
      </c>
      <c r="K660" s="9" t="s">
        <v>39</v>
      </c>
      <c r="L660" s="9" t="s">
        <v>40</v>
      </c>
      <c r="M660" s="9" t="s">
        <v>40</v>
      </c>
      <c r="P660" s="9" t="s">
        <v>3445</v>
      </c>
      <c r="Q660" s="9" t="s">
        <v>42</v>
      </c>
      <c r="R660" s="9">
        <v>1000.0</v>
      </c>
      <c r="S660" s="9">
        <v>0.0</v>
      </c>
      <c r="T660" s="9">
        <v>0.0</v>
      </c>
      <c r="U660" s="9">
        <v>7.0</v>
      </c>
      <c r="V660" s="9" t="s">
        <v>213</v>
      </c>
      <c r="W660" s="9" t="s">
        <v>214</v>
      </c>
      <c r="X660" s="9" t="s">
        <v>99</v>
      </c>
      <c r="Y660" s="9" t="s">
        <v>70</v>
      </c>
      <c r="Z660" s="9" t="s">
        <v>90</v>
      </c>
      <c r="AA660" s="9" t="s">
        <v>91</v>
      </c>
      <c r="AC660" s="9">
        <v>8.0</v>
      </c>
      <c r="AD660" s="9">
        <v>1.0</v>
      </c>
      <c r="AE660" s="9">
        <v>1.0</v>
      </c>
      <c r="AF660" s="9">
        <v>1000.0</v>
      </c>
      <c r="AG660" s="9" t="s">
        <v>42</v>
      </c>
    </row>
    <row r="661">
      <c r="A661" s="7">
        <v>44595.91848</v>
      </c>
      <c r="B661" s="9" t="s">
        <v>73</v>
      </c>
      <c r="C661" s="9">
        <v>31.0</v>
      </c>
      <c r="D661" s="9" t="s">
        <v>35</v>
      </c>
      <c r="E661" s="9" t="s">
        <v>36</v>
      </c>
      <c r="F661" s="9" t="s">
        <v>773</v>
      </c>
      <c r="H661" s="9" t="s">
        <v>38</v>
      </c>
      <c r="I661" s="9" t="s">
        <v>3446</v>
      </c>
      <c r="J661" s="9" t="s">
        <v>2566</v>
      </c>
      <c r="K661" s="9" t="s">
        <v>39</v>
      </c>
      <c r="L661" s="9" t="s">
        <v>40</v>
      </c>
      <c r="M661" s="9" t="s">
        <v>40</v>
      </c>
      <c r="P661" s="9" t="s">
        <v>152</v>
      </c>
      <c r="Q661" s="9" t="s">
        <v>42</v>
      </c>
      <c r="R661" s="9">
        <v>5400.0</v>
      </c>
      <c r="S661" s="9">
        <v>0.0</v>
      </c>
      <c r="T661" s="9">
        <v>0.0</v>
      </c>
      <c r="U661" s="9">
        <v>14.0</v>
      </c>
      <c r="V661" s="9" t="s">
        <v>774</v>
      </c>
      <c r="W661" s="9" t="s">
        <v>775</v>
      </c>
      <c r="X661" s="9" t="s">
        <v>776</v>
      </c>
      <c r="Y661" s="9" t="s">
        <v>59</v>
      </c>
      <c r="Z661" s="9" t="s">
        <v>81</v>
      </c>
      <c r="AA661" s="9" t="s">
        <v>61</v>
      </c>
      <c r="AC661" s="9">
        <v>4.0</v>
      </c>
      <c r="AD661" s="9">
        <v>6.0</v>
      </c>
      <c r="AE661" s="9">
        <v>1.0</v>
      </c>
      <c r="AF661" s="9">
        <v>2500.0</v>
      </c>
      <c r="AG661" s="9" t="s">
        <v>42</v>
      </c>
    </row>
    <row r="662">
      <c r="A662" s="7">
        <v>44601.45311981482</v>
      </c>
      <c r="B662" s="9" t="s">
        <v>49</v>
      </c>
      <c r="C662" s="9">
        <v>25.0</v>
      </c>
      <c r="D662" s="9" t="s">
        <v>35</v>
      </c>
      <c r="E662" s="9" t="s">
        <v>36</v>
      </c>
      <c r="F662" s="9" t="s">
        <v>3447</v>
      </c>
      <c r="G662" s="9" t="s">
        <v>515</v>
      </c>
      <c r="H662" s="9" t="s">
        <v>38</v>
      </c>
      <c r="I662" s="9" t="s">
        <v>3448</v>
      </c>
      <c r="J662" s="9" t="s">
        <v>3047</v>
      </c>
      <c r="K662" s="9" t="s">
        <v>39</v>
      </c>
      <c r="L662" s="9" t="s">
        <v>40</v>
      </c>
      <c r="M662" s="9" t="s">
        <v>40</v>
      </c>
      <c r="P662" s="9" t="s">
        <v>2465</v>
      </c>
      <c r="Q662" s="9" t="s">
        <v>2934</v>
      </c>
      <c r="R662" s="9">
        <v>6300.0</v>
      </c>
      <c r="S662" s="9">
        <v>0.0</v>
      </c>
      <c r="T662" s="9">
        <v>0.0</v>
      </c>
      <c r="U662" s="9">
        <v>20.0</v>
      </c>
      <c r="V662" s="9" t="s">
        <v>1817</v>
      </c>
      <c r="W662" s="9" t="s">
        <v>3449</v>
      </c>
      <c r="X662" s="9" t="s">
        <v>1819</v>
      </c>
      <c r="Y662" s="9" t="s">
        <v>297</v>
      </c>
      <c r="Z662" s="9" t="s">
        <v>90</v>
      </c>
      <c r="AA662" s="9" t="s">
        <v>91</v>
      </c>
      <c r="AC662" s="9">
        <v>7.0</v>
      </c>
      <c r="AD662" s="9">
        <v>2.0</v>
      </c>
      <c r="AE662" s="9">
        <v>2.0</v>
      </c>
      <c r="AF662" s="9">
        <v>3500.0</v>
      </c>
      <c r="AG662" s="9" t="s">
        <v>2934</v>
      </c>
    </row>
    <row r="663">
      <c r="A663" s="7">
        <v>44605.53990019676</v>
      </c>
      <c r="B663" s="9" t="s">
        <v>73</v>
      </c>
      <c r="C663" s="9">
        <v>25.0</v>
      </c>
      <c r="D663" s="9" t="s">
        <v>2170</v>
      </c>
      <c r="E663" s="9" t="s">
        <v>36</v>
      </c>
      <c r="F663" s="9" t="s">
        <v>219</v>
      </c>
      <c r="G663" s="9" t="s">
        <v>349</v>
      </c>
      <c r="H663" s="9" t="s">
        <v>38</v>
      </c>
      <c r="K663" s="9" t="s">
        <v>40</v>
      </c>
      <c r="L663" s="9" t="s">
        <v>40</v>
      </c>
      <c r="M663" s="9" t="s">
        <v>40</v>
      </c>
      <c r="P663" s="9" t="s">
        <v>3450</v>
      </c>
      <c r="Q663" s="9" t="s">
        <v>42</v>
      </c>
      <c r="R663" s="9">
        <v>5000.0</v>
      </c>
      <c r="U663" s="9">
        <v>15.0</v>
      </c>
      <c r="V663" s="9" t="s">
        <v>2171</v>
      </c>
      <c r="W663" s="9" t="s">
        <v>224</v>
      </c>
      <c r="X663" s="9" t="s">
        <v>349</v>
      </c>
      <c r="Y663" s="9" t="s">
        <v>347</v>
      </c>
      <c r="Z663" s="9" t="s">
        <v>81</v>
      </c>
      <c r="AA663" s="9" t="s">
        <v>61</v>
      </c>
      <c r="AC663" s="9">
        <v>10.0</v>
      </c>
      <c r="AD663" s="9">
        <v>5.0</v>
      </c>
      <c r="AE663" s="9">
        <v>2.0</v>
      </c>
      <c r="AF663" s="9">
        <v>5000.0</v>
      </c>
      <c r="AG663" s="9" t="s">
        <v>42</v>
      </c>
    </row>
    <row r="664">
      <c r="A664" s="7">
        <v>44608.68787612268</v>
      </c>
      <c r="B664" s="9" t="s">
        <v>49</v>
      </c>
      <c r="C664" s="9">
        <v>27.0</v>
      </c>
      <c r="D664" s="9" t="s">
        <v>35</v>
      </c>
      <c r="E664" s="9" t="s">
        <v>36</v>
      </c>
      <c r="F664" s="9" t="s">
        <v>363</v>
      </c>
      <c r="G664" s="9" t="s">
        <v>363</v>
      </c>
      <c r="H664" s="9" t="s">
        <v>38</v>
      </c>
      <c r="I664" s="9" t="s">
        <v>3164</v>
      </c>
      <c r="J664" s="9" t="s">
        <v>3225</v>
      </c>
      <c r="K664" s="9" t="s">
        <v>39</v>
      </c>
      <c r="L664" s="9" t="s">
        <v>39</v>
      </c>
      <c r="M664" s="9" t="s">
        <v>39</v>
      </c>
      <c r="N664" s="9" t="s">
        <v>1899</v>
      </c>
      <c r="O664" s="9" t="s">
        <v>1900</v>
      </c>
      <c r="P664" s="9" t="s">
        <v>1901</v>
      </c>
      <c r="Q664" s="9" t="s">
        <v>42</v>
      </c>
      <c r="R664" s="9">
        <v>6600.0</v>
      </c>
      <c r="S664" s="9">
        <v>12000.0</v>
      </c>
      <c r="T664" s="9">
        <v>0.0</v>
      </c>
      <c r="U664" s="9">
        <v>16.0</v>
      </c>
      <c r="V664" s="9" t="s">
        <v>1902</v>
      </c>
      <c r="W664" s="9" t="s">
        <v>1903</v>
      </c>
      <c r="X664" s="9" t="s">
        <v>79</v>
      </c>
      <c r="Y664" s="9" t="s">
        <v>80</v>
      </c>
      <c r="Z664" s="9" t="s">
        <v>90</v>
      </c>
      <c r="AA664" s="9" t="s">
        <v>61</v>
      </c>
      <c r="AC664" s="9">
        <v>6.0</v>
      </c>
      <c r="AD664" s="9">
        <v>3.0</v>
      </c>
      <c r="AE664" s="9">
        <v>3.0</v>
      </c>
      <c r="AF664" s="9">
        <v>3520.0</v>
      </c>
      <c r="AG664" s="9" t="s">
        <v>42</v>
      </c>
    </row>
    <row r="665">
      <c r="A665" s="7">
        <v>44611.59964035879</v>
      </c>
      <c r="B665" s="9" t="s">
        <v>49</v>
      </c>
      <c r="C665" s="9">
        <v>24.0</v>
      </c>
      <c r="D665" s="9" t="s">
        <v>35</v>
      </c>
      <c r="E665" s="9" t="s">
        <v>36</v>
      </c>
      <c r="F665" s="9" t="s">
        <v>124</v>
      </c>
      <c r="G665" s="9" t="s">
        <v>606</v>
      </c>
      <c r="H665" s="9" t="s">
        <v>38</v>
      </c>
      <c r="I665" s="9" t="s">
        <v>3451</v>
      </c>
      <c r="J665" s="9" t="s">
        <v>221</v>
      </c>
      <c r="K665" s="9" t="s">
        <v>39</v>
      </c>
      <c r="L665" s="9" t="s">
        <v>40</v>
      </c>
      <c r="M665" s="9" t="s">
        <v>40</v>
      </c>
      <c r="P665" s="9" t="s">
        <v>950</v>
      </c>
      <c r="Q665" s="9" t="s">
        <v>42</v>
      </c>
      <c r="R665" s="9">
        <v>2600.0</v>
      </c>
      <c r="S665" s="9">
        <v>0.0</v>
      </c>
      <c r="T665" s="9">
        <v>0.0</v>
      </c>
      <c r="U665" s="9">
        <v>14.0</v>
      </c>
      <c r="V665" s="9" t="s">
        <v>951</v>
      </c>
      <c r="W665" s="9" t="s">
        <v>952</v>
      </c>
      <c r="X665" s="9" t="s">
        <v>953</v>
      </c>
      <c r="Y665" s="9" t="s">
        <v>70</v>
      </c>
      <c r="Z665" s="9" t="s">
        <v>71</v>
      </c>
      <c r="AA665" s="9" t="s">
        <v>91</v>
      </c>
      <c r="AB665" s="9" t="s">
        <v>954</v>
      </c>
      <c r="AC665" s="9">
        <v>5.0</v>
      </c>
      <c r="AD665" s="9">
        <v>1.0</v>
      </c>
      <c r="AE665" s="9">
        <v>1.0</v>
      </c>
      <c r="AF665" s="9">
        <v>2600.0</v>
      </c>
      <c r="AG665" s="9" t="s">
        <v>42</v>
      </c>
    </row>
    <row r="666">
      <c r="A666" s="7">
        <v>44613.97623929398</v>
      </c>
      <c r="B666" s="9" t="s">
        <v>49</v>
      </c>
      <c r="C666" s="9">
        <v>28.0</v>
      </c>
      <c r="D666" s="9" t="s">
        <v>35</v>
      </c>
      <c r="E666" s="9" t="s">
        <v>36</v>
      </c>
      <c r="F666" s="9" t="s">
        <v>412</v>
      </c>
      <c r="G666" s="9" t="s">
        <v>625</v>
      </c>
      <c r="H666" s="9" t="s">
        <v>38</v>
      </c>
      <c r="I666" s="9" t="s">
        <v>3452</v>
      </c>
      <c r="J666" s="9" t="s">
        <v>680</v>
      </c>
      <c r="K666" s="9" t="s">
        <v>39</v>
      </c>
      <c r="L666" s="9" t="s">
        <v>40</v>
      </c>
      <c r="M666" s="9" t="s">
        <v>40</v>
      </c>
      <c r="P666" s="9" t="s">
        <v>128</v>
      </c>
      <c r="Q666" s="9" t="s">
        <v>42</v>
      </c>
      <c r="R666" s="9">
        <v>3750.0</v>
      </c>
      <c r="S666" s="9">
        <v>7500.0</v>
      </c>
      <c r="T666" s="9">
        <v>0.0</v>
      </c>
      <c r="U666" s="9">
        <v>18.0</v>
      </c>
      <c r="V666" s="9" t="s">
        <v>681</v>
      </c>
      <c r="W666" s="9" t="s">
        <v>682</v>
      </c>
      <c r="X666" s="9" t="s">
        <v>683</v>
      </c>
      <c r="Y666" s="9" t="s">
        <v>160</v>
      </c>
      <c r="Z666" s="9" t="s">
        <v>60</v>
      </c>
      <c r="AA666" s="9" t="s">
        <v>61</v>
      </c>
      <c r="AC666" s="9">
        <v>7.0</v>
      </c>
      <c r="AD666" s="9">
        <v>6.0</v>
      </c>
      <c r="AE666" s="9">
        <v>0.0</v>
      </c>
      <c r="AF666" s="9">
        <v>2200.0</v>
      </c>
      <c r="AG666" s="9" t="s">
        <v>42</v>
      </c>
    </row>
    <row r="667">
      <c r="A667" s="7">
        <v>44613.99240407407</v>
      </c>
      <c r="B667" s="9" t="s">
        <v>49</v>
      </c>
      <c r="C667" s="9">
        <v>26.0</v>
      </c>
      <c r="D667" s="9" t="s">
        <v>35</v>
      </c>
      <c r="E667" s="9" t="s">
        <v>36</v>
      </c>
      <c r="F667" s="9" t="s">
        <v>50</v>
      </c>
      <c r="G667" s="9" t="s">
        <v>82</v>
      </c>
      <c r="H667" s="9" t="s">
        <v>38</v>
      </c>
      <c r="I667" s="9" t="s">
        <v>65</v>
      </c>
      <c r="J667" s="9" t="s">
        <v>3453</v>
      </c>
      <c r="K667" s="9" t="s">
        <v>39</v>
      </c>
      <c r="L667" s="9" t="s">
        <v>40</v>
      </c>
      <c r="M667" s="9" t="s">
        <v>40</v>
      </c>
      <c r="P667" s="9" t="s">
        <v>2838</v>
      </c>
      <c r="Q667" s="9" t="s">
        <v>42</v>
      </c>
      <c r="R667" s="9">
        <v>3700.0</v>
      </c>
      <c r="S667" s="9">
        <v>0.0</v>
      </c>
      <c r="T667" s="9">
        <v>0.0</v>
      </c>
      <c r="U667" s="9">
        <v>14.0</v>
      </c>
      <c r="V667" s="9" t="s">
        <v>351</v>
      </c>
      <c r="W667" s="9" t="s">
        <v>352</v>
      </c>
      <c r="X667" s="9" t="s">
        <v>124</v>
      </c>
      <c r="Y667" s="9" t="s">
        <v>353</v>
      </c>
      <c r="Z667" s="9" t="s">
        <v>71</v>
      </c>
      <c r="AA667" s="9" t="s">
        <v>61</v>
      </c>
      <c r="AC667" s="9">
        <v>6.0</v>
      </c>
      <c r="AD667" s="9">
        <v>4.0</v>
      </c>
      <c r="AE667" s="9">
        <v>3.0</v>
      </c>
      <c r="AF667" s="9">
        <v>1500.0</v>
      </c>
      <c r="AG667" s="9" t="s">
        <v>42</v>
      </c>
    </row>
    <row r="668">
      <c r="A668" s="7">
        <v>44614.0014808912</v>
      </c>
      <c r="B668" s="9" t="s">
        <v>73</v>
      </c>
      <c r="C668" s="9">
        <v>28.0</v>
      </c>
      <c r="D668" s="9" t="s">
        <v>35</v>
      </c>
      <c r="E668" s="9" t="s">
        <v>36</v>
      </c>
      <c r="F668" s="9" t="s">
        <v>604</v>
      </c>
      <c r="G668" s="9" t="s">
        <v>3282</v>
      </c>
      <c r="H668" s="9" t="s">
        <v>38</v>
      </c>
      <c r="I668" s="9" t="s">
        <v>3454</v>
      </c>
      <c r="J668" s="9" t="s">
        <v>3455</v>
      </c>
      <c r="K668" s="9" t="s">
        <v>39</v>
      </c>
      <c r="L668" s="9" t="s">
        <v>40</v>
      </c>
      <c r="M668" s="9" t="s">
        <v>40</v>
      </c>
      <c r="P668" s="9" t="s">
        <v>3456</v>
      </c>
      <c r="Q668" s="9" t="s">
        <v>3054</v>
      </c>
      <c r="R668" s="9">
        <v>5000.0</v>
      </c>
      <c r="S668" s="9">
        <v>5000.0</v>
      </c>
      <c r="U668" s="9">
        <v>14.0</v>
      </c>
      <c r="V668" s="9" t="s">
        <v>1389</v>
      </c>
      <c r="W668" s="9" t="s">
        <v>1390</v>
      </c>
      <c r="X668" s="9" t="s">
        <v>3457</v>
      </c>
      <c r="Y668" s="9" t="s">
        <v>1392</v>
      </c>
      <c r="Z668" s="9" t="s">
        <v>132</v>
      </c>
      <c r="AA668" s="9" t="s">
        <v>133</v>
      </c>
      <c r="AC668" s="9">
        <v>7.0</v>
      </c>
      <c r="AD668" s="9">
        <v>5.0</v>
      </c>
      <c r="AE668" s="9">
        <v>1.0</v>
      </c>
      <c r="AF668" s="9">
        <v>3000.0</v>
      </c>
      <c r="AG668" s="9" t="s">
        <v>3458</v>
      </c>
    </row>
    <row r="669">
      <c r="A669" s="7">
        <v>44614.03824521991</v>
      </c>
      <c r="B669" s="9" t="s">
        <v>49</v>
      </c>
      <c r="C669" s="9">
        <v>24.0</v>
      </c>
      <c r="D669" s="9" t="s">
        <v>35</v>
      </c>
      <c r="E669" s="9" t="s">
        <v>36</v>
      </c>
      <c r="F669" s="9" t="s">
        <v>124</v>
      </c>
      <c r="G669" s="9" t="s">
        <v>124</v>
      </c>
      <c r="H669" s="9" t="s">
        <v>3459</v>
      </c>
      <c r="I669" s="9" t="s">
        <v>3460</v>
      </c>
      <c r="J669" s="9" t="s">
        <v>1069</v>
      </c>
      <c r="K669" s="9" t="s">
        <v>40</v>
      </c>
      <c r="L669" s="9" t="s">
        <v>40</v>
      </c>
      <c r="M669" s="9" t="s">
        <v>40</v>
      </c>
      <c r="P669" s="9" t="s">
        <v>1018</v>
      </c>
      <c r="Q669" s="9" t="s">
        <v>42</v>
      </c>
      <c r="R669" s="9">
        <v>3500.0</v>
      </c>
      <c r="S669" s="9">
        <v>0.0</v>
      </c>
      <c r="T669" s="9">
        <v>0.0</v>
      </c>
      <c r="U669" s="9">
        <v>14.0</v>
      </c>
      <c r="V669" s="9" t="s">
        <v>1070</v>
      </c>
      <c r="W669" s="9" t="s">
        <v>1071</v>
      </c>
      <c r="X669" s="9" t="s">
        <v>124</v>
      </c>
      <c r="Y669" s="9" t="s">
        <v>59</v>
      </c>
      <c r="Z669" s="9" t="s">
        <v>132</v>
      </c>
      <c r="AA669" s="9" t="s">
        <v>91</v>
      </c>
      <c r="AC669" s="9">
        <v>9.0</v>
      </c>
      <c r="AD669" s="9">
        <v>0.0</v>
      </c>
      <c r="AE669" s="9">
        <v>1.0</v>
      </c>
      <c r="AF669" s="9">
        <v>2800.0</v>
      </c>
      <c r="AG669" s="9" t="s">
        <v>42</v>
      </c>
    </row>
    <row r="670">
      <c r="A670" s="7">
        <v>44614.06237811343</v>
      </c>
      <c r="B670" s="9" t="s">
        <v>49</v>
      </c>
      <c r="C670" s="9">
        <v>23.0</v>
      </c>
      <c r="D670" s="9" t="s">
        <v>35</v>
      </c>
      <c r="E670" s="9" t="s">
        <v>425</v>
      </c>
      <c r="F670" s="9" t="s">
        <v>426</v>
      </c>
      <c r="H670" s="9" t="s">
        <v>38</v>
      </c>
      <c r="I670" s="9" t="s">
        <v>2368</v>
      </c>
      <c r="K670" s="9" t="s">
        <v>39</v>
      </c>
      <c r="L670" s="9" t="s">
        <v>40</v>
      </c>
      <c r="M670" s="9" t="s">
        <v>40</v>
      </c>
      <c r="P670" s="9" t="s">
        <v>128</v>
      </c>
      <c r="Q670" s="9" t="s">
        <v>112</v>
      </c>
      <c r="R670" s="9">
        <v>10000.0</v>
      </c>
      <c r="S670" s="9">
        <v>0.0</v>
      </c>
      <c r="T670" s="9">
        <v>150000.0</v>
      </c>
      <c r="U670" s="9">
        <v>27.0</v>
      </c>
      <c r="V670" s="9" t="s">
        <v>2340</v>
      </c>
      <c r="W670" s="9" t="s">
        <v>2341</v>
      </c>
      <c r="X670" s="9" t="s">
        <v>2342</v>
      </c>
      <c r="Y670" s="9" t="s">
        <v>2343</v>
      </c>
      <c r="Z670" s="9" t="s">
        <v>81</v>
      </c>
      <c r="AA670" s="9" t="s">
        <v>91</v>
      </c>
      <c r="AC670" s="9">
        <v>9.0</v>
      </c>
      <c r="AD670" s="9">
        <v>0.0</v>
      </c>
      <c r="AE670" s="9" t="s">
        <v>2344</v>
      </c>
      <c r="AF670" s="9">
        <v>22000.0</v>
      </c>
      <c r="AG670" s="9" t="s">
        <v>112</v>
      </c>
    </row>
    <row r="671">
      <c r="A671" s="7">
        <v>44614.36241887731</v>
      </c>
      <c r="B671" s="9" t="s">
        <v>49</v>
      </c>
      <c r="C671" s="9">
        <v>24.0</v>
      </c>
      <c r="D671" s="9" t="s">
        <v>35</v>
      </c>
      <c r="E671" s="9" t="s">
        <v>36</v>
      </c>
      <c r="F671" s="9" t="s">
        <v>50</v>
      </c>
      <c r="G671" s="9" t="s">
        <v>180</v>
      </c>
      <c r="H671" s="9" t="s">
        <v>38</v>
      </c>
      <c r="I671" s="9" t="s">
        <v>2368</v>
      </c>
      <c r="J671" s="9" t="s">
        <v>2699</v>
      </c>
      <c r="K671" s="9" t="s">
        <v>39</v>
      </c>
      <c r="L671" s="9" t="s">
        <v>40</v>
      </c>
      <c r="M671" s="9" t="s">
        <v>40</v>
      </c>
      <c r="P671" s="9" t="s">
        <v>3461</v>
      </c>
      <c r="Q671" s="9" t="s">
        <v>42</v>
      </c>
      <c r="R671" s="9">
        <v>3000.0</v>
      </c>
      <c r="S671" s="9">
        <v>0.0</v>
      </c>
      <c r="T671" s="9">
        <v>0.0</v>
      </c>
      <c r="U671" s="9">
        <v>12.0</v>
      </c>
      <c r="V671" s="9" t="s">
        <v>269</v>
      </c>
      <c r="W671" s="9" t="s">
        <v>270</v>
      </c>
      <c r="X671" s="9" t="s">
        <v>58</v>
      </c>
      <c r="Y671" s="9" t="s">
        <v>271</v>
      </c>
      <c r="Z671" s="9" t="s">
        <v>71</v>
      </c>
      <c r="AA671" s="9" t="s">
        <v>91</v>
      </c>
      <c r="AC671" s="9">
        <v>4.0</v>
      </c>
      <c r="AD671" s="9">
        <v>0.0</v>
      </c>
      <c r="AE671" s="9">
        <v>1.0</v>
      </c>
      <c r="AF671" s="9">
        <v>1200.0</v>
      </c>
      <c r="AG671" s="9" t="s">
        <v>42</v>
      </c>
    </row>
    <row r="672">
      <c r="A672" s="7">
        <v>44614.37413917824</v>
      </c>
      <c r="B672" s="9" t="s">
        <v>49</v>
      </c>
      <c r="C672" s="9">
        <v>28.0</v>
      </c>
      <c r="D672" s="9" t="s">
        <v>35</v>
      </c>
      <c r="E672" s="9" t="s">
        <v>36</v>
      </c>
      <c r="F672" s="9" t="s">
        <v>124</v>
      </c>
      <c r="G672" s="9" t="s">
        <v>124</v>
      </c>
      <c r="H672" s="9" t="s">
        <v>247</v>
      </c>
      <c r="I672" s="9" t="s">
        <v>3462</v>
      </c>
      <c r="J672" s="9" t="s">
        <v>2406</v>
      </c>
      <c r="K672" s="9" t="s">
        <v>39</v>
      </c>
      <c r="L672" s="9" t="s">
        <v>40</v>
      </c>
      <c r="M672" s="9" t="s">
        <v>40</v>
      </c>
      <c r="P672" s="9" t="s">
        <v>128</v>
      </c>
      <c r="Q672" s="9" t="s">
        <v>42</v>
      </c>
      <c r="R672" s="9">
        <v>4000.0</v>
      </c>
      <c r="S672" s="9">
        <v>0.0</v>
      </c>
      <c r="T672" s="9">
        <v>0.0</v>
      </c>
      <c r="U672" s="9">
        <v>16.0</v>
      </c>
      <c r="V672" s="9" t="s">
        <v>1559</v>
      </c>
      <c r="W672" s="9" t="s">
        <v>1560</v>
      </c>
      <c r="X672" s="9" t="s">
        <v>122</v>
      </c>
      <c r="Y672" s="9" t="s">
        <v>89</v>
      </c>
      <c r="Z672" s="9" t="s">
        <v>60</v>
      </c>
      <c r="AA672" s="9" t="s">
        <v>61</v>
      </c>
      <c r="AC672" s="9">
        <v>6.0</v>
      </c>
      <c r="AD672" s="9">
        <v>1.0</v>
      </c>
      <c r="AE672" s="9">
        <v>2.0</v>
      </c>
      <c r="AF672" s="9">
        <v>3100.0</v>
      </c>
      <c r="AG672" s="9" t="s">
        <v>42</v>
      </c>
    </row>
    <row r="673">
      <c r="A673" s="7">
        <v>44614.42094177083</v>
      </c>
      <c r="B673" s="9" t="s">
        <v>49</v>
      </c>
      <c r="C673" s="9">
        <v>24.0</v>
      </c>
      <c r="D673" s="9" t="s">
        <v>35</v>
      </c>
      <c r="E673" s="9" t="s">
        <v>36</v>
      </c>
      <c r="F673" s="9" t="s">
        <v>50</v>
      </c>
      <c r="G673" s="9" t="s">
        <v>82</v>
      </c>
      <c r="H673" s="9" t="s">
        <v>38</v>
      </c>
      <c r="I673" s="9" t="s">
        <v>3463</v>
      </c>
      <c r="J673" s="9" t="s">
        <v>2389</v>
      </c>
      <c r="K673" s="9" t="s">
        <v>39</v>
      </c>
      <c r="L673" s="9" t="s">
        <v>40</v>
      </c>
      <c r="M673" s="9" t="s">
        <v>40</v>
      </c>
      <c r="P673" s="9" t="s">
        <v>3464</v>
      </c>
      <c r="Q673" s="9" t="s">
        <v>42</v>
      </c>
      <c r="R673" s="9">
        <v>3200.0</v>
      </c>
      <c r="S673" s="9">
        <v>0.0</v>
      </c>
      <c r="T673" s="9">
        <v>0.0</v>
      </c>
      <c r="U673" s="9">
        <v>16.0</v>
      </c>
      <c r="V673" s="9" t="s">
        <v>86</v>
      </c>
      <c r="W673" s="9" t="s">
        <v>87</v>
      </c>
      <c r="X673" s="9" t="s">
        <v>88</v>
      </c>
      <c r="Y673" s="9" t="s">
        <v>89</v>
      </c>
      <c r="Z673" s="9" t="s">
        <v>90</v>
      </c>
      <c r="AA673" s="9" t="s">
        <v>91</v>
      </c>
      <c r="AB673" s="9" t="s">
        <v>92</v>
      </c>
      <c r="AC673" s="9">
        <v>5.0</v>
      </c>
      <c r="AD673" s="9">
        <v>1.0</v>
      </c>
      <c r="AE673" s="9">
        <v>0.0</v>
      </c>
      <c r="AF673" s="9">
        <v>1.0</v>
      </c>
      <c r="AG673" s="9" t="s">
        <v>2521</v>
      </c>
    </row>
    <row r="674">
      <c r="A674" s="7">
        <v>44614.43849153935</v>
      </c>
      <c r="B674" s="9" t="s">
        <v>49</v>
      </c>
      <c r="C674" s="9">
        <v>28.0</v>
      </c>
      <c r="D674" s="9" t="s">
        <v>35</v>
      </c>
      <c r="E674" s="9" t="s">
        <v>445</v>
      </c>
      <c r="F674" s="9" t="s">
        <v>446</v>
      </c>
      <c r="G674" s="9" t="s">
        <v>446</v>
      </c>
      <c r="H674" s="9" t="s">
        <v>38</v>
      </c>
      <c r="I674" s="9" t="s">
        <v>3465</v>
      </c>
      <c r="J674" s="9" t="s">
        <v>2329</v>
      </c>
      <c r="K674" s="9" t="s">
        <v>39</v>
      </c>
      <c r="L674" s="9" t="s">
        <v>39</v>
      </c>
      <c r="M674" s="9" t="s">
        <v>40</v>
      </c>
      <c r="N674" s="9" t="s">
        <v>2353</v>
      </c>
      <c r="P674" s="9" t="s">
        <v>2354</v>
      </c>
      <c r="Q674" s="9" t="s">
        <v>449</v>
      </c>
      <c r="R674" s="9">
        <v>154000.0</v>
      </c>
      <c r="S674" s="9">
        <v>154000.0</v>
      </c>
      <c r="T674" s="9">
        <v>0.0</v>
      </c>
      <c r="U674" s="9">
        <v>18.0</v>
      </c>
      <c r="V674" s="9" t="s">
        <v>2355</v>
      </c>
      <c r="W674" s="9" t="s">
        <v>457</v>
      </c>
      <c r="X674" s="9" t="s">
        <v>820</v>
      </c>
      <c r="Y674" s="9" t="s">
        <v>59</v>
      </c>
      <c r="Z674" s="9" t="s">
        <v>60</v>
      </c>
      <c r="AA674" s="9" t="s">
        <v>91</v>
      </c>
      <c r="AC674" s="9">
        <v>9.0</v>
      </c>
      <c r="AD674" s="9">
        <v>3.0</v>
      </c>
      <c r="AE674" s="9">
        <v>1.0</v>
      </c>
      <c r="AF674" s="9">
        <v>129000.0</v>
      </c>
      <c r="AG674" s="9" t="s">
        <v>112</v>
      </c>
    </row>
    <row r="675">
      <c r="A675" s="7">
        <v>44614.49416440973</v>
      </c>
      <c r="B675" s="9" t="s">
        <v>49</v>
      </c>
      <c r="C675" s="9">
        <v>30.0</v>
      </c>
      <c r="D675" s="9" t="s">
        <v>35</v>
      </c>
      <c r="E675" s="9" t="s">
        <v>36</v>
      </c>
      <c r="F675" s="9" t="s">
        <v>99</v>
      </c>
      <c r="G675" s="9" t="s">
        <v>99</v>
      </c>
      <c r="H675" s="9" t="s">
        <v>38</v>
      </c>
      <c r="I675" s="9" t="s">
        <v>1063</v>
      </c>
      <c r="J675" s="9" t="s">
        <v>2722</v>
      </c>
      <c r="K675" s="9" t="s">
        <v>39</v>
      </c>
      <c r="L675" s="9" t="s">
        <v>40</v>
      </c>
      <c r="M675" s="9" t="s">
        <v>40</v>
      </c>
      <c r="P675" s="9" t="s">
        <v>3466</v>
      </c>
      <c r="Q675" s="9" t="s">
        <v>3054</v>
      </c>
      <c r="R675" s="9">
        <v>5000.0</v>
      </c>
      <c r="S675" s="9">
        <v>2.0</v>
      </c>
      <c r="T675" s="9">
        <v>0.0</v>
      </c>
      <c r="U675" s="9">
        <v>18.0</v>
      </c>
      <c r="V675" s="9" t="s">
        <v>1117</v>
      </c>
      <c r="W675" s="9" t="s">
        <v>1118</v>
      </c>
      <c r="X675" s="9" t="s">
        <v>139</v>
      </c>
      <c r="Y675" s="9" t="s">
        <v>1119</v>
      </c>
      <c r="Z675" s="9" t="s">
        <v>90</v>
      </c>
      <c r="AA675" s="9" t="s">
        <v>91</v>
      </c>
      <c r="AC675" s="9">
        <v>10.0</v>
      </c>
      <c r="AD675" s="9">
        <v>6.0</v>
      </c>
      <c r="AE675" s="9">
        <v>4.0</v>
      </c>
      <c r="AF675" s="9">
        <v>2800.0</v>
      </c>
      <c r="AG675" s="9" t="s">
        <v>3054</v>
      </c>
    </row>
    <row r="676">
      <c r="A676" s="7">
        <v>44614.59836888889</v>
      </c>
      <c r="B676" s="9" t="s">
        <v>73</v>
      </c>
      <c r="C676" s="9">
        <v>25.0</v>
      </c>
      <c r="D676" s="9" t="s">
        <v>35</v>
      </c>
      <c r="E676" s="9" t="s">
        <v>36</v>
      </c>
      <c r="F676" s="9" t="s">
        <v>363</v>
      </c>
      <c r="G676" s="9" t="s">
        <v>437</v>
      </c>
      <c r="H676" s="9" t="s">
        <v>38</v>
      </c>
      <c r="I676" s="9" t="s">
        <v>2368</v>
      </c>
      <c r="J676" s="9" t="s">
        <v>2472</v>
      </c>
      <c r="K676" s="9" t="s">
        <v>39</v>
      </c>
      <c r="L676" s="9" t="s">
        <v>39</v>
      </c>
      <c r="M676" s="9" t="s">
        <v>40</v>
      </c>
      <c r="N676" s="9" t="s">
        <v>1582</v>
      </c>
      <c r="P676" s="9" t="s">
        <v>769</v>
      </c>
      <c r="Q676" s="9" t="s">
        <v>42</v>
      </c>
      <c r="R676" s="9">
        <v>3300.0</v>
      </c>
      <c r="S676" s="9">
        <v>3200.0</v>
      </c>
      <c r="U676" s="9">
        <v>12.0</v>
      </c>
      <c r="V676" s="9" t="s">
        <v>1583</v>
      </c>
      <c r="W676" s="9" t="s">
        <v>1584</v>
      </c>
      <c r="X676" s="9" t="s">
        <v>363</v>
      </c>
      <c r="Y676" s="9" t="s">
        <v>155</v>
      </c>
      <c r="Z676" s="9" t="s">
        <v>60</v>
      </c>
      <c r="AA676" s="9" t="s">
        <v>61</v>
      </c>
      <c r="AC676" s="9">
        <v>7.0</v>
      </c>
      <c r="AD676" s="9" t="s">
        <v>1585</v>
      </c>
      <c r="AE676" s="9">
        <v>0.0</v>
      </c>
      <c r="AF676" s="9">
        <v>3200.0</v>
      </c>
      <c r="AG676" s="9" t="s">
        <v>42</v>
      </c>
    </row>
    <row r="677">
      <c r="A677" s="7">
        <v>44614.927507534725</v>
      </c>
      <c r="B677" s="9" t="s">
        <v>73</v>
      </c>
      <c r="C677" s="9">
        <v>24.0</v>
      </c>
      <c r="D677" s="9" t="s">
        <v>35</v>
      </c>
      <c r="E677" s="9" t="s">
        <v>36</v>
      </c>
      <c r="F677" s="9" t="s">
        <v>50</v>
      </c>
      <c r="G677" s="9" t="s">
        <v>3356</v>
      </c>
      <c r="H677" s="9" t="s">
        <v>93</v>
      </c>
      <c r="I677" s="9" t="s">
        <v>2990</v>
      </c>
      <c r="J677" s="9" t="s">
        <v>2991</v>
      </c>
      <c r="K677" s="9" t="s">
        <v>39</v>
      </c>
      <c r="L677" s="9" t="s">
        <v>40</v>
      </c>
      <c r="M677" s="9" t="s">
        <v>40</v>
      </c>
      <c r="P677" s="9" t="s">
        <v>128</v>
      </c>
      <c r="Q677" s="9" t="s">
        <v>42</v>
      </c>
      <c r="R677" s="9">
        <v>4000.0</v>
      </c>
      <c r="S677" s="9">
        <v>0.0</v>
      </c>
      <c r="T677" s="9">
        <v>0.0</v>
      </c>
      <c r="U677" s="9">
        <v>16.0</v>
      </c>
      <c r="V677" s="9" t="s">
        <v>1100</v>
      </c>
      <c r="W677" s="9" t="s">
        <v>1101</v>
      </c>
      <c r="X677" s="9" t="s">
        <v>124</v>
      </c>
      <c r="Y677" s="9" t="s">
        <v>1102</v>
      </c>
      <c r="Z677" s="9" t="s">
        <v>132</v>
      </c>
      <c r="AA677" s="9" t="s">
        <v>61</v>
      </c>
      <c r="AC677" s="9">
        <v>8.0</v>
      </c>
      <c r="AD677" s="9">
        <v>2.0</v>
      </c>
      <c r="AE677" s="9">
        <v>1.0</v>
      </c>
      <c r="AF677" s="9">
        <v>2800.0</v>
      </c>
      <c r="AG677" s="9" t="s">
        <v>42</v>
      </c>
    </row>
    <row r="678">
      <c r="A678" s="7">
        <v>44614.939306886576</v>
      </c>
      <c r="B678" s="9" t="s">
        <v>49</v>
      </c>
      <c r="C678" s="9">
        <v>23.0</v>
      </c>
      <c r="D678" s="9" t="s">
        <v>35</v>
      </c>
      <c r="E678" s="9" t="s">
        <v>36</v>
      </c>
      <c r="F678" s="9" t="s">
        <v>363</v>
      </c>
      <c r="G678" s="9" t="s">
        <v>527</v>
      </c>
      <c r="H678" s="9" t="s">
        <v>38</v>
      </c>
      <c r="I678" s="9" t="s">
        <v>3467</v>
      </c>
      <c r="J678" s="9" t="s">
        <v>2376</v>
      </c>
      <c r="K678" s="9" t="s">
        <v>39</v>
      </c>
      <c r="L678" s="9" t="s">
        <v>40</v>
      </c>
      <c r="M678" s="9" t="s">
        <v>40</v>
      </c>
      <c r="P678" s="9" t="s">
        <v>128</v>
      </c>
      <c r="Q678" s="9" t="s">
        <v>42</v>
      </c>
      <c r="R678" s="9">
        <v>3500.0</v>
      </c>
      <c r="S678" s="9">
        <v>0.0</v>
      </c>
      <c r="T678" s="9">
        <v>0.0</v>
      </c>
      <c r="U678" s="9">
        <v>14.0</v>
      </c>
      <c r="V678" s="9" t="s">
        <v>1671</v>
      </c>
      <c r="W678" s="9" t="s">
        <v>224</v>
      </c>
      <c r="X678" s="9" t="s">
        <v>79</v>
      </c>
      <c r="Y678" s="9" t="s">
        <v>80</v>
      </c>
      <c r="Z678" s="9" t="s">
        <v>60</v>
      </c>
      <c r="AA678" s="9" t="s">
        <v>61</v>
      </c>
      <c r="AC678" s="9">
        <v>7.0</v>
      </c>
      <c r="AD678" s="9">
        <v>1.0</v>
      </c>
      <c r="AE678" s="9">
        <v>0.0</v>
      </c>
      <c r="AF678" s="9">
        <v>3300.0</v>
      </c>
      <c r="AG678" s="9" t="s">
        <v>42</v>
      </c>
    </row>
    <row r="679">
      <c r="A679" s="7">
        <v>44614.94015253472</v>
      </c>
      <c r="B679" s="9" t="s">
        <v>49</v>
      </c>
      <c r="C679" s="9">
        <v>35.0</v>
      </c>
      <c r="D679" s="9" t="s">
        <v>35</v>
      </c>
      <c r="E679" s="9" t="s">
        <v>36</v>
      </c>
      <c r="F679" s="9" t="s">
        <v>124</v>
      </c>
      <c r="G679" s="9" t="s">
        <v>124</v>
      </c>
      <c r="H679" s="9" t="s">
        <v>38</v>
      </c>
      <c r="I679" s="9" t="s">
        <v>3468</v>
      </c>
      <c r="J679" s="9" t="s">
        <v>1705</v>
      </c>
      <c r="K679" s="9" t="s">
        <v>39</v>
      </c>
      <c r="L679" s="9" t="s">
        <v>40</v>
      </c>
      <c r="M679" s="9" t="s">
        <v>40</v>
      </c>
      <c r="P679" s="9" t="s">
        <v>3469</v>
      </c>
      <c r="Q679" s="9" t="s">
        <v>2934</v>
      </c>
      <c r="R679" s="9">
        <v>20000.0</v>
      </c>
      <c r="S679" s="9">
        <v>0.0</v>
      </c>
      <c r="T679" s="9">
        <v>0.0</v>
      </c>
      <c r="U679" s="9">
        <v>20.0</v>
      </c>
      <c r="V679" s="9" t="s">
        <v>1706</v>
      </c>
      <c r="W679" s="9" t="s">
        <v>1707</v>
      </c>
      <c r="X679" s="9" t="s">
        <v>225</v>
      </c>
      <c r="Y679" s="9" t="s">
        <v>97</v>
      </c>
      <c r="Z679" s="9" t="s">
        <v>81</v>
      </c>
      <c r="AA679" s="9" t="s">
        <v>91</v>
      </c>
      <c r="AC679" s="9">
        <v>8.0</v>
      </c>
      <c r="AD679" s="9">
        <v>13.0</v>
      </c>
      <c r="AE679" s="9">
        <v>3.0</v>
      </c>
      <c r="AF679" s="9">
        <v>3300.0</v>
      </c>
      <c r="AG679" s="9" t="s">
        <v>42</v>
      </c>
    </row>
    <row r="680">
      <c r="A680" s="7">
        <v>44614.94339084491</v>
      </c>
      <c r="B680" s="9" t="s">
        <v>49</v>
      </c>
      <c r="C680" s="9">
        <v>35.0</v>
      </c>
      <c r="D680" s="9" t="s">
        <v>35</v>
      </c>
      <c r="E680" s="9" t="s">
        <v>36</v>
      </c>
      <c r="F680" s="9" t="s">
        <v>50</v>
      </c>
      <c r="G680" s="9" t="s">
        <v>3470</v>
      </c>
      <c r="H680" s="9" t="s">
        <v>3090</v>
      </c>
      <c r="I680" s="9" t="s">
        <v>3471</v>
      </c>
      <c r="J680" s="9" t="s">
        <v>3472</v>
      </c>
      <c r="K680" s="9" t="s">
        <v>39</v>
      </c>
      <c r="L680" s="9" t="s">
        <v>40</v>
      </c>
      <c r="M680" s="9" t="s">
        <v>39</v>
      </c>
      <c r="O680" s="9" t="s">
        <v>3473</v>
      </c>
      <c r="P680" s="9" t="s">
        <v>2349</v>
      </c>
      <c r="Q680" s="9" t="s">
        <v>112</v>
      </c>
      <c r="R680" s="9">
        <v>25000.0</v>
      </c>
      <c r="S680" s="9" t="s">
        <v>3474</v>
      </c>
      <c r="T680" s="9">
        <v>0.0</v>
      </c>
      <c r="U680" s="9">
        <v>20.0</v>
      </c>
      <c r="V680" s="9" t="s">
        <v>2350</v>
      </c>
      <c r="W680" s="9" t="s">
        <v>2351</v>
      </c>
      <c r="X680" s="9" t="s">
        <v>139</v>
      </c>
      <c r="Y680" s="9" t="s">
        <v>197</v>
      </c>
      <c r="Z680" s="9" t="s">
        <v>90</v>
      </c>
      <c r="AA680" s="9" t="s">
        <v>61</v>
      </c>
      <c r="AC680" s="9">
        <v>9.0</v>
      </c>
      <c r="AD680" s="9">
        <v>8.0</v>
      </c>
      <c r="AE680" s="9">
        <v>6.0</v>
      </c>
      <c r="AF680" s="9">
        <v>25000.0</v>
      </c>
      <c r="AG680" s="9" t="s">
        <v>112</v>
      </c>
    </row>
    <row r="681">
      <c r="A681" s="7">
        <v>44614.95656342593</v>
      </c>
      <c r="B681" s="9" t="s">
        <v>49</v>
      </c>
      <c r="C681" s="9">
        <v>23.0</v>
      </c>
      <c r="D681" s="9" t="s">
        <v>35</v>
      </c>
      <c r="E681" s="9" t="s">
        <v>36</v>
      </c>
      <c r="F681" s="9" t="s">
        <v>50</v>
      </c>
      <c r="G681" s="9" t="s">
        <v>180</v>
      </c>
      <c r="H681" s="9" t="s">
        <v>38</v>
      </c>
      <c r="I681" s="9" t="s">
        <v>3475</v>
      </c>
      <c r="J681" s="9" t="s">
        <v>3476</v>
      </c>
      <c r="K681" s="9" t="s">
        <v>39</v>
      </c>
      <c r="L681" s="9" t="s">
        <v>40</v>
      </c>
      <c r="M681" s="9" t="s">
        <v>40</v>
      </c>
      <c r="P681" s="9" t="s">
        <v>128</v>
      </c>
      <c r="Q681" s="9" t="s">
        <v>42</v>
      </c>
      <c r="R681" s="9">
        <v>3100.0</v>
      </c>
      <c r="S681" s="9">
        <v>0.0</v>
      </c>
      <c r="T681" s="9">
        <v>0.0</v>
      </c>
      <c r="U681" s="9">
        <v>18.0</v>
      </c>
      <c r="V681" s="9" t="s">
        <v>1561</v>
      </c>
      <c r="W681" s="9" t="s">
        <v>1562</v>
      </c>
      <c r="X681" s="9" t="s">
        <v>1453</v>
      </c>
      <c r="Y681" s="9" t="s">
        <v>3477</v>
      </c>
      <c r="Z681" s="9" t="s">
        <v>47</v>
      </c>
      <c r="AA681" s="9" t="s">
        <v>61</v>
      </c>
      <c r="AB681" s="9" t="s">
        <v>1563</v>
      </c>
      <c r="AC681" s="9">
        <v>7.0</v>
      </c>
      <c r="AD681" s="9">
        <v>1.0</v>
      </c>
      <c r="AE681" s="9">
        <v>0.0</v>
      </c>
      <c r="AF681" s="9">
        <v>3100.0</v>
      </c>
      <c r="AG681" s="9" t="s">
        <v>42</v>
      </c>
    </row>
    <row r="682">
      <c r="A682" s="7">
        <v>44614.95810403935</v>
      </c>
      <c r="B682" s="9" t="s">
        <v>49</v>
      </c>
      <c r="C682" s="9">
        <v>26.0</v>
      </c>
      <c r="D682" s="9" t="s">
        <v>35</v>
      </c>
      <c r="E682" s="9" t="s">
        <v>246</v>
      </c>
      <c r="H682" s="9" t="s">
        <v>38</v>
      </c>
      <c r="I682" s="9" t="s">
        <v>2565</v>
      </c>
      <c r="J682" s="9" t="s">
        <v>2089</v>
      </c>
      <c r="K682" s="9" t="s">
        <v>39</v>
      </c>
      <c r="L682" s="9" t="s">
        <v>40</v>
      </c>
      <c r="M682" s="9" t="s">
        <v>40</v>
      </c>
      <c r="P682" s="9" t="s">
        <v>128</v>
      </c>
      <c r="Q682" s="9" t="s">
        <v>250</v>
      </c>
      <c r="R682" s="9">
        <v>8700.0</v>
      </c>
      <c r="S682" s="9">
        <v>20000.0</v>
      </c>
      <c r="T682" s="9">
        <v>50000.0</v>
      </c>
      <c r="U682" s="9">
        <v>19.0</v>
      </c>
      <c r="V682" s="9" t="s">
        <v>2090</v>
      </c>
      <c r="W682" s="9" t="s">
        <v>2091</v>
      </c>
      <c r="X682" s="9" t="s">
        <v>246</v>
      </c>
      <c r="Y682" s="9" t="s">
        <v>297</v>
      </c>
      <c r="Z682" s="9" t="s">
        <v>81</v>
      </c>
      <c r="AA682" s="9" t="s">
        <v>91</v>
      </c>
      <c r="AC682" s="9">
        <v>8.0</v>
      </c>
      <c r="AD682" s="9">
        <v>2.0</v>
      </c>
      <c r="AE682" s="9">
        <v>1.0</v>
      </c>
      <c r="AF682" s="9">
        <v>4300.0</v>
      </c>
      <c r="AG682" s="9" t="s">
        <v>250</v>
      </c>
    </row>
    <row r="683">
      <c r="A683" s="7">
        <v>44614.97642665509</v>
      </c>
      <c r="B683" s="9" t="s">
        <v>49</v>
      </c>
      <c r="C683" s="9">
        <v>27.0</v>
      </c>
      <c r="D683" s="9" t="s">
        <v>35</v>
      </c>
      <c r="E683" s="9" t="s">
        <v>36</v>
      </c>
      <c r="F683" s="9" t="s">
        <v>50</v>
      </c>
      <c r="G683" s="9" t="s">
        <v>106</v>
      </c>
      <c r="H683" s="9" t="s">
        <v>38</v>
      </c>
      <c r="I683" s="9" t="s">
        <v>2442</v>
      </c>
      <c r="J683" s="9" t="s">
        <v>2444</v>
      </c>
      <c r="K683" s="9" t="s">
        <v>39</v>
      </c>
      <c r="L683" s="9" t="s">
        <v>40</v>
      </c>
      <c r="M683" s="9" t="s">
        <v>40</v>
      </c>
      <c r="P683" s="9" t="s">
        <v>548</v>
      </c>
      <c r="Q683" s="9" t="s">
        <v>42</v>
      </c>
      <c r="R683" s="9">
        <v>3000.0</v>
      </c>
      <c r="S683" s="9">
        <v>0.0</v>
      </c>
      <c r="T683" s="9">
        <v>0.0</v>
      </c>
      <c r="U683" s="9">
        <v>11.0</v>
      </c>
      <c r="V683" s="9" t="s">
        <v>393</v>
      </c>
      <c r="W683" s="9" t="s">
        <v>549</v>
      </c>
      <c r="X683" s="9" t="s">
        <v>550</v>
      </c>
      <c r="Y683" s="9" t="s">
        <v>155</v>
      </c>
      <c r="Z683" s="9" t="s">
        <v>81</v>
      </c>
      <c r="AA683" s="9" t="s">
        <v>61</v>
      </c>
      <c r="AC683" s="9">
        <v>3.0</v>
      </c>
      <c r="AD683" s="9">
        <v>3.0</v>
      </c>
      <c r="AE683" s="9">
        <v>3.0</v>
      </c>
      <c r="AF683" s="9">
        <v>2000.0</v>
      </c>
      <c r="AG683" s="9" t="s">
        <v>42</v>
      </c>
    </row>
    <row r="684">
      <c r="A684" s="7">
        <v>44615.040543807874</v>
      </c>
      <c r="B684" s="9" t="s">
        <v>73</v>
      </c>
      <c r="C684" s="9">
        <v>31.0</v>
      </c>
      <c r="D684" s="9" t="s">
        <v>35</v>
      </c>
      <c r="E684" s="9" t="s">
        <v>36</v>
      </c>
      <c r="F684" s="9" t="s">
        <v>171</v>
      </c>
      <c r="G684" s="9" t="s">
        <v>171</v>
      </c>
      <c r="H684" s="9" t="s">
        <v>38</v>
      </c>
      <c r="I684" s="9" t="s">
        <v>3478</v>
      </c>
      <c r="J684" s="9" t="s">
        <v>1299</v>
      </c>
      <c r="K684" s="9" t="s">
        <v>40</v>
      </c>
      <c r="L684" s="9" t="s">
        <v>39</v>
      </c>
      <c r="M684" s="9" t="s">
        <v>40</v>
      </c>
      <c r="N684" s="9" t="s">
        <v>3479</v>
      </c>
      <c r="P684" s="9" t="s">
        <v>3480</v>
      </c>
      <c r="Q684" s="9" t="s">
        <v>42</v>
      </c>
      <c r="R684" s="9">
        <v>13000.0</v>
      </c>
      <c r="S684" s="9" t="s">
        <v>3481</v>
      </c>
      <c r="U684" s="9">
        <v>14.0</v>
      </c>
      <c r="V684" s="9" t="s">
        <v>1301</v>
      </c>
      <c r="W684" s="9" t="s">
        <v>78</v>
      </c>
      <c r="X684" s="9" t="s">
        <v>36</v>
      </c>
      <c r="Y684" s="9" t="s">
        <v>155</v>
      </c>
      <c r="Z684" s="9" t="s">
        <v>81</v>
      </c>
      <c r="AA684" s="9" t="s">
        <v>91</v>
      </c>
      <c r="AC684" s="9">
        <v>10.0</v>
      </c>
      <c r="AD684" s="9">
        <v>4.0</v>
      </c>
      <c r="AE684" s="9">
        <v>3.0</v>
      </c>
      <c r="AF684" s="9">
        <v>3000.0</v>
      </c>
      <c r="AG684" s="9" t="s">
        <v>42</v>
      </c>
    </row>
    <row r="685">
      <c r="A685" s="7">
        <v>44615.16998730324</v>
      </c>
      <c r="B685" s="9" t="s">
        <v>49</v>
      </c>
      <c r="C685" s="9">
        <v>26.0</v>
      </c>
      <c r="D685" s="9" t="s">
        <v>35</v>
      </c>
      <c r="E685" s="9" t="s">
        <v>36</v>
      </c>
      <c r="F685" s="9" t="s">
        <v>617</v>
      </c>
      <c r="G685" s="9" t="s">
        <v>621</v>
      </c>
      <c r="H685" s="9" t="s">
        <v>118</v>
      </c>
      <c r="K685" s="9" t="s">
        <v>890</v>
      </c>
      <c r="L685" s="9" t="s">
        <v>40</v>
      </c>
      <c r="M685" s="9" t="s">
        <v>40</v>
      </c>
      <c r="P685" s="9" t="s">
        <v>746</v>
      </c>
      <c r="Q685" s="9" t="s">
        <v>42</v>
      </c>
      <c r="R685" s="9">
        <v>10000.0</v>
      </c>
      <c r="S685" s="9">
        <v>0.0</v>
      </c>
      <c r="T685" s="9">
        <v>0.0</v>
      </c>
      <c r="U685" s="9">
        <v>21.0</v>
      </c>
      <c r="V685" s="9" t="s">
        <v>2281</v>
      </c>
      <c r="W685" s="9" t="s">
        <v>2282</v>
      </c>
      <c r="X685" s="9" t="s">
        <v>2283</v>
      </c>
      <c r="Y685" s="9" t="s">
        <v>268</v>
      </c>
      <c r="Z685" s="9" t="s">
        <v>132</v>
      </c>
      <c r="AA685" s="9" t="s">
        <v>91</v>
      </c>
      <c r="AB685" s="9" t="s">
        <v>2277</v>
      </c>
      <c r="AC685" s="9">
        <v>10.0</v>
      </c>
      <c r="AD685" s="9">
        <v>2.0</v>
      </c>
      <c r="AE685" s="9">
        <v>5.0</v>
      </c>
      <c r="AF685" s="9">
        <v>8500.0</v>
      </c>
      <c r="AG685" s="9" t="s">
        <v>42</v>
      </c>
    </row>
    <row r="686">
      <c r="A686" s="7">
        <v>44615.339176423615</v>
      </c>
      <c r="B686" s="9" t="s">
        <v>49</v>
      </c>
      <c r="C686" s="9">
        <v>23.0</v>
      </c>
      <c r="D686" s="9" t="s">
        <v>35</v>
      </c>
      <c r="E686" s="9" t="s">
        <v>36</v>
      </c>
      <c r="F686" s="9" t="s">
        <v>363</v>
      </c>
      <c r="G686" s="9" t="s">
        <v>363</v>
      </c>
      <c r="H686" s="9" t="s">
        <v>38</v>
      </c>
      <c r="I686" s="9" t="s">
        <v>3482</v>
      </c>
      <c r="J686" s="9" t="s">
        <v>84</v>
      </c>
      <c r="K686" s="9" t="s">
        <v>39</v>
      </c>
      <c r="L686" s="9" t="s">
        <v>40</v>
      </c>
      <c r="M686" s="9" t="s">
        <v>39</v>
      </c>
      <c r="O686" s="9" t="s">
        <v>398</v>
      </c>
      <c r="P686" s="9" t="s">
        <v>3483</v>
      </c>
      <c r="Q686" s="9" t="s">
        <v>42</v>
      </c>
      <c r="R686" s="9">
        <v>3600.0</v>
      </c>
      <c r="S686" s="9" t="s">
        <v>3484</v>
      </c>
      <c r="T686" s="9">
        <v>0.0</v>
      </c>
      <c r="U686" s="9">
        <v>14.0</v>
      </c>
      <c r="V686" s="9" t="s">
        <v>1590</v>
      </c>
      <c r="W686" s="9" t="s">
        <v>1591</v>
      </c>
      <c r="X686" s="9" t="s">
        <v>79</v>
      </c>
      <c r="Y686" s="9" t="s">
        <v>80</v>
      </c>
      <c r="Z686" s="9" t="s">
        <v>90</v>
      </c>
      <c r="AA686" s="9" t="s">
        <v>61</v>
      </c>
      <c r="AB686" s="9" t="s">
        <v>1592</v>
      </c>
      <c r="AC686" s="9">
        <v>9.0</v>
      </c>
      <c r="AD686" s="9">
        <v>1.0</v>
      </c>
      <c r="AE686" s="9">
        <v>1.0</v>
      </c>
      <c r="AF686" s="9">
        <v>3200.0</v>
      </c>
      <c r="AG686" s="9" t="s">
        <v>42</v>
      </c>
    </row>
    <row r="687">
      <c r="A687" s="7">
        <v>44615.382196562496</v>
      </c>
      <c r="B687" s="9" t="s">
        <v>49</v>
      </c>
      <c r="C687" s="9">
        <v>25.0</v>
      </c>
      <c r="D687" s="9" t="s">
        <v>35</v>
      </c>
      <c r="E687" s="9" t="s">
        <v>36</v>
      </c>
      <c r="F687" s="9" t="s">
        <v>164</v>
      </c>
      <c r="G687" s="9" t="s">
        <v>767</v>
      </c>
      <c r="H687" s="9" t="s">
        <v>38</v>
      </c>
      <c r="I687" s="9" t="s">
        <v>3485</v>
      </c>
      <c r="J687" s="9" t="s">
        <v>3486</v>
      </c>
      <c r="K687" s="9" t="s">
        <v>39</v>
      </c>
      <c r="L687" s="9" t="s">
        <v>40</v>
      </c>
      <c r="M687" s="9" t="s">
        <v>39</v>
      </c>
      <c r="O687" s="9" t="s">
        <v>768</v>
      </c>
      <c r="P687" s="9" t="s">
        <v>3487</v>
      </c>
      <c r="Q687" s="9" t="s">
        <v>2934</v>
      </c>
      <c r="R687" s="9">
        <v>3000.0</v>
      </c>
      <c r="S687" s="9">
        <v>0.0</v>
      </c>
      <c r="T687" s="9">
        <v>0.0</v>
      </c>
      <c r="U687" s="9">
        <v>14.0</v>
      </c>
      <c r="V687" s="9" t="s">
        <v>770</v>
      </c>
      <c r="W687" s="9" t="s">
        <v>771</v>
      </c>
      <c r="X687" s="9" t="s">
        <v>180</v>
      </c>
      <c r="Y687" s="9" t="s">
        <v>80</v>
      </c>
      <c r="Z687" s="9" t="s">
        <v>71</v>
      </c>
      <c r="AA687" s="9" t="s">
        <v>91</v>
      </c>
      <c r="AC687" s="9">
        <v>7.0</v>
      </c>
      <c r="AD687" s="9" t="s">
        <v>772</v>
      </c>
      <c r="AE687" s="9">
        <v>1.0</v>
      </c>
      <c r="AF687" s="9">
        <v>2500.0</v>
      </c>
      <c r="AG687" s="9" t="s">
        <v>2934</v>
      </c>
    </row>
    <row r="688">
      <c r="A688" s="7">
        <v>44615.67867890046</v>
      </c>
      <c r="B688" s="9" t="s">
        <v>73</v>
      </c>
      <c r="C688" s="9">
        <v>27.0</v>
      </c>
      <c r="D688" s="9" t="s">
        <v>35</v>
      </c>
      <c r="E688" s="9" t="s">
        <v>36</v>
      </c>
      <c r="F688" s="9" t="s">
        <v>3488</v>
      </c>
      <c r="G688" s="9" t="s">
        <v>124</v>
      </c>
      <c r="H688" s="9" t="s">
        <v>38</v>
      </c>
      <c r="I688" s="9" t="s">
        <v>3489</v>
      </c>
      <c r="J688" s="9" t="s">
        <v>84</v>
      </c>
      <c r="K688" s="9" t="s">
        <v>39</v>
      </c>
      <c r="L688" s="9" t="s">
        <v>40</v>
      </c>
      <c r="M688" s="9" t="s">
        <v>40</v>
      </c>
      <c r="P688" s="9" t="s">
        <v>312</v>
      </c>
      <c r="Q688" s="9" t="s">
        <v>42</v>
      </c>
      <c r="R688" s="9">
        <v>4600.0</v>
      </c>
      <c r="S688" s="9">
        <v>0.0</v>
      </c>
      <c r="T688" s="9">
        <v>0.0</v>
      </c>
      <c r="U688" s="9">
        <v>15.0</v>
      </c>
      <c r="V688" s="9" t="s">
        <v>1309</v>
      </c>
      <c r="W688" s="9" t="s">
        <v>1310</v>
      </c>
      <c r="X688" s="9" t="s">
        <v>122</v>
      </c>
      <c r="Y688" s="9" t="s">
        <v>350</v>
      </c>
      <c r="Z688" s="9" t="s">
        <v>132</v>
      </c>
      <c r="AA688" s="9" t="s">
        <v>91</v>
      </c>
      <c r="AC688" s="9">
        <v>7.0</v>
      </c>
      <c r="AD688" s="9">
        <v>2.5</v>
      </c>
      <c r="AE688" s="9">
        <v>0.0</v>
      </c>
      <c r="AF688" s="9">
        <v>3000.0</v>
      </c>
      <c r="AG688" s="9" t="s">
        <v>42</v>
      </c>
    </row>
    <row r="689">
      <c r="A689" s="7">
        <v>44615.7535041088</v>
      </c>
      <c r="B689" s="9" t="s">
        <v>49</v>
      </c>
      <c r="C689" s="9">
        <v>29.0</v>
      </c>
      <c r="D689" s="9" t="s">
        <v>35</v>
      </c>
      <c r="E689" s="9" t="s">
        <v>36</v>
      </c>
      <c r="F689" s="9" t="s">
        <v>50</v>
      </c>
      <c r="G689" s="9" t="s">
        <v>82</v>
      </c>
      <c r="H689" s="9" t="s">
        <v>38</v>
      </c>
      <c r="I689" s="9" t="s">
        <v>2467</v>
      </c>
      <c r="J689" s="9" t="s">
        <v>2376</v>
      </c>
      <c r="K689" s="9" t="s">
        <v>39</v>
      </c>
      <c r="L689" s="9" t="s">
        <v>40</v>
      </c>
      <c r="M689" s="9" t="s">
        <v>40</v>
      </c>
      <c r="P689" s="9" t="s">
        <v>2858</v>
      </c>
      <c r="Q689" s="9" t="s">
        <v>42</v>
      </c>
      <c r="R689" s="9">
        <v>5100.0</v>
      </c>
      <c r="S689" s="9">
        <v>6900.0</v>
      </c>
      <c r="U689" s="9">
        <v>18.0</v>
      </c>
      <c r="V689" s="9" t="s">
        <v>965</v>
      </c>
      <c r="W689" s="9" t="s">
        <v>966</v>
      </c>
      <c r="X689" s="9" t="s">
        <v>122</v>
      </c>
      <c r="Y689" s="9" t="s">
        <v>59</v>
      </c>
      <c r="Z689" s="9" t="s">
        <v>71</v>
      </c>
      <c r="AA689" s="9" t="s">
        <v>61</v>
      </c>
      <c r="AC689" s="9">
        <v>7.0</v>
      </c>
      <c r="AD689" s="9" t="s">
        <v>967</v>
      </c>
      <c r="AE689" s="9">
        <v>0.0</v>
      </c>
      <c r="AF689" s="9">
        <v>2600.0</v>
      </c>
      <c r="AG689" s="9" t="s">
        <v>42</v>
      </c>
    </row>
    <row r="690">
      <c r="A690" s="7">
        <v>44616.621218252316</v>
      </c>
      <c r="B690" s="9" t="s">
        <v>49</v>
      </c>
      <c r="C690" s="9">
        <v>30.0</v>
      </c>
      <c r="D690" s="9" t="s">
        <v>35</v>
      </c>
      <c r="E690" s="9" t="s">
        <v>36</v>
      </c>
      <c r="F690" s="9" t="s">
        <v>2544</v>
      </c>
      <c r="G690" s="9" t="s">
        <v>2544</v>
      </c>
      <c r="H690" s="9" t="s">
        <v>247</v>
      </c>
      <c r="I690" s="9" t="s">
        <v>3490</v>
      </c>
      <c r="J690" s="9" t="s">
        <v>2012</v>
      </c>
      <c r="K690" s="9" t="s">
        <v>39</v>
      </c>
      <c r="L690" s="9" t="s">
        <v>40</v>
      </c>
      <c r="M690" s="9" t="s">
        <v>40</v>
      </c>
      <c r="P690" s="9" t="s">
        <v>2013</v>
      </c>
      <c r="Q690" s="9" t="s">
        <v>42</v>
      </c>
      <c r="R690" s="9">
        <v>6800.0</v>
      </c>
      <c r="S690" s="9">
        <v>0.0</v>
      </c>
      <c r="T690" s="9">
        <v>0.0</v>
      </c>
      <c r="U690" s="9">
        <v>18.0</v>
      </c>
      <c r="V690" s="9" t="s">
        <v>2014</v>
      </c>
      <c r="W690" s="9" t="s">
        <v>2015</v>
      </c>
      <c r="X690" s="9" t="s">
        <v>2544</v>
      </c>
      <c r="Y690" s="9" t="s">
        <v>2016</v>
      </c>
      <c r="Z690" s="9" t="s">
        <v>81</v>
      </c>
      <c r="AA690" s="9" t="s">
        <v>61</v>
      </c>
      <c r="AB690" s="9" t="s">
        <v>2017</v>
      </c>
      <c r="AC690" s="9">
        <v>3.0</v>
      </c>
      <c r="AD690" s="9">
        <v>6.0</v>
      </c>
      <c r="AE690" s="9">
        <v>3.0</v>
      </c>
      <c r="AF690" s="9">
        <v>4000.0</v>
      </c>
      <c r="AG690" s="9" t="s">
        <v>3054</v>
      </c>
    </row>
    <row r="691">
      <c r="A691" s="7">
        <v>44616.8631934375</v>
      </c>
      <c r="B691" s="9" t="s">
        <v>49</v>
      </c>
      <c r="C691" s="9">
        <v>39.0</v>
      </c>
      <c r="D691" s="9" t="s">
        <v>35</v>
      </c>
      <c r="E691" s="9" t="s">
        <v>36</v>
      </c>
      <c r="F691" s="9" t="s">
        <v>50</v>
      </c>
      <c r="G691" s="9" t="s">
        <v>180</v>
      </c>
      <c r="H691" s="9" t="s">
        <v>38</v>
      </c>
      <c r="I691" s="9" t="s">
        <v>2978</v>
      </c>
      <c r="K691" s="9" t="s">
        <v>39</v>
      </c>
      <c r="L691" s="9" t="s">
        <v>40</v>
      </c>
      <c r="M691" s="9" t="s">
        <v>40</v>
      </c>
      <c r="P691" s="9" t="s">
        <v>2438</v>
      </c>
      <c r="Q691" s="9" t="s">
        <v>112</v>
      </c>
      <c r="R691" s="9">
        <v>7000.0</v>
      </c>
      <c r="S691" s="9">
        <v>0.0</v>
      </c>
      <c r="T691" s="9">
        <v>0.0</v>
      </c>
      <c r="U691" s="9">
        <v>25.0</v>
      </c>
      <c r="V691" s="9" t="s">
        <v>471</v>
      </c>
      <c r="W691" s="9" t="s">
        <v>44</v>
      </c>
      <c r="X691" s="9" t="s">
        <v>139</v>
      </c>
      <c r="Y691" s="9" t="s">
        <v>472</v>
      </c>
      <c r="Z691" s="9" t="s">
        <v>47</v>
      </c>
      <c r="AA691" s="9" t="s">
        <v>61</v>
      </c>
      <c r="AC691" s="9">
        <v>10.0</v>
      </c>
      <c r="AD691" s="9">
        <v>17.0</v>
      </c>
      <c r="AE691" s="9">
        <v>8.0</v>
      </c>
      <c r="AF691" s="9">
        <v>1800.0</v>
      </c>
      <c r="AG691" s="9" t="s">
        <v>42</v>
      </c>
    </row>
    <row r="692">
      <c r="A692" s="7">
        <v>44617.84403482639</v>
      </c>
      <c r="B692" s="9" t="s">
        <v>49</v>
      </c>
      <c r="C692" s="9">
        <v>31.0</v>
      </c>
      <c r="D692" s="9" t="s">
        <v>35</v>
      </c>
      <c r="E692" s="9" t="s">
        <v>36</v>
      </c>
      <c r="F692" s="9" t="s">
        <v>50</v>
      </c>
      <c r="G692" s="9" t="s">
        <v>3491</v>
      </c>
      <c r="H692" s="9" t="s">
        <v>247</v>
      </c>
      <c r="I692" s="9" t="s">
        <v>3492</v>
      </c>
      <c r="J692" s="9" t="s">
        <v>2381</v>
      </c>
      <c r="K692" s="9" t="s">
        <v>40</v>
      </c>
      <c r="L692" s="9" t="s">
        <v>40</v>
      </c>
      <c r="M692" s="9" t="s">
        <v>40</v>
      </c>
      <c r="P692" s="9" t="s">
        <v>584</v>
      </c>
      <c r="Q692" s="9" t="s">
        <v>42</v>
      </c>
      <c r="R692" s="9">
        <v>7700.0</v>
      </c>
      <c r="S692" s="9" t="s">
        <v>3493</v>
      </c>
      <c r="U692" s="9">
        <v>24.0</v>
      </c>
      <c r="V692" s="9" t="s">
        <v>2030</v>
      </c>
      <c r="W692" s="9" t="s">
        <v>2031</v>
      </c>
      <c r="X692" s="9" t="s">
        <v>122</v>
      </c>
      <c r="Y692" s="9" t="s">
        <v>59</v>
      </c>
      <c r="Z692" s="9" t="s">
        <v>81</v>
      </c>
      <c r="AA692" s="9" t="s">
        <v>133</v>
      </c>
      <c r="AC692" s="9">
        <v>8.0</v>
      </c>
      <c r="AD692" s="9">
        <v>7.0</v>
      </c>
      <c r="AE692" s="9">
        <v>2.0</v>
      </c>
      <c r="AF692" s="9">
        <v>4000.0</v>
      </c>
      <c r="AG692" s="9" t="s">
        <v>42</v>
      </c>
    </row>
    <row r="693">
      <c r="A693" s="7">
        <v>44618.0299028125</v>
      </c>
      <c r="B693" s="9" t="s">
        <v>49</v>
      </c>
      <c r="C693" s="9">
        <v>24.0</v>
      </c>
      <c r="D693" s="9" t="s">
        <v>35</v>
      </c>
      <c r="E693" s="9" t="s">
        <v>36</v>
      </c>
      <c r="F693" s="9" t="s">
        <v>2649</v>
      </c>
      <c r="G693" s="9" t="s">
        <v>124</v>
      </c>
      <c r="H693" s="9" t="s">
        <v>38</v>
      </c>
      <c r="I693" s="9" t="s">
        <v>3494</v>
      </c>
      <c r="J693" s="9" t="s">
        <v>723</v>
      </c>
      <c r="K693" s="9" t="s">
        <v>40</v>
      </c>
      <c r="L693" s="9" t="s">
        <v>39</v>
      </c>
      <c r="M693" s="9" t="s">
        <v>40</v>
      </c>
      <c r="N693" s="9" t="s">
        <v>1203</v>
      </c>
      <c r="P693" s="9" t="s">
        <v>128</v>
      </c>
      <c r="Q693" s="9" t="s">
        <v>42</v>
      </c>
      <c r="R693" s="9">
        <v>3200.0</v>
      </c>
      <c r="S693" s="9">
        <v>0.0</v>
      </c>
      <c r="T693" s="9">
        <v>0.0</v>
      </c>
      <c r="U693" s="9">
        <v>14.0</v>
      </c>
      <c r="V693" s="9" t="s">
        <v>1204</v>
      </c>
      <c r="W693" s="9" t="s">
        <v>72</v>
      </c>
      <c r="X693" s="9" t="s">
        <v>340</v>
      </c>
      <c r="Y693" s="9" t="s">
        <v>59</v>
      </c>
      <c r="Z693" s="9" t="s">
        <v>60</v>
      </c>
      <c r="AA693" s="9" t="s">
        <v>61</v>
      </c>
      <c r="AC693" s="9">
        <v>9.0</v>
      </c>
      <c r="AD693" s="9">
        <v>0.0</v>
      </c>
      <c r="AE693" s="9">
        <v>0.0</v>
      </c>
      <c r="AF693" s="9">
        <v>2900.0</v>
      </c>
      <c r="AG693" s="9" t="s">
        <v>42</v>
      </c>
    </row>
    <row r="694">
      <c r="A694" s="7">
        <v>44618.72294237268</v>
      </c>
      <c r="B694" s="9" t="s">
        <v>49</v>
      </c>
      <c r="C694" s="9">
        <v>22.0</v>
      </c>
      <c r="D694" s="9" t="s">
        <v>35</v>
      </c>
      <c r="E694" s="9" t="s">
        <v>36</v>
      </c>
      <c r="F694" s="9" t="s">
        <v>50</v>
      </c>
      <c r="G694" s="9" t="s">
        <v>180</v>
      </c>
      <c r="H694" s="9" t="s">
        <v>38</v>
      </c>
      <c r="I694" s="9" t="s">
        <v>2368</v>
      </c>
      <c r="J694" s="9" t="s">
        <v>229</v>
      </c>
      <c r="K694" s="9" t="s">
        <v>39</v>
      </c>
      <c r="L694" s="9" t="s">
        <v>40</v>
      </c>
      <c r="M694" s="9" t="s">
        <v>40</v>
      </c>
      <c r="P694" s="9" t="s">
        <v>3495</v>
      </c>
      <c r="Q694" s="9" t="s">
        <v>42</v>
      </c>
      <c r="R694" s="9">
        <v>4500.0</v>
      </c>
      <c r="U694" s="9">
        <v>20.0</v>
      </c>
      <c r="V694" s="9" t="s">
        <v>230</v>
      </c>
      <c r="W694" s="9" t="s">
        <v>231</v>
      </c>
      <c r="X694" s="9" t="s">
        <v>122</v>
      </c>
      <c r="Y694" s="9" t="s">
        <v>232</v>
      </c>
      <c r="Z694" s="9" t="s">
        <v>71</v>
      </c>
      <c r="AA694" s="9" t="s">
        <v>61</v>
      </c>
      <c r="AB694" s="9" t="s">
        <v>233</v>
      </c>
      <c r="AC694" s="9">
        <v>9.0</v>
      </c>
      <c r="AD694" s="9">
        <v>0.5</v>
      </c>
      <c r="AE694" s="9">
        <v>1.0</v>
      </c>
      <c r="AF694" s="9">
        <v>1000.0</v>
      </c>
      <c r="AG694" s="9" t="s">
        <v>42</v>
      </c>
    </row>
    <row r="695">
      <c r="A695" s="7">
        <v>44618.753236296296</v>
      </c>
      <c r="B695" s="9" t="s">
        <v>49</v>
      </c>
      <c r="C695" s="9">
        <v>25.0</v>
      </c>
      <c r="D695" s="9" t="s">
        <v>35</v>
      </c>
      <c r="E695" s="9" t="s">
        <v>36</v>
      </c>
      <c r="F695" s="9" t="s">
        <v>363</v>
      </c>
      <c r="G695" s="9" t="s">
        <v>363</v>
      </c>
      <c r="H695" s="9" t="s">
        <v>38</v>
      </c>
      <c r="I695" s="9" t="s">
        <v>326</v>
      </c>
      <c r="J695" s="9" t="s">
        <v>3496</v>
      </c>
      <c r="K695" s="9" t="s">
        <v>39</v>
      </c>
      <c r="L695" s="9" t="s">
        <v>40</v>
      </c>
      <c r="M695" s="9" t="s">
        <v>40</v>
      </c>
      <c r="P695" s="9" t="s">
        <v>1699</v>
      </c>
      <c r="Q695" s="9" t="s">
        <v>42</v>
      </c>
      <c r="R695" s="9">
        <v>4400.0</v>
      </c>
      <c r="S695" s="9">
        <v>8000.0</v>
      </c>
      <c r="T695" s="9">
        <v>0.0</v>
      </c>
      <c r="U695" s="9">
        <v>15.0</v>
      </c>
      <c r="V695" s="9" t="s">
        <v>1700</v>
      </c>
      <c r="W695" s="9" t="s">
        <v>809</v>
      </c>
      <c r="X695" s="9" t="s">
        <v>363</v>
      </c>
      <c r="Y695" s="9" t="s">
        <v>80</v>
      </c>
      <c r="Z695" s="9" t="s">
        <v>81</v>
      </c>
      <c r="AA695" s="9" t="s">
        <v>91</v>
      </c>
      <c r="AC695" s="9">
        <v>8.0</v>
      </c>
      <c r="AD695" s="9">
        <v>1.0</v>
      </c>
      <c r="AE695" s="9">
        <v>0.0</v>
      </c>
      <c r="AF695" s="9">
        <v>3300.0</v>
      </c>
      <c r="AG695" s="9" t="s">
        <v>42</v>
      </c>
    </row>
    <row r="696">
      <c r="A696" s="7">
        <v>44618.98900100694</v>
      </c>
      <c r="B696" s="9" t="s">
        <v>49</v>
      </c>
      <c r="C696" s="9">
        <v>24.0</v>
      </c>
      <c r="D696" s="9" t="s">
        <v>35</v>
      </c>
      <c r="E696" s="9" t="s">
        <v>36</v>
      </c>
      <c r="F696" s="9" t="s">
        <v>50</v>
      </c>
      <c r="G696" s="9" t="s">
        <v>180</v>
      </c>
      <c r="H696" s="9" t="s">
        <v>38</v>
      </c>
      <c r="I696" s="9" t="s">
        <v>3497</v>
      </c>
      <c r="J696" s="9" t="s">
        <v>2627</v>
      </c>
      <c r="K696" s="9" t="s">
        <v>39</v>
      </c>
      <c r="L696" s="9" t="s">
        <v>40</v>
      </c>
      <c r="M696" s="9" t="s">
        <v>40</v>
      </c>
      <c r="P696" s="9" t="s">
        <v>146</v>
      </c>
      <c r="Q696" s="9" t="s">
        <v>42</v>
      </c>
      <c r="R696" s="9">
        <v>3300.0</v>
      </c>
      <c r="S696" s="9">
        <v>1000.0</v>
      </c>
      <c r="T696" s="9">
        <v>0.0</v>
      </c>
      <c r="U696" s="9">
        <v>7.0</v>
      </c>
      <c r="V696" s="9" t="s">
        <v>223</v>
      </c>
      <c r="W696" s="9" t="s">
        <v>1240</v>
      </c>
      <c r="X696" s="9" t="s">
        <v>180</v>
      </c>
      <c r="Y696" s="9" t="s">
        <v>89</v>
      </c>
      <c r="Z696" s="9" t="s">
        <v>71</v>
      </c>
      <c r="AA696" s="9" t="s">
        <v>61</v>
      </c>
      <c r="AC696" s="9">
        <v>7.0</v>
      </c>
      <c r="AD696" s="9">
        <v>2.0</v>
      </c>
      <c r="AE696" s="9">
        <v>1.0</v>
      </c>
      <c r="AF696" s="9">
        <v>3000.0</v>
      </c>
      <c r="AG696" s="9" t="s">
        <v>42</v>
      </c>
    </row>
    <row r="697">
      <c r="A697" s="7">
        <v>44619.02718574074</v>
      </c>
      <c r="B697" s="9" t="s">
        <v>49</v>
      </c>
      <c r="C697" s="9">
        <v>30.0</v>
      </c>
      <c r="D697" s="9" t="s">
        <v>35</v>
      </c>
      <c r="E697" s="9" t="s">
        <v>36</v>
      </c>
      <c r="F697" s="9" t="s">
        <v>349</v>
      </c>
      <c r="G697" s="9" t="s">
        <v>349</v>
      </c>
      <c r="H697" s="9" t="s">
        <v>38</v>
      </c>
      <c r="I697" s="9" t="s">
        <v>2413</v>
      </c>
      <c r="J697" s="9" t="s">
        <v>2464</v>
      </c>
      <c r="K697" s="9" t="s">
        <v>39</v>
      </c>
      <c r="L697" s="9" t="s">
        <v>40</v>
      </c>
      <c r="M697" s="9" t="s">
        <v>40</v>
      </c>
      <c r="P697" s="9" t="s">
        <v>2755</v>
      </c>
      <c r="Q697" s="9" t="s">
        <v>42</v>
      </c>
      <c r="R697" s="9">
        <v>7100.0</v>
      </c>
      <c r="S697" s="9">
        <v>2.0</v>
      </c>
      <c r="T697" s="9">
        <v>0.0</v>
      </c>
      <c r="U697" s="9">
        <v>16.0</v>
      </c>
      <c r="V697" s="9" t="s">
        <v>1107</v>
      </c>
      <c r="W697" s="9" t="s">
        <v>1108</v>
      </c>
      <c r="X697" s="9" t="s">
        <v>902</v>
      </c>
      <c r="Y697" s="9" t="s">
        <v>70</v>
      </c>
      <c r="Z697" s="9" t="s">
        <v>60</v>
      </c>
      <c r="AA697" s="9" t="s">
        <v>61</v>
      </c>
      <c r="AC697" s="9">
        <v>7.0</v>
      </c>
      <c r="AD697" s="9">
        <v>5.0</v>
      </c>
      <c r="AE697" s="9">
        <v>1.0</v>
      </c>
      <c r="AF697" s="9">
        <v>2800.0</v>
      </c>
      <c r="AG697" s="9" t="s">
        <v>42</v>
      </c>
    </row>
    <row r="698">
      <c r="A698" s="7">
        <v>44619.03859768518</v>
      </c>
      <c r="B698" s="9" t="s">
        <v>49</v>
      </c>
      <c r="C698" s="9">
        <v>38.0</v>
      </c>
      <c r="D698" s="9" t="s">
        <v>35</v>
      </c>
      <c r="E698" s="9" t="s">
        <v>36</v>
      </c>
      <c r="F698" s="9" t="s">
        <v>225</v>
      </c>
      <c r="G698" s="9" t="s">
        <v>3498</v>
      </c>
      <c r="H698" s="9" t="s">
        <v>93</v>
      </c>
      <c r="I698" s="9" t="s">
        <v>3499</v>
      </c>
      <c r="J698" s="9" t="s">
        <v>2801</v>
      </c>
      <c r="K698" s="9" t="s">
        <v>40</v>
      </c>
      <c r="L698" s="9" t="s">
        <v>40</v>
      </c>
      <c r="M698" s="9" t="s">
        <v>40</v>
      </c>
      <c r="P698" s="9" t="s">
        <v>3500</v>
      </c>
      <c r="Q698" s="9" t="s">
        <v>2934</v>
      </c>
      <c r="R698" s="9">
        <v>3000.0</v>
      </c>
      <c r="S698" s="9">
        <v>0.0</v>
      </c>
      <c r="T698" s="9">
        <v>0.0</v>
      </c>
      <c r="U698" s="9">
        <v>0.0</v>
      </c>
      <c r="V698" s="9" t="s">
        <v>1228</v>
      </c>
      <c r="W698" s="9" t="s">
        <v>1229</v>
      </c>
      <c r="X698" s="9" t="s">
        <v>50</v>
      </c>
      <c r="Y698" s="9" t="s">
        <v>347</v>
      </c>
      <c r="Z698" s="9" t="s">
        <v>47</v>
      </c>
      <c r="AA698" s="9" t="s">
        <v>48</v>
      </c>
      <c r="AC698" s="9">
        <v>4.0</v>
      </c>
      <c r="AD698" s="9">
        <v>3.0</v>
      </c>
      <c r="AE698" s="9" t="s">
        <v>1230</v>
      </c>
      <c r="AF698" s="9">
        <v>3000.0</v>
      </c>
      <c r="AG698" s="9" t="s">
        <v>2934</v>
      </c>
    </row>
    <row r="699">
      <c r="A699" s="7">
        <v>44619.356903148146</v>
      </c>
      <c r="B699" s="9" t="s">
        <v>49</v>
      </c>
      <c r="C699" s="9">
        <v>35.0</v>
      </c>
      <c r="D699" s="9" t="s">
        <v>35</v>
      </c>
      <c r="E699" s="9" t="s">
        <v>36</v>
      </c>
      <c r="F699" s="9" t="s">
        <v>3046</v>
      </c>
      <c r="G699" s="9" t="s">
        <v>767</v>
      </c>
      <c r="H699" s="9" t="s">
        <v>38</v>
      </c>
      <c r="I699" s="9" t="s">
        <v>3501</v>
      </c>
      <c r="J699" s="9" t="s">
        <v>2822</v>
      </c>
      <c r="K699" s="9" t="s">
        <v>39</v>
      </c>
      <c r="L699" s="9" t="s">
        <v>40</v>
      </c>
      <c r="M699" s="9" t="s">
        <v>40</v>
      </c>
      <c r="P699" s="9" t="s">
        <v>2848</v>
      </c>
      <c r="Q699" s="9" t="s">
        <v>2934</v>
      </c>
      <c r="R699" s="9">
        <v>14300.0</v>
      </c>
      <c r="S699" s="9">
        <v>14300.0</v>
      </c>
      <c r="U699" s="9">
        <v>16.0</v>
      </c>
      <c r="V699" s="9" t="s">
        <v>2322</v>
      </c>
      <c r="W699" s="9" t="s">
        <v>2323</v>
      </c>
      <c r="X699" s="9" t="s">
        <v>139</v>
      </c>
      <c r="Y699" s="9" t="s">
        <v>185</v>
      </c>
      <c r="Z699" s="9" t="s">
        <v>90</v>
      </c>
      <c r="AA699" s="9" t="s">
        <v>61</v>
      </c>
      <c r="AB699" s="9" t="s">
        <v>2324</v>
      </c>
      <c r="AC699" s="9">
        <v>8.0</v>
      </c>
      <c r="AD699" s="9" t="s">
        <v>2325</v>
      </c>
      <c r="AE699" s="9">
        <v>6.0</v>
      </c>
      <c r="AF699" s="9">
        <v>14300.0</v>
      </c>
      <c r="AG699" s="9" t="s">
        <v>2934</v>
      </c>
    </row>
    <row r="700">
      <c r="A700" s="7">
        <v>44619.42748028935</v>
      </c>
      <c r="B700" s="9" t="s">
        <v>73</v>
      </c>
      <c r="C700" s="9">
        <v>24.0</v>
      </c>
      <c r="D700" s="9" t="s">
        <v>35</v>
      </c>
      <c r="E700" s="9" t="s">
        <v>36</v>
      </c>
      <c r="F700" s="9" t="s">
        <v>50</v>
      </c>
      <c r="G700" s="9" t="s">
        <v>206</v>
      </c>
      <c r="H700" s="9" t="s">
        <v>38</v>
      </c>
      <c r="I700" s="9" t="s">
        <v>3502</v>
      </c>
      <c r="J700" s="9" t="s">
        <v>3210</v>
      </c>
      <c r="K700" s="9" t="s">
        <v>39</v>
      </c>
      <c r="L700" s="9" t="s">
        <v>40</v>
      </c>
      <c r="M700" s="9" t="s">
        <v>39</v>
      </c>
      <c r="O700" s="9" t="s">
        <v>663</v>
      </c>
      <c r="P700" s="9" t="s">
        <v>2438</v>
      </c>
      <c r="Q700" s="9" t="s">
        <v>42</v>
      </c>
      <c r="R700" s="9">
        <v>2400.0</v>
      </c>
      <c r="S700" s="9">
        <v>0.0</v>
      </c>
      <c r="T700" s="9">
        <v>0.0</v>
      </c>
      <c r="U700" s="9">
        <v>8.0</v>
      </c>
      <c r="V700" s="9" t="s">
        <v>664</v>
      </c>
      <c r="W700" s="9" t="s">
        <v>665</v>
      </c>
      <c r="X700" s="9" t="s">
        <v>206</v>
      </c>
      <c r="Y700" s="9" t="s">
        <v>197</v>
      </c>
      <c r="Z700" s="9" t="s">
        <v>71</v>
      </c>
      <c r="AA700" s="9" t="s">
        <v>61</v>
      </c>
      <c r="AC700" s="9">
        <v>7.0</v>
      </c>
      <c r="AD700" s="9">
        <v>0.0</v>
      </c>
      <c r="AE700" s="9">
        <v>0.0</v>
      </c>
      <c r="AF700" s="9">
        <v>2200.0</v>
      </c>
      <c r="AG700" s="9" t="s">
        <v>42</v>
      </c>
    </row>
    <row r="701">
      <c r="A701" s="7">
        <v>44620.034039756945</v>
      </c>
      <c r="B701" s="9" t="s">
        <v>49</v>
      </c>
      <c r="C701" s="9">
        <v>30.0</v>
      </c>
      <c r="D701" s="9" t="s">
        <v>35</v>
      </c>
      <c r="E701" s="9" t="s">
        <v>36</v>
      </c>
      <c r="F701" s="9" t="s">
        <v>50</v>
      </c>
      <c r="G701" s="9" t="s">
        <v>106</v>
      </c>
      <c r="H701" s="9" t="s">
        <v>38</v>
      </c>
      <c r="I701" s="9" t="s">
        <v>3503</v>
      </c>
      <c r="J701" s="9" t="s">
        <v>1494</v>
      </c>
      <c r="K701" s="9" t="s">
        <v>39</v>
      </c>
      <c r="L701" s="9" t="s">
        <v>40</v>
      </c>
      <c r="M701" s="9" t="s">
        <v>40</v>
      </c>
      <c r="P701" s="9" t="s">
        <v>3504</v>
      </c>
      <c r="Q701" s="9" t="s">
        <v>42</v>
      </c>
      <c r="R701" s="9">
        <v>5700.0</v>
      </c>
      <c r="S701" s="9">
        <v>6000.0</v>
      </c>
      <c r="T701" s="9">
        <v>0.0</v>
      </c>
      <c r="U701" s="9">
        <v>14.0</v>
      </c>
      <c r="V701" s="9" t="s">
        <v>2165</v>
      </c>
      <c r="W701" s="9" t="s">
        <v>2166</v>
      </c>
      <c r="X701" s="9" t="s">
        <v>58</v>
      </c>
      <c r="Y701" s="9" t="s">
        <v>2167</v>
      </c>
      <c r="Z701" s="9" t="s">
        <v>60</v>
      </c>
      <c r="AA701" s="9" t="s">
        <v>91</v>
      </c>
      <c r="AC701" s="9">
        <v>4.0</v>
      </c>
      <c r="AD701" s="9">
        <v>2.0</v>
      </c>
      <c r="AE701" s="9">
        <v>3.0</v>
      </c>
      <c r="AF701" s="9">
        <v>5000.0</v>
      </c>
      <c r="AG701" s="9" t="s">
        <v>42</v>
      </c>
    </row>
    <row r="702">
      <c r="A702" s="7">
        <v>44620.220314328704</v>
      </c>
      <c r="B702" s="9" t="s">
        <v>49</v>
      </c>
      <c r="C702" s="9">
        <v>29.0</v>
      </c>
      <c r="D702" s="9" t="s">
        <v>35</v>
      </c>
      <c r="E702" s="9" t="s">
        <v>36</v>
      </c>
      <c r="F702" s="9" t="s">
        <v>50</v>
      </c>
      <c r="G702" s="9" t="s">
        <v>125</v>
      </c>
      <c r="H702" s="9" t="s">
        <v>38</v>
      </c>
      <c r="I702" s="9" t="s">
        <v>3505</v>
      </c>
      <c r="J702" s="9" t="s">
        <v>2472</v>
      </c>
      <c r="K702" s="9" t="s">
        <v>39</v>
      </c>
      <c r="L702" s="9" t="s">
        <v>40</v>
      </c>
      <c r="M702" s="9" t="s">
        <v>40</v>
      </c>
      <c r="P702" s="9" t="s">
        <v>3506</v>
      </c>
      <c r="Q702" s="9" t="s">
        <v>42</v>
      </c>
      <c r="R702" s="9">
        <v>4200.0</v>
      </c>
      <c r="S702" s="9">
        <v>0.0</v>
      </c>
      <c r="T702" s="9">
        <v>0.0</v>
      </c>
      <c r="U702" s="9">
        <v>16.0</v>
      </c>
      <c r="V702" s="9" t="s">
        <v>562</v>
      </c>
      <c r="W702" s="9" t="s">
        <v>563</v>
      </c>
      <c r="X702" s="9" t="s">
        <v>58</v>
      </c>
      <c r="Y702" s="9" t="s">
        <v>59</v>
      </c>
      <c r="Z702" s="9" t="s">
        <v>132</v>
      </c>
      <c r="AA702" s="9" t="s">
        <v>61</v>
      </c>
      <c r="AC702" s="9">
        <v>9.0</v>
      </c>
      <c r="AD702" s="9" t="s">
        <v>3507</v>
      </c>
      <c r="AE702" s="9">
        <v>3.0</v>
      </c>
      <c r="AF702" s="9">
        <v>2000.0</v>
      </c>
      <c r="AG702" s="9" t="s">
        <v>42</v>
      </c>
    </row>
    <row r="703">
      <c r="A703" s="7">
        <v>44620.92067755787</v>
      </c>
      <c r="B703" s="9" t="s">
        <v>49</v>
      </c>
      <c r="C703" s="9">
        <v>33.0</v>
      </c>
      <c r="D703" s="9" t="s">
        <v>35</v>
      </c>
      <c r="E703" s="9" t="s">
        <v>36</v>
      </c>
      <c r="F703" s="9" t="s">
        <v>604</v>
      </c>
      <c r="G703" s="9" t="s">
        <v>3508</v>
      </c>
      <c r="H703" s="9" t="s">
        <v>38</v>
      </c>
      <c r="I703" s="9" t="s">
        <v>3509</v>
      </c>
      <c r="J703" s="9" t="s">
        <v>2627</v>
      </c>
      <c r="K703" s="9" t="s">
        <v>39</v>
      </c>
      <c r="L703" s="9" t="s">
        <v>40</v>
      </c>
      <c r="M703" s="9" t="s">
        <v>40</v>
      </c>
      <c r="P703" s="9" t="s">
        <v>837</v>
      </c>
      <c r="Q703" s="9" t="s">
        <v>42</v>
      </c>
      <c r="R703" s="9">
        <v>13000.0</v>
      </c>
      <c r="S703" s="9">
        <v>13000.0</v>
      </c>
      <c r="U703" s="9">
        <v>18.0</v>
      </c>
      <c r="V703" s="9" t="s">
        <v>463</v>
      </c>
      <c r="W703" s="9" t="s">
        <v>816</v>
      </c>
      <c r="X703" s="9" t="s">
        <v>349</v>
      </c>
      <c r="Y703" s="9" t="s">
        <v>817</v>
      </c>
      <c r="Z703" s="9" t="s">
        <v>60</v>
      </c>
      <c r="AA703" s="9" t="s">
        <v>61</v>
      </c>
      <c r="AC703" s="9">
        <v>9.0</v>
      </c>
      <c r="AD703" s="9">
        <v>10.0</v>
      </c>
      <c r="AE703" s="9">
        <v>3.0</v>
      </c>
      <c r="AF703" s="9">
        <v>2500.0</v>
      </c>
      <c r="AG703" s="9" t="s">
        <v>3510</v>
      </c>
    </row>
    <row r="704">
      <c r="A704" s="7">
        <v>44621.57188743056</v>
      </c>
      <c r="B704" s="9" t="s">
        <v>49</v>
      </c>
      <c r="C704" s="9">
        <v>24.0</v>
      </c>
      <c r="D704" s="9" t="s">
        <v>35</v>
      </c>
      <c r="E704" s="9" t="s">
        <v>36</v>
      </c>
      <c r="F704" s="9" t="s">
        <v>124</v>
      </c>
      <c r="G704" s="9" t="s">
        <v>206</v>
      </c>
      <c r="H704" s="9" t="s">
        <v>247</v>
      </c>
      <c r="I704" s="9" t="s">
        <v>2368</v>
      </c>
      <c r="J704" s="9" t="s">
        <v>3511</v>
      </c>
      <c r="K704" s="9" t="s">
        <v>39</v>
      </c>
      <c r="L704" s="9" t="s">
        <v>40</v>
      </c>
      <c r="M704" s="9" t="s">
        <v>40</v>
      </c>
      <c r="P704" s="9" t="s">
        <v>1260</v>
      </c>
      <c r="Q704" s="9" t="s">
        <v>42</v>
      </c>
      <c r="R704" s="9">
        <v>3500.0</v>
      </c>
      <c r="S704" s="9">
        <v>0.0</v>
      </c>
      <c r="T704" s="9">
        <v>0.0</v>
      </c>
      <c r="U704" s="9">
        <v>14.0</v>
      </c>
      <c r="V704" s="9" t="s">
        <v>459</v>
      </c>
      <c r="W704" s="9" t="s">
        <v>1261</v>
      </c>
      <c r="X704" s="9" t="s">
        <v>1262</v>
      </c>
      <c r="Y704" s="9" t="s">
        <v>185</v>
      </c>
      <c r="Z704" s="9" t="s">
        <v>47</v>
      </c>
      <c r="AA704" s="9" t="s">
        <v>61</v>
      </c>
      <c r="AC704" s="9">
        <v>8.0</v>
      </c>
      <c r="AD704" s="9">
        <v>1.0</v>
      </c>
      <c r="AE704" s="9">
        <v>1.0</v>
      </c>
      <c r="AF704" s="9">
        <v>3000.0</v>
      </c>
      <c r="AG704" s="9" t="s">
        <v>42</v>
      </c>
    </row>
    <row r="705">
      <c r="A705" s="7">
        <v>44621.63854295139</v>
      </c>
      <c r="B705" s="9" t="s">
        <v>49</v>
      </c>
      <c r="C705" s="9">
        <v>29.0</v>
      </c>
      <c r="D705" s="9" t="s">
        <v>35</v>
      </c>
      <c r="E705" s="9" t="s">
        <v>36</v>
      </c>
      <c r="F705" s="9" t="s">
        <v>50</v>
      </c>
      <c r="G705" s="9" t="s">
        <v>82</v>
      </c>
      <c r="H705" s="9" t="s">
        <v>38</v>
      </c>
      <c r="I705" s="9" t="s">
        <v>3512</v>
      </c>
      <c r="J705" s="9" t="s">
        <v>1570</v>
      </c>
      <c r="K705" s="9" t="s">
        <v>39</v>
      </c>
      <c r="L705" s="9" t="s">
        <v>40</v>
      </c>
      <c r="M705" s="9" t="s">
        <v>40</v>
      </c>
      <c r="P705" s="9" t="s">
        <v>1575</v>
      </c>
      <c r="Q705" s="9" t="s">
        <v>42</v>
      </c>
      <c r="R705" s="9">
        <v>10300.0</v>
      </c>
      <c r="U705" s="9">
        <v>18.0</v>
      </c>
      <c r="V705" s="9" t="s">
        <v>1576</v>
      </c>
      <c r="W705" s="9" t="s">
        <v>1577</v>
      </c>
      <c r="X705" s="9" t="s">
        <v>122</v>
      </c>
      <c r="Y705" s="9" t="s">
        <v>423</v>
      </c>
      <c r="Z705" s="9" t="s">
        <v>60</v>
      </c>
      <c r="AA705" s="9" t="s">
        <v>61</v>
      </c>
      <c r="AC705" s="9">
        <v>8.0</v>
      </c>
      <c r="AD705" s="9">
        <v>5.0</v>
      </c>
      <c r="AE705" s="9">
        <v>2.0</v>
      </c>
      <c r="AF705" s="9">
        <v>3150.0</v>
      </c>
      <c r="AG705" s="9" t="s">
        <v>42</v>
      </c>
    </row>
    <row r="706">
      <c r="A706" s="7">
        <v>44624.755149375</v>
      </c>
      <c r="B706" s="9" t="s">
        <v>49</v>
      </c>
      <c r="C706" s="9">
        <v>23.0</v>
      </c>
      <c r="D706" s="9" t="s">
        <v>35</v>
      </c>
      <c r="E706" s="9" t="s">
        <v>36</v>
      </c>
      <c r="F706" s="9" t="s">
        <v>3513</v>
      </c>
      <c r="G706" s="9" t="s">
        <v>36</v>
      </c>
      <c r="H706" s="9" t="s">
        <v>3514</v>
      </c>
      <c r="K706" s="9" t="s">
        <v>890</v>
      </c>
      <c r="L706" s="9" t="s">
        <v>40</v>
      </c>
      <c r="M706" s="9" t="s">
        <v>40</v>
      </c>
      <c r="P706" s="9" t="s">
        <v>128</v>
      </c>
      <c r="Q706" s="9" t="s">
        <v>42</v>
      </c>
      <c r="R706" s="9">
        <v>5800.0</v>
      </c>
      <c r="S706" s="9">
        <v>0.0</v>
      </c>
      <c r="T706" s="9">
        <v>0.0</v>
      </c>
      <c r="U706" s="9">
        <v>21.0</v>
      </c>
      <c r="V706" s="9" t="s">
        <v>654</v>
      </c>
      <c r="W706" s="9" t="s">
        <v>358</v>
      </c>
      <c r="X706" s="9" t="s">
        <v>50</v>
      </c>
      <c r="Y706" s="9" t="s">
        <v>655</v>
      </c>
      <c r="Z706" s="9" t="s">
        <v>71</v>
      </c>
      <c r="AA706" s="9" t="s">
        <v>61</v>
      </c>
      <c r="AC706" s="9">
        <v>6.0</v>
      </c>
      <c r="AD706" s="9">
        <v>2.5</v>
      </c>
      <c r="AE706" s="9">
        <v>2.0</v>
      </c>
      <c r="AF706" s="9">
        <v>2100.0</v>
      </c>
      <c r="AG706" s="9" t="s">
        <v>42</v>
      </c>
    </row>
    <row r="707">
      <c r="A707" s="7">
        <v>44625.07232770833</v>
      </c>
      <c r="B707" s="9" t="s">
        <v>49</v>
      </c>
      <c r="C707" s="9">
        <v>41.0</v>
      </c>
      <c r="D707" s="9" t="s">
        <v>35</v>
      </c>
      <c r="E707" s="9" t="s">
        <v>246</v>
      </c>
      <c r="F707" s="9" t="s">
        <v>246</v>
      </c>
      <c r="G707" s="9" t="s">
        <v>246</v>
      </c>
      <c r="H707" s="9" t="s">
        <v>38</v>
      </c>
      <c r="I707" s="9" t="s">
        <v>3515</v>
      </c>
      <c r="J707" s="9" t="s">
        <v>2385</v>
      </c>
      <c r="K707" s="9" t="s">
        <v>40</v>
      </c>
      <c r="L707" s="9" t="s">
        <v>40</v>
      </c>
      <c r="M707" s="9" t="s">
        <v>39</v>
      </c>
      <c r="O707" s="9" t="s">
        <v>823</v>
      </c>
      <c r="P707" s="9" t="s">
        <v>119</v>
      </c>
      <c r="Q707" s="9" t="s">
        <v>250</v>
      </c>
      <c r="R707" s="9">
        <v>9700.0</v>
      </c>
      <c r="S707" s="9">
        <v>9700.0</v>
      </c>
      <c r="T707" s="9">
        <v>0.0</v>
      </c>
      <c r="U707" s="9">
        <v>22.0</v>
      </c>
      <c r="V707" s="9" t="s">
        <v>824</v>
      </c>
      <c r="W707" s="9" t="s">
        <v>825</v>
      </c>
      <c r="X707" s="9" t="s">
        <v>820</v>
      </c>
      <c r="Y707" s="9" t="s">
        <v>185</v>
      </c>
      <c r="Z707" s="9" t="s">
        <v>90</v>
      </c>
      <c r="AA707" s="9" t="s">
        <v>91</v>
      </c>
      <c r="AC707" s="9">
        <v>7.0</v>
      </c>
      <c r="AD707" s="9">
        <v>12.0</v>
      </c>
      <c r="AE707" s="9">
        <v>4.0</v>
      </c>
      <c r="AF707" s="9">
        <v>2500.0</v>
      </c>
      <c r="AG707" s="9" t="s">
        <v>42</v>
      </c>
    </row>
    <row r="708">
      <c r="A708" s="7">
        <v>44625.611719594905</v>
      </c>
      <c r="B708" s="9" t="s">
        <v>49</v>
      </c>
      <c r="C708" s="9">
        <v>28.0</v>
      </c>
      <c r="D708" s="9" t="s">
        <v>35</v>
      </c>
      <c r="E708" s="9" t="s">
        <v>36</v>
      </c>
      <c r="H708" s="9" t="s">
        <v>38</v>
      </c>
      <c r="K708" s="9" t="s">
        <v>39</v>
      </c>
      <c r="L708" s="9" t="s">
        <v>40</v>
      </c>
      <c r="M708" s="9" t="s">
        <v>40</v>
      </c>
      <c r="P708" s="9" t="s">
        <v>3516</v>
      </c>
      <c r="Q708" s="9" t="s">
        <v>2934</v>
      </c>
      <c r="R708" s="9">
        <v>2800.0</v>
      </c>
      <c r="S708" s="9">
        <v>0.0</v>
      </c>
      <c r="T708" s="9">
        <v>0.0</v>
      </c>
      <c r="U708" s="9">
        <v>14.0</v>
      </c>
      <c r="V708" s="9" t="s">
        <v>732</v>
      </c>
      <c r="W708" s="9" t="s">
        <v>733</v>
      </c>
      <c r="X708" s="9" t="s">
        <v>734</v>
      </c>
      <c r="Y708" s="9" t="s">
        <v>116</v>
      </c>
      <c r="Z708" s="9" t="s">
        <v>132</v>
      </c>
      <c r="AA708" s="9" t="s">
        <v>61</v>
      </c>
      <c r="AC708" s="9">
        <v>3.0</v>
      </c>
      <c r="AD708" s="9">
        <v>6.0</v>
      </c>
      <c r="AE708" s="9">
        <v>2.0</v>
      </c>
      <c r="AF708" s="9">
        <v>2400.0</v>
      </c>
      <c r="AG708" s="9" t="s">
        <v>2934</v>
      </c>
    </row>
    <row r="709">
      <c r="A709" s="7">
        <v>44625.62287388889</v>
      </c>
      <c r="B709" s="9" t="s">
        <v>73</v>
      </c>
      <c r="C709" s="9">
        <v>29.0</v>
      </c>
      <c r="D709" s="9" t="s">
        <v>35</v>
      </c>
      <c r="E709" s="9" t="s">
        <v>36</v>
      </c>
      <c r="F709" s="9" t="s">
        <v>50</v>
      </c>
      <c r="G709" s="9" t="s">
        <v>106</v>
      </c>
      <c r="H709" s="9" t="s">
        <v>38</v>
      </c>
      <c r="I709" s="9" t="s">
        <v>3130</v>
      </c>
      <c r="J709" s="9" t="s">
        <v>3284</v>
      </c>
      <c r="K709" s="9" t="s">
        <v>39</v>
      </c>
      <c r="L709" s="9" t="s">
        <v>40</v>
      </c>
      <c r="M709" s="9" t="s">
        <v>40</v>
      </c>
      <c r="P709" s="9" t="s">
        <v>3517</v>
      </c>
      <c r="Q709" s="9" t="s">
        <v>42</v>
      </c>
      <c r="R709" s="9">
        <v>9600.0</v>
      </c>
      <c r="S709" s="9">
        <v>0.0</v>
      </c>
      <c r="U709" s="9">
        <v>16.0</v>
      </c>
      <c r="V709" s="9" t="s">
        <v>1025</v>
      </c>
      <c r="W709" s="9" t="s">
        <v>1026</v>
      </c>
      <c r="X709" s="9" t="s">
        <v>734</v>
      </c>
      <c r="Y709" s="9" t="s">
        <v>228</v>
      </c>
      <c r="Z709" s="9" t="s">
        <v>81</v>
      </c>
      <c r="AA709" s="9" t="s">
        <v>133</v>
      </c>
      <c r="AC709" s="9">
        <v>6.0</v>
      </c>
      <c r="AD709" s="9">
        <v>5.0</v>
      </c>
      <c r="AE709" s="9">
        <v>4.0</v>
      </c>
      <c r="AF709" s="9">
        <v>2700.0</v>
      </c>
      <c r="AG709" s="9" t="s">
        <v>42</v>
      </c>
    </row>
    <row r="710">
      <c r="A710" s="7">
        <v>44626.970523703705</v>
      </c>
      <c r="B710" s="9" t="s">
        <v>49</v>
      </c>
      <c r="C710" s="9">
        <v>33.0</v>
      </c>
      <c r="D710" s="9" t="s">
        <v>35</v>
      </c>
      <c r="E710" s="9" t="s">
        <v>36</v>
      </c>
      <c r="F710" s="9" t="s">
        <v>349</v>
      </c>
      <c r="G710" s="9" t="s">
        <v>349</v>
      </c>
      <c r="H710" s="9" t="s">
        <v>38</v>
      </c>
      <c r="I710" s="9" t="s">
        <v>2678</v>
      </c>
      <c r="J710" s="9" t="s">
        <v>127</v>
      </c>
      <c r="K710" s="9" t="s">
        <v>39</v>
      </c>
      <c r="L710" s="9" t="s">
        <v>40</v>
      </c>
      <c r="M710" s="9" t="s">
        <v>40</v>
      </c>
      <c r="P710" s="9" t="s">
        <v>128</v>
      </c>
      <c r="Q710" s="9" t="s">
        <v>42</v>
      </c>
      <c r="R710" s="9">
        <v>10167.0</v>
      </c>
      <c r="S710" s="9">
        <v>0.0</v>
      </c>
      <c r="T710" s="9">
        <v>0.0</v>
      </c>
      <c r="U710" s="9">
        <v>15.0</v>
      </c>
      <c r="V710" s="9" t="s">
        <v>129</v>
      </c>
      <c r="W710" s="9" t="s">
        <v>130</v>
      </c>
      <c r="X710" s="9" t="s">
        <v>131</v>
      </c>
      <c r="Y710" s="9" t="s">
        <v>59</v>
      </c>
      <c r="Z710" s="9" t="s">
        <v>132</v>
      </c>
      <c r="AA710" s="9" t="s">
        <v>133</v>
      </c>
      <c r="AC710" s="9">
        <v>7.0</v>
      </c>
      <c r="AD710" s="9">
        <v>10.0</v>
      </c>
      <c r="AE710" s="9">
        <v>1.0</v>
      </c>
      <c r="AF710" s="9">
        <v>500.0</v>
      </c>
      <c r="AG710" s="9" t="s">
        <v>112</v>
      </c>
    </row>
    <row r="711">
      <c r="A711" s="7">
        <v>44628.029587303245</v>
      </c>
      <c r="B711" s="9" t="s">
        <v>49</v>
      </c>
      <c r="C711" s="9">
        <v>41.0</v>
      </c>
      <c r="D711" s="9" t="s">
        <v>35</v>
      </c>
      <c r="E711" s="9" t="s">
        <v>36</v>
      </c>
      <c r="F711" s="9" t="s">
        <v>349</v>
      </c>
      <c r="G711" s="9" t="s">
        <v>349</v>
      </c>
      <c r="H711" s="9" t="s">
        <v>38</v>
      </c>
      <c r="I711" s="9" t="s">
        <v>3518</v>
      </c>
      <c r="J711" s="9" t="s">
        <v>234</v>
      </c>
      <c r="K711" s="9" t="s">
        <v>39</v>
      </c>
      <c r="L711" s="9" t="s">
        <v>40</v>
      </c>
      <c r="M711" s="9" t="s">
        <v>40</v>
      </c>
      <c r="P711" s="9" t="s">
        <v>607</v>
      </c>
      <c r="Q711" s="9" t="s">
        <v>42</v>
      </c>
      <c r="R711" s="9">
        <v>25000.0</v>
      </c>
      <c r="S711" s="9">
        <v>150000.0</v>
      </c>
      <c r="T711" s="9">
        <v>0.0</v>
      </c>
      <c r="U711" s="9">
        <v>24.0</v>
      </c>
      <c r="V711" s="9" t="s">
        <v>608</v>
      </c>
      <c r="W711" s="9" t="s">
        <v>609</v>
      </c>
      <c r="X711" s="9" t="s">
        <v>610</v>
      </c>
      <c r="Y711" s="9" t="s">
        <v>59</v>
      </c>
      <c r="Z711" s="9" t="s">
        <v>90</v>
      </c>
      <c r="AA711" s="9" t="s">
        <v>611</v>
      </c>
      <c r="AC711" s="9">
        <v>8.0</v>
      </c>
      <c r="AD711" s="9">
        <v>15.0</v>
      </c>
      <c r="AE711" s="9">
        <v>5.0</v>
      </c>
      <c r="AF711" s="9">
        <v>2000.0</v>
      </c>
      <c r="AG711" s="9" t="s">
        <v>42</v>
      </c>
    </row>
    <row r="712">
      <c r="A712" s="7">
        <v>44629.447824814815</v>
      </c>
      <c r="B712" s="9" t="s">
        <v>49</v>
      </c>
      <c r="C712" s="9">
        <v>30.0</v>
      </c>
      <c r="D712" s="9" t="s">
        <v>35</v>
      </c>
      <c r="E712" s="9" t="s">
        <v>36</v>
      </c>
      <c r="F712" s="9" t="s">
        <v>363</v>
      </c>
      <c r="G712" s="9" t="s">
        <v>363</v>
      </c>
      <c r="H712" s="9" t="s">
        <v>38</v>
      </c>
      <c r="I712" s="9" t="s">
        <v>3519</v>
      </c>
      <c r="J712" s="9" t="s">
        <v>2563</v>
      </c>
      <c r="K712" s="9" t="s">
        <v>39</v>
      </c>
      <c r="L712" s="9" t="s">
        <v>40</v>
      </c>
      <c r="M712" s="9" t="s">
        <v>39</v>
      </c>
      <c r="O712" s="9" t="s">
        <v>398</v>
      </c>
      <c r="P712" s="9" t="s">
        <v>2438</v>
      </c>
      <c r="Q712" s="9" t="s">
        <v>42</v>
      </c>
      <c r="R712" s="9">
        <v>7200.0</v>
      </c>
      <c r="S712" s="9">
        <v>4000.0</v>
      </c>
      <c r="U712" s="9">
        <v>16.0</v>
      </c>
      <c r="V712" s="9" t="s">
        <v>2263</v>
      </c>
      <c r="W712" s="9" t="s">
        <v>2264</v>
      </c>
      <c r="X712" s="9" t="s">
        <v>79</v>
      </c>
      <c r="Y712" s="9" t="s">
        <v>80</v>
      </c>
      <c r="Z712" s="9" t="s">
        <v>90</v>
      </c>
      <c r="AA712" s="9" t="s">
        <v>61</v>
      </c>
      <c r="AC712" s="9">
        <v>8.0</v>
      </c>
      <c r="AD712" s="9">
        <v>5.0</v>
      </c>
      <c r="AE712" s="9">
        <v>1.0</v>
      </c>
      <c r="AF712" s="9">
        <v>7200.0</v>
      </c>
      <c r="AG712" s="9" t="s">
        <v>42</v>
      </c>
    </row>
    <row r="713">
      <c r="A713" s="7">
        <v>44630.02114020834</v>
      </c>
      <c r="B713" s="9" t="s">
        <v>73</v>
      </c>
      <c r="C713" s="9">
        <v>29.0</v>
      </c>
      <c r="D713" s="9" t="s">
        <v>35</v>
      </c>
      <c r="E713" s="9" t="s">
        <v>36</v>
      </c>
      <c r="F713" s="9" t="s">
        <v>50</v>
      </c>
      <c r="G713" s="9" t="s">
        <v>106</v>
      </c>
      <c r="H713" s="9" t="s">
        <v>38</v>
      </c>
      <c r="I713" s="9" t="s">
        <v>3520</v>
      </c>
      <c r="J713" s="9" t="s">
        <v>3225</v>
      </c>
      <c r="K713" s="9" t="s">
        <v>40</v>
      </c>
      <c r="L713" s="9" t="s">
        <v>39</v>
      </c>
      <c r="M713" s="9" t="s">
        <v>40</v>
      </c>
      <c r="N713" s="9" t="s">
        <v>1110</v>
      </c>
      <c r="P713" s="9" t="s">
        <v>119</v>
      </c>
      <c r="Q713" s="9" t="s">
        <v>42</v>
      </c>
      <c r="R713" s="9">
        <v>6900.0</v>
      </c>
      <c r="S713" s="9">
        <v>0.0</v>
      </c>
      <c r="T713" s="9">
        <v>0.0</v>
      </c>
      <c r="U713" s="9">
        <v>18.0</v>
      </c>
      <c r="V713" s="9" t="s">
        <v>1111</v>
      </c>
      <c r="W713" s="9" t="s">
        <v>1112</v>
      </c>
      <c r="X713" s="9" t="s">
        <v>58</v>
      </c>
      <c r="Y713" s="9" t="s">
        <v>59</v>
      </c>
      <c r="Z713" s="9" t="s">
        <v>132</v>
      </c>
      <c r="AA713" s="9" t="s">
        <v>61</v>
      </c>
      <c r="AC713" s="9">
        <v>6.0</v>
      </c>
      <c r="AD713" s="9">
        <v>6.0</v>
      </c>
      <c r="AE713" s="9">
        <v>0.0</v>
      </c>
      <c r="AF713" s="9">
        <v>2800.0</v>
      </c>
      <c r="AG713" s="9" t="s">
        <v>42</v>
      </c>
    </row>
    <row r="714">
      <c r="A714" s="7">
        <v>44632.99000726852</v>
      </c>
      <c r="B714" s="9" t="s">
        <v>49</v>
      </c>
      <c r="C714" s="9">
        <v>24.0</v>
      </c>
      <c r="D714" s="9" t="s">
        <v>35</v>
      </c>
      <c r="E714" s="9" t="s">
        <v>36</v>
      </c>
      <c r="F714" s="9" t="s">
        <v>349</v>
      </c>
      <c r="G714" s="9" t="s">
        <v>349</v>
      </c>
      <c r="H714" s="9" t="s">
        <v>38</v>
      </c>
      <c r="I714" s="9" t="s">
        <v>3521</v>
      </c>
      <c r="J714" s="9" t="s">
        <v>2389</v>
      </c>
      <c r="K714" s="9" t="s">
        <v>39</v>
      </c>
      <c r="L714" s="9" t="s">
        <v>40</v>
      </c>
      <c r="M714" s="9" t="s">
        <v>40</v>
      </c>
      <c r="P714" s="9" t="s">
        <v>146</v>
      </c>
      <c r="Q714" s="9" t="s">
        <v>42</v>
      </c>
      <c r="R714" s="9">
        <v>4200.0</v>
      </c>
      <c r="S714" s="9">
        <v>1.0</v>
      </c>
      <c r="U714" s="9">
        <v>14.0</v>
      </c>
      <c r="V714" s="9" t="s">
        <v>67</v>
      </c>
      <c r="W714" s="23" t="s">
        <v>1350</v>
      </c>
      <c r="X714" s="9" t="s">
        <v>58</v>
      </c>
      <c r="Y714" s="9" t="s">
        <v>297</v>
      </c>
      <c r="Z714" s="9" t="s">
        <v>71</v>
      </c>
      <c r="AA714" s="9" t="s">
        <v>91</v>
      </c>
      <c r="AC714" s="9">
        <v>8.0</v>
      </c>
      <c r="AD714" s="9">
        <v>1.0</v>
      </c>
      <c r="AE714" s="9">
        <v>1.0</v>
      </c>
      <c r="AF714" s="9">
        <v>3300.0</v>
      </c>
      <c r="AG714" s="9" t="s">
        <v>42</v>
      </c>
    </row>
    <row r="715">
      <c r="A715" s="7">
        <v>44634.82789652778</v>
      </c>
      <c r="B715" s="9" t="s">
        <v>49</v>
      </c>
      <c r="C715" s="9">
        <v>22.0</v>
      </c>
      <c r="D715" s="9" t="s">
        <v>35</v>
      </c>
      <c r="E715" s="9" t="s">
        <v>36</v>
      </c>
      <c r="F715" s="9" t="s">
        <v>50</v>
      </c>
      <c r="G715" s="9" t="s">
        <v>82</v>
      </c>
      <c r="H715" s="9" t="s">
        <v>38</v>
      </c>
      <c r="I715" s="9" t="s">
        <v>2413</v>
      </c>
      <c r="J715" s="9" t="s">
        <v>3522</v>
      </c>
      <c r="K715" s="9" t="s">
        <v>39</v>
      </c>
      <c r="L715" s="9" t="s">
        <v>40</v>
      </c>
      <c r="M715" s="9" t="s">
        <v>40</v>
      </c>
      <c r="P715" s="9" t="s">
        <v>128</v>
      </c>
      <c r="Q715" s="9" t="s">
        <v>42</v>
      </c>
      <c r="R715" s="9">
        <v>3500.0</v>
      </c>
      <c r="S715" s="9" t="s">
        <v>3523</v>
      </c>
      <c r="T715" s="9">
        <v>0.0</v>
      </c>
      <c r="U715" s="9">
        <v>12.0</v>
      </c>
      <c r="V715" s="9" t="s">
        <v>1775</v>
      </c>
      <c r="W715" s="9" t="s">
        <v>1776</v>
      </c>
      <c r="X715" s="9" t="s">
        <v>58</v>
      </c>
      <c r="Y715" s="9" t="s">
        <v>1238</v>
      </c>
      <c r="Z715" s="9" t="s">
        <v>71</v>
      </c>
      <c r="AA715" s="9" t="s">
        <v>61</v>
      </c>
      <c r="AB715" s="9" t="s">
        <v>1777</v>
      </c>
      <c r="AC715" s="9">
        <v>7.0</v>
      </c>
      <c r="AD715" s="9" t="s">
        <v>1778</v>
      </c>
      <c r="AE715" s="9">
        <v>0.0</v>
      </c>
      <c r="AF715" s="9">
        <v>3500.0</v>
      </c>
      <c r="AG715" s="9" t="s">
        <v>42</v>
      </c>
    </row>
    <row r="716">
      <c r="A716" s="7">
        <v>44635.25705112268</v>
      </c>
      <c r="B716" s="9" t="s">
        <v>73</v>
      </c>
      <c r="C716" s="9">
        <v>32.0</v>
      </c>
      <c r="D716" s="9" t="s">
        <v>35</v>
      </c>
      <c r="E716" s="9" t="s">
        <v>425</v>
      </c>
      <c r="G716" s="9" t="s">
        <v>427</v>
      </c>
      <c r="H716" s="9" t="s">
        <v>38</v>
      </c>
      <c r="K716" s="9" t="s">
        <v>39</v>
      </c>
      <c r="L716" s="9" t="s">
        <v>40</v>
      </c>
      <c r="M716" s="9" t="s">
        <v>40</v>
      </c>
      <c r="P716" s="9" t="s">
        <v>2886</v>
      </c>
      <c r="Q716" s="9" t="s">
        <v>112</v>
      </c>
      <c r="R716" s="9">
        <v>10000.0</v>
      </c>
      <c r="S716" s="9">
        <v>18000.0</v>
      </c>
      <c r="T716" s="9">
        <v>25000.0</v>
      </c>
      <c r="U716" s="9">
        <v>60.0</v>
      </c>
      <c r="V716" s="9" t="s">
        <v>428</v>
      </c>
      <c r="W716" s="9" t="s">
        <v>429</v>
      </c>
      <c r="X716" s="9" t="s">
        <v>430</v>
      </c>
      <c r="Y716" s="9" t="s">
        <v>297</v>
      </c>
      <c r="Z716" s="9" t="s">
        <v>81</v>
      </c>
      <c r="AA716" s="9" t="s">
        <v>91</v>
      </c>
      <c r="AC716" s="9">
        <v>8.0</v>
      </c>
      <c r="AD716" s="9">
        <v>7.0</v>
      </c>
      <c r="AE716" s="9">
        <v>3.0</v>
      </c>
      <c r="AF716" s="9">
        <v>1700.0</v>
      </c>
      <c r="AG716" s="9" t="s">
        <v>42</v>
      </c>
    </row>
    <row r="717">
      <c r="A717" s="7">
        <v>44635.599349895834</v>
      </c>
      <c r="B717" s="9" t="s">
        <v>49</v>
      </c>
      <c r="C717" s="9">
        <v>21.0</v>
      </c>
      <c r="D717" s="9" t="s">
        <v>35</v>
      </c>
      <c r="E717" s="9" t="s">
        <v>36</v>
      </c>
      <c r="F717" s="9" t="s">
        <v>50</v>
      </c>
      <c r="G717" s="9" t="s">
        <v>180</v>
      </c>
      <c r="H717" s="9" t="s">
        <v>38</v>
      </c>
      <c r="I717" s="9" t="s">
        <v>577</v>
      </c>
      <c r="J717" s="9" t="s">
        <v>161</v>
      </c>
      <c r="K717" s="9" t="s">
        <v>39</v>
      </c>
      <c r="L717" s="9" t="s">
        <v>40</v>
      </c>
      <c r="M717" s="9" t="s">
        <v>39</v>
      </c>
      <c r="O717" s="9" t="s">
        <v>578</v>
      </c>
      <c r="P717" s="9" t="s">
        <v>3524</v>
      </c>
      <c r="Q717" s="9" t="s">
        <v>42</v>
      </c>
      <c r="R717" s="9">
        <v>4000.0</v>
      </c>
      <c r="S717" s="9">
        <v>0.0</v>
      </c>
      <c r="T717" s="9">
        <v>0.0</v>
      </c>
      <c r="U717" s="9">
        <v>20.0</v>
      </c>
      <c r="V717" s="9" t="s">
        <v>579</v>
      </c>
      <c r="W717" s="9" t="s">
        <v>580</v>
      </c>
      <c r="X717" s="9" t="s">
        <v>122</v>
      </c>
      <c r="Y717" s="9" t="s">
        <v>155</v>
      </c>
      <c r="Z717" s="9" t="s">
        <v>60</v>
      </c>
      <c r="AA717" s="9" t="s">
        <v>91</v>
      </c>
      <c r="AB717" s="9" t="s">
        <v>581</v>
      </c>
      <c r="AC717" s="9">
        <v>10.0</v>
      </c>
      <c r="AD717" s="9">
        <v>7.0</v>
      </c>
      <c r="AE717" s="9">
        <v>2.0</v>
      </c>
      <c r="AF717" s="9">
        <v>2000.0</v>
      </c>
      <c r="AG717" s="9" t="s">
        <v>42</v>
      </c>
    </row>
    <row r="718">
      <c r="A718" s="7">
        <v>44636.75542260417</v>
      </c>
      <c r="B718" s="9" t="s">
        <v>49</v>
      </c>
      <c r="C718" s="9">
        <v>26.0</v>
      </c>
      <c r="D718" s="9" t="s">
        <v>35</v>
      </c>
      <c r="E718" s="9" t="s">
        <v>36</v>
      </c>
      <c r="F718" s="9" t="s">
        <v>50</v>
      </c>
      <c r="G718" s="9" t="s">
        <v>106</v>
      </c>
      <c r="H718" s="9" t="s">
        <v>38</v>
      </c>
      <c r="I718" s="9" t="s">
        <v>2725</v>
      </c>
      <c r="J718" s="9" t="s">
        <v>161</v>
      </c>
      <c r="K718" s="9" t="s">
        <v>39</v>
      </c>
      <c r="L718" s="9" t="s">
        <v>40</v>
      </c>
      <c r="M718" s="9" t="s">
        <v>40</v>
      </c>
      <c r="P718" s="9" t="s">
        <v>152</v>
      </c>
      <c r="Q718" s="9" t="s">
        <v>42</v>
      </c>
      <c r="R718" s="9">
        <v>7500.0</v>
      </c>
      <c r="S718" s="9" t="s">
        <v>3525</v>
      </c>
      <c r="T718" s="9">
        <v>0.0</v>
      </c>
      <c r="U718" s="9">
        <v>15.0</v>
      </c>
      <c r="V718" s="9" t="s">
        <v>2268</v>
      </c>
      <c r="W718" s="9" t="s">
        <v>2269</v>
      </c>
      <c r="X718" s="9" t="s">
        <v>124</v>
      </c>
      <c r="Y718" s="9" t="s">
        <v>59</v>
      </c>
      <c r="Z718" s="9" t="s">
        <v>90</v>
      </c>
      <c r="AA718" s="9" t="s">
        <v>61</v>
      </c>
      <c r="AC718" s="9">
        <v>9.0</v>
      </c>
      <c r="AD718" s="9">
        <v>3.0</v>
      </c>
      <c r="AE718" s="9">
        <v>2.0</v>
      </c>
      <c r="AF718" s="9">
        <v>7500.0</v>
      </c>
      <c r="AG718" s="9" t="s">
        <v>42</v>
      </c>
    </row>
    <row r="719">
      <c r="A719" s="7">
        <v>44636.97314071759</v>
      </c>
      <c r="B719" s="9" t="s">
        <v>49</v>
      </c>
      <c r="C719" s="9">
        <v>30.0</v>
      </c>
      <c r="D719" s="9" t="s">
        <v>35</v>
      </c>
      <c r="E719" s="9" t="s">
        <v>246</v>
      </c>
      <c r="F719" s="9" t="s">
        <v>3526</v>
      </c>
      <c r="G719" s="9" t="s">
        <v>3526</v>
      </c>
      <c r="H719" s="9" t="s">
        <v>38</v>
      </c>
      <c r="I719" s="9" t="s">
        <v>3065</v>
      </c>
      <c r="K719" s="9" t="s">
        <v>39</v>
      </c>
      <c r="L719" s="9" t="s">
        <v>40</v>
      </c>
      <c r="M719" s="9" t="s">
        <v>39</v>
      </c>
      <c r="P719" s="9" t="s">
        <v>3527</v>
      </c>
      <c r="Q719" s="9" t="s">
        <v>250</v>
      </c>
      <c r="R719" s="9">
        <v>6000.0</v>
      </c>
      <c r="S719" s="9">
        <v>12000.0</v>
      </c>
      <c r="U719" s="9">
        <v>22.0</v>
      </c>
      <c r="V719" s="9" t="s">
        <v>1394</v>
      </c>
      <c r="W719" s="9" t="s">
        <v>1395</v>
      </c>
      <c r="X719" s="9" t="s">
        <v>3528</v>
      </c>
      <c r="Y719" s="9" t="s">
        <v>89</v>
      </c>
      <c r="Z719" s="9" t="s">
        <v>60</v>
      </c>
      <c r="AA719" s="9" t="s">
        <v>61</v>
      </c>
      <c r="AC719" s="9">
        <v>8.0</v>
      </c>
      <c r="AD719" s="9">
        <v>8.0</v>
      </c>
      <c r="AE719" s="9">
        <v>2.0</v>
      </c>
      <c r="AF719" s="9">
        <v>3000.0</v>
      </c>
      <c r="AG719" s="9" t="s">
        <v>250</v>
      </c>
    </row>
    <row r="720">
      <c r="A720" s="7">
        <v>44637.46802847223</v>
      </c>
      <c r="B720" s="9" t="s">
        <v>49</v>
      </c>
      <c r="C720" s="9">
        <v>37.0</v>
      </c>
      <c r="D720" s="9" t="s">
        <v>35</v>
      </c>
      <c r="E720" s="9" t="s">
        <v>36</v>
      </c>
      <c r="F720" s="9" t="s">
        <v>50</v>
      </c>
      <c r="G720" s="9" t="s">
        <v>3529</v>
      </c>
      <c r="H720" s="9" t="s">
        <v>38</v>
      </c>
      <c r="I720" s="9" t="s">
        <v>2413</v>
      </c>
      <c r="J720" s="9" t="s">
        <v>3530</v>
      </c>
      <c r="K720" s="9" t="s">
        <v>39</v>
      </c>
      <c r="L720" s="9" t="s">
        <v>40</v>
      </c>
      <c r="M720" s="9" t="s">
        <v>40</v>
      </c>
      <c r="P720" s="9" t="s">
        <v>765</v>
      </c>
      <c r="Q720" s="9" t="s">
        <v>42</v>
      </c>
      <c r="R720" s="9">
        <v>13000.0</v>
      </c>
      <c r="U720" s="9">
        <v>12.0</v>
      </c>
      <c r="V720" s="9" t="s">
        <v>320</v>
      </c>
      <c r="W720" s="9" t="s">
        <v>766</v>
      </c>
      <c r="X720" s="9" t="s">
        <v>749</v>
      </c>
      <c r="Y720" s="9" t="s">
        <v>155</v>
      </c>
      <c r="Z720" s="9" t="s">
        <v>132</v>
      </c>
      <c r="AA720" s="9" t="s">
        <v>91</v>
      </c>
      <c r="AC720" s="9">
        <v>9.0</v>
      </c>
      <c r="AD720" s="9">
        <v>15.0</v>
      </c>
      <c r="AE720" s="9">
        <v>8.0</v>
      </c>
      <c r="AF720" s="9">
        <v>2500.0</v>
      </c>
      <c r="AG720" s="9" t="s">
        <v>42</v>
      </c>
    </row>
    <row r="721">
      <c r="A721" s="7">
        <v>44638.86954407407</v>
      </c>
      <c r="B721" s="9" t="s">
        <v>49</v>
      </c>
      <c r="C721" s="9">
        <v>30.0</v>
      </c>
      <c r="D721" s="9" t="s">
        <v>35</v>
      </c>
      <c r="E721" s="9" t="s">
        <v>36</v>
      </c>
      <c r="F721" s="9" t="s">
        <v>349</v>
      </c>
      <c r="G721" s="9" t="s">
        <v>349</v>
      </c>
      <c r="H721" s="9" t="s">
        <v>38</v>
      </c>
      <c r="I721" s="9" t="s">
        <v>2471</v>
      </c>
      <c r="J721" s="9" t="s">
        <v>3531</v>
      </c>
      <c r="K721" s="9" t="s">
        <v>39</v>
      </c>
      <c r="L721" s="9" t="s">
        <v>40</v>
      </c>
      <c r="M721" s="9" t="s">
        <v>40</v>
      </c>
      <c r="P721" s="9" t="s">
        <v>150</v>
      </c>
      <c r="Q721" s="9" t="s">
        <v>42</v>
      </c>
      <c r="R721" s="9">
        <v>8000.0</v>
      </c>
      <c r="S721" s="9">
        <v>20000.0</v>
      </c>
      <c r="U721" s="9">
        <v>12.0</v>
      </c>
      <c r="V721" s="9" t="s">
        <v>2272</v>
      </c>
      <c r="W721" s="9" t="s">
        <v>2273</v>
      </c>
      <c r="X721" s="9" t="s">
        <v>2274</v>
      </c>
      <c r="Y721" s="9" t="s">
        <v>89</v>
      </c>
      <c r="Z721" s="9" t="s">
        <v>81</v>
      </c>
      <c r="AA721" s="9" t="s">
        <v>61</v>
      </c>
      <c r="AC721" s="9">
        <v>5.0</v>
      </c>
      <c r="AD721" s="9">
        <v>5.0</v>
      </c>
      <c r="AE721" s="9">
        <v>2.0</v>
      </c>
      <c r="AF721" s="9">
        <v>8000.0</v>
      </c>
      <c r="AG721" s="9" t="s">
        <v>42</v>
      </c>
    </row>
    <row r="722">
      <c r="A722" s="7">
        <v>44644.38535082176</v>
      </c>
      <c r="B722" s="9" t="s">
        <v>49</v>
      </c>
      <c r="C722" s="9">
        <v>28.0</v>
      </c>
      <c r="D722" s="9" t="s">
        <v>35</v>
      </c>
      <c r="E722" s="9" t="s">
        <v>36</v>
      </c>
      <c r="F722" s="9" t="s">
        <v>50</v>
      </c>
      <c r="G722" s="9" t="s">
        <v>180</v>
      </c>
      <c r="H722" s="9" t="s">
        <v>38</v>
      </c>
      <c r="I722" s="9" t="s">
        <v>2471</v>
      </c>
      <c r="J722" s="9" t="s">
        <v>3532</v>
      </c>
      <c r="K722" s="9" t="s">
        <v>39</v>
      </c>
      <c r="L722" s="9" t="s">
        <v>40</v>
      </c>
      <c r="M722" s="9" t="s">
        <v>40</v>
      </c>
      <c r="P722" s="9" t="s">
        <v>3533</v>
      </c>
      <c r="Q722" s="9" t="s">
        <v>42</v>
      </c>
      <c r="R722" s="9">
        <v>6500.0</v>
      </c>
      <c r="S722" s="9">
        <v>0.0</v>
      </c>
      <c r="T722" s="9">
        <v>0.0</v>
      </c>
      <c r="U722" s="9">
        <v>12.0</v>
      </c>
      <c r="V722" s="9" t="s">
        <v>2004</v>
      </c>
      <c r="W722" s="9" t="s">
        <v>2005</v>
      </c>
      <c r="X722" s="9" t="s">
        <v>58</v>
      </c>
      <c r="Y722" s="9" t="s">
        <v>59</v>
      </c>
      <c r="Z722" s="9" t="s">
        <v>71</v>
      </c>
      <c r="AA722" s="9" t="s">
        <v>61</v>
      </c>
      <c r="AC722" s="9">
        <v>6.0</v>
      </c>
      <c r="AD722" s="9">
        <v>5.0</v>
      </c>
      <c r="AE722" s="9">
        <v>2.0</v>
      </c>
      <c r="AF722" s="9">
        <v>4000.0</v>
      </c>
      <c r="AG722" s="9" t="s">
        <v>42</v>
      </c>
    </row>
    <row r="723">
      <c r="A723" s="7">
        <v>44654.135742025464</v>
      </c>
      <c r="B723" s="9" t="s">
        <v>49</v>
      </c>
      <c r="C723" s="9">
        <v>30.0</v>
      </c>
      <c r="D723" s="9" t="s">
        <v>35</v>
      </c>
      <c r="E723" s="9" t="s">
        <v>36</v>
      </c>
      <c r="F723" s="9" t="s">
        <v>349</v>
      </c>
      <c r="G723" s="9" t="s">
        <v>349</v>
      </c>
      <c r="H723" s="9" t="s">
        <v>93</v>
      </c>
      <c r="I723" s="9" t="s">
        <v>2743</v>
      </c>
      <c r="J723" s="9" t="s">
        <v>3240</v>
      </c>
      <c r="K723" s="9" t="s">
        <v>39</v>
      </c>
      <c r="L723" s="9" t="s">
        <v>40</v>
      </c>
      <c r="M723" s="9" t="s">
        <v>40</v>
      </c>
      <c r="P723" s="9" t="s">
        <v>119</v>
      </c>
      <c r="Q723" s="9" t="s">
        <v>42</v>
      </c>
      <c r="R723" s="9">
        <v>7825.0</v>
      </c>
      <c r="S723" s="9">
        <v>29700.0</v>
      </c>
      <c r="U723" s="9">
        <v>18.0</v>
      </c>
      <c r="V723" s="9" t="s">
        <v>3534</v>
      </c>
      <c r="W723" s="9" t="s">
        <v>809</v>
      </c>
      <c r="X723" s="9" t="s">
        <v>131</v>
      </c>
      <c r="Y723" s="9" t="s">
        <v>105</v>
      </c>
      <c r="Z723" s="9" t="s">
        <v>60</v>
      </c>
      <c r="AA723" s="9" t="s">
        <v>91</v>
      </c>
      <c r="AC723" s="9">
        <v>7.0</v>
      </c>
      <c r="AD723" s="9">
        <v>4.0</v>
      </c>
      <c r="AE723" s="9">
        <v>1.0</v>
      </c>
      <c r="AF723" s="9">
        <v>3500.0</v>
      </c>
      <c r="AG723" s="9" t="s">
        <v>42</v>
      </c>
    </row>
    <row r="724">
      <c r="A724" s="7">
        <v>44654.96329009259</v>
      </c>
      <c r="B724" s="9" t="s">
        <v>49</v>
      </c>
      <c r="C724" s="9">
        <v>33.0</v>
      </c>
      <c r="D724" s="9" t="s">
        <v>35</v>
      </c>
      <c r="E724" s="9" t="s">
        <v>36</v>
      </c>
      <c r="H724" s="9" t="s">
        <v>247</v>
      </c>
      <c r="K724" s="9" t="s">
        <v>39</v>
      </c>
      <c r="L724" s="9" t="s">
        <v>40</v>
      </c>
      <c r="M724" s="9" t="s">
        <v>40</v>
      </c>
      <c r="P724" s="9" t="s">
        <v>448</v>
      </c>
      <c r="Q724" s="9" t="s">
        <v>42</v>
      </c>
      <c r="R724" s="9">
        <v>10000.0</v>
      </c>
      <c r="S724" s="9">
        <v>0.0</v>
      </c>
      <c r="T724" s="9">
        <v>0.0</v>
      </c>
      <c r="U724" s="9">
        <v>14.0</v>
      </c>
      <c r="V724" s="9" t="s">
        <v>3535</v>
      </c>
      <c r="W724" s="9" t="s">
        <v>457</v>
      </c>
      <c r="X724" s="9" t="s">
        <v>678</v>
      </c>
      <c r="Y724" s="9" t="s">
        <v>70</v>
      </c>
      <c r="Z724" s="9" t="s">
        <v>71</v>
      </c>
      <c r="AA724" s="9" t="s">
        <v>91</v>
      </c>
      <c r="AC724" s="9">
        <v>10.0</v>
      </c>
      <c r="AD724" s="9">
        <v>10.0</v>
      </c>
      <c r="AE724" s="9">
        <v>3.0</v>
      </c>
      <c r="AF724" s="9">
        <v>5000.0</v>
      </c>
      <c r="AG724" s="9" t="s">
        <v>42</v>
      </c>
    </row>
    <row r="725">
      <c r="A725" s="7">
        <v>44656.52101486111</v>
      </c>
      <c r="B725" s="9" t="s">
        <v>49</v>
      </c>
      <c r="C725" s="9">
        <v>31.0</v>
      </c>
      <c r="D725" s="9" t="s">
        <v>35</v>
      </c>
      <c r="E725" s="9" t="s">
        <v>36</v>
      </c>
      <c r="F725" s="9" t="s">
        <v>36</v>
      </c>
      <c r="G725" s="9" t="s">
        <v>51</v>
      </c>
      <c r="H725" s="9" t="s">
        <v>38</v>
      </c>
      <c r="I725" s="9" t="s">
        <v>3536</v>
      </c>
      <c r="J725" s="9" t="s">
        <v>3537</v>
      </c>
      <c r="K725" s="9" t="s">
        <v>39</v>
      </c>
      <c r="L725" s="9" t="s">
        <v>40</v>
      </c>
      <c r="M725" s="9" t="s">
        <v>39</v>
      </c>
      <c r="O725" s="9" t="s">
        <v>3538</v>
      </c>
      <c r="P725" s="9" t="s">
        <v>2858</v>
      </c>
      <c r="Q725" s="9" t="s">
        <v>42</v>
      </c>
      <c r="R725" s="9">
        <v>9500.0</v>
      </c>
      <c r="S725" s="9">
        <v>12000.0</v>
      </c>
      <c r="U725" s="9">
        <v>14.0</v>
      </c>
      <c r="V725" s="9" t="s">
        <v>3539</v>
      </c>
      <c r="W725" s="9" t="s">
        <v>3540</v>
      </c>
      <c r="X725" s="9" t="s">
        <v>122</v>
      </c>
      <c r="Y725" s="9" t="s">
        <v>89</v>
      </c>
      <c r="Z725" s="9" t="s">
        <v>90</v>
      </c>
      <c r="AA725" s="9" t="s">
        <v>61</v>
      </c>
      <c r="AC725" s="9">
        <v>8.0</v>
      </c>
      <c r="AD725" s="9">
        <v>6.0</v>
      </c>
      <c r="AE725" s="9">
        <v>5.0</v>
      </c>
      <c r="AF725" s="9">
        <v>2800.0</v>
      </c>
      <c r="AG725" s="9" t="s">
        <v>42</v>
      </c>
    </row>
    <row r="726">
      <c r="A726" s="7">
        <v>44656.52250032408</v>
      </c>
      <c r="B726" s="9" t="s">
        <v>49</v>
      </c>
      <c r="C726" s="9">
        <v>25.0</v>
      </c>
      <c r="D726" s="9" t="s">
        <v>35</v>
      </c>
      <c r="E726" s="9" t="s">
        <v>425</v>
      </c>
      <c r="F726" s="9" t="s">
        <v>3541</v>
      </c>
      <c r="G726" s="9" t="s">
        <v>3542</v>
      </c>
      <c r="H726" s="9" t="s">
        <v>38</v>
      </c>
      <c r="I726" s="9" t="s">
        <v>2621</v>
      </c>
      <c r="J726" s="9" t="s">
        <v>3543</v>
      </c>
      <c r="K726" s="9" t="s">
        <v>39</v>
      </c>
      <c r="L726" s="9" t="s">
        <v>40</v>
      </c>
      <c r="M726" s="9" t="s">
        <v>40</v>
      </c>
      <c r="P726" s="9" t="s">
        <v>3544</v>
      </c>
      <c r="Q726" s="9" t="s">
        <v>3545</v>
      </c>
      <c r="R726" s="9">
        <v>14000.0</v>
      </c>
      <c r="S726" s="9">
        <v>0.0</v>
      </c>
      <c r="T726" s="9">
        <v>0.0</v>
      </c>
      <c r="U726" s="9">
        <v>20.0</v>
      </c>
      <c r="V726" s="9" t="s">
        <v>3546</v>
      </c>
      <c r="W726" s="9" t="s">
        <v>224</v>
      </c>
      <c r="X726" s="9" t="s">
        <v>3547</v>
      </c>
      <c r="Y726" s="9" t="s">
        <v>70</v>
      </c>
      <c r="Z726" s="9" t="s">
        <v>90</v>
      </c>
      <c r="AA726" s="9" t="s">
        <v>611</v>
      </c>
      <c r="AC726" s="9">
        <v>7.0</v>
      </c>
      <c r="AD726" s="9">
        <v>4.0</v>
      </c>
      <c r="AE726" s="9">
        <v>3.0</v>
      </c>
      <c r="AF726" s="9">
        <v>5000.0</v>
      </c>
      <c r="AG726" s="9" t="s">
        <v>112</v>
      </c>
    </row>
    <row r="727">
      <c r="A727" s="7">
        <v>44656.52279042824</v>
      </c>
      <c r="B727" s="9" t="s">
        <v>49</v>
      </c>
      <c r="C727" s="9">
        <v>27.0</v>
      </c>
      <c r="D727" s="9" t="s">
        <v>35</v>
      </c>
      <c r="E727" s="9" t="s">
        <v>246</v>
      </c>
      <c r="F727" s="9" t="s">
        <v>246</v>
      </c>
      <c r="G727" s="9" t="s">
        <v>246</v>
      </c>
      <c r="H727" s="9" t="s">
        <v>38</v>
      </c>
      <c r="I727" s="9" t="s">
        <v>3548</v>
      </c>
      <c r="J727" s="9" t="s">
        <v>3316</v>
      </c>
      <c r="K727" s="9" t="s">
        <v>39</v>
      </c>
      <c r="L727" s="9" t="s">
        <v>40</v>
      </c>
      <c r="M727" s="9" t="s">
        <v>39</v>
      </c>
      <c r="O727" s="9" t="s">
        <v>3549</v>
      </c>
      <c r="P727" s="9" t="s">
        <v>3550</v>
      </c>
      <c r="Q727" s="9" t="s">
        <v>250</v>
      </c>
      <c r="R727" s="9">
        <v>3186.0</v>
      </c>
      <c r="S727" s="9">
        <v>4000.0</v>
      </c>
      <c r="T727" s="9">
        <v>0.0</v>
      </c>
      <c r="U727" s="9">
        <v>16.0</v>
      </c>
      <c r="V727" s="9" t="s">
        <v>3551</v>
      </c>
      <c r="W727" s="9" t="s">
        <v>3552</v>
      </c>
      <c r="X727" s="9" t="s">
        <v>246</v>
      </c>
      <c r="Y727" s="9" t="s">
        <v>80</v>
      </c>
      <c r="Z727" s="9" t="s">
        <v>60</v>
      </c>
      <c r="AA727" s="9" t="s">
        <v>61</v>
      </c>
      <c r="AB727" s="9" t="s">
        <v>3553</v>
      </c>
      <c r="AC727" s="9">
        <v>2.0</v>
      </c>
      <c r="AD727" s="9">
        <v>2.0</v>
      </c>
      <c r="AE727" s="9">
        <v>0.0</v>
      </c>
      <c r="AF727" s="9">
        <v>3000.0</v>
      </c>
      <c r="AG727" s="9" t="s">
        <v>250</v>
      </c>
    </row>
    <row r="728">
      <c r="A728" s="7">
        <v>44656.52486752315</v>
      </c>
      <c r="B728" s="9" t="s">
        <v>49</v>
      </c>
      <c r="C728" s="9">
        <v>25.0</v>
      </c>
      <c r="D728" s="9" t="s">
        <v>35</v>
      </c>
      <c r="E728" s="9" t="s">
        <v>36</v>
      </c>
      <c r="F728" s="9" t="s">
        <v>50</v>
      </c>
      <c r="G728" s="9" t="s">
        <v>570</v>
      </c>
      <c r="H728" s="9" t="s">
        <v>38</v>
      </c>
      <c r="I728" s="9" t="s">
        <v>3554</v>
      </c>
      <c r="J728" s="9" t="s">
        <v>3430</v>
      </c>
      <c r="K728" s="9" t="s">
        <v>39</v>
      </c>
      <c r="L728" s="9" t="s">
        <v>39</v>
      </c>
      <c r="M728" s="9" t="s">
        <v>39</v>
      </c>
      <c r="N728" s="9" t="s">
        <v>3555</v>
      </c>
      <c r="O728" s="9" t="s">
        <v>3556</v>
      </c>
      <c r="P728" s="9" t="s">
        <v>3557</v>
      </c>
      <c r="Q728" s="9" t="s">
        <v>42</v>
      </c>
      <c r="R728" s="9">
        <v>4100.0</v>
      </c>
      <c r="S728" s="9" t="s">
        <v>3558</v>
      </c>
      <c r="T728" s="9">
        <v>0.0</v>
      </c>
      <c r="U728" s="9">
        <v>18.0</v>
      </c>
      <c r="V728" s="9" t="s">
        <v>3559</v>
      </c>
      <c r="W728" s="9" t="s">
        <v>3560</v>
      </c>
      <c r="X728" s="9" t="s">
        <v>3561</v>
      </c>
      <c r="Y728" s="9" t="s">
        <v>3562</v>
      </c>
      <c r="Z728" s="9" t="s">
        <v>90</v>
      </c>
      <c r="AA728" s="9" t="s">
        <v>611</v>
      </c>
      <c r="AB728" s="9" t="s">
        <v>3563</v>
      </c>
      <c r="AC728" s="9">
        <v>7.0</v>
      </c>
      <c r="AD728" s="9" t="s">
        <v>3564</v>
      </c>
      <c r="AE728" s="9">
        <v>1.0</v>
      </c>
      <c r="AF728" s="9">
        <v>3100.0</v>
      </c>
      <c r="AG728" s="9" t="s">
        <v>42</v>
      </c>
    </row>
    <row r="729">
      <c r="A729" s="7">
        <v>44656.52867650463</v>
      </c>
      <c r="B729" s="9" t="s">
        <v>49</v>
      </c>
      <c r="C729" s="9">
        <v>33.0</v>
      </c>
      <c r="D729" s="9" t="s">
        <v>35</v>
      </c>
      <c r="E729" s="9" t="s">
        <v>36</v>
      </c>
      <c r="F729" s="9" t="s">
        <v>124</v>
      </c>
      <c r="G729" s="9" t="s">
        <v>124</v>
      </c>
      <c r="H729" s="9" t="s">
        <v>38</v>
      </c>
      <c r="I729" s="9" t="s">
        <v>2678</v>
      </c>
      <c r="J729" s="9" t="s">
        <v>127</v>
      </c>
      <c r="K729" s="9" t="s">
        <v>40</v>
      </c>
      <c r="L729" s="9" t="s">
        <v>40</v>
      </c>
      <c r="M729" s="9" t="s">
        <v>40</v>
      </c>
      <c r="P729" s="9" t="s">
        <v>3565</v>
      </c>
      <c r="Q729" s="9" t="s">
        <v>42</v>
      </c>
      <c r="R729" s="9">
        <v>10166.67</v>
      </c>
      <c r="S729" s="9">
        <v>0.0</v>
      </c>
      <c r="T729" s="9">
        <v>0.0</v>
      </c>
      <c r="U729" s="9">
        <v>15.0</v>
      </c>
      <c r="V729" s="9" t="s">
        <v>3566</v>
      </c>
      <c r="W729" s="9" t="s">
        <v>3567</v>
      </c>
      <c r="X729" s="9" t="s">
        <v>122</v>
      </c>
      <c r="Y729" s="9" t="s">
        <v>59</v>
      </c>
      <c r="Z729" s="9" t="s">
        <v>132</v>
      </c>
      <c r="AA729" s="9" t="s">
        <v>61</v>
      </c>
      <c r="AB729" s="9" t="s">
        <v>3568</v>
      </c>
      <c r="AC729" s="9">
        <v>7.0</v>
      </c>
      <c r="AD729" s="9">
        <v>10.0</v>
      </c>
      <c r="AE729" s="9">
        <v>1.0</v>
      </c>
      <c r="AF729" s="9">
        <v>1500.0</v>
      </c>
      <c r="AG729" s="9" t="s">
        <v>112</v>
      </c>
    </row>
    <row r="730">
      <c r="A730" s="7">
        <v>44656.532883912034</v>
      </c>
      <c r="B730" s="9" t="s">
        <v>73</v>
      </c>
      <c r="C730" s="9">
        <v>25.0</v>
      </c>
      <c r="D730" s="9" t="s">
        <v>35</v>
      </c>
      <c r="E730" s="9" t="s">
        <v>36</v>
      </c>
      <c r="F730" s="9" t="s">
        <v>363</v>
      </c>
      <c r="G730" s="9" t="s">
        <v>3569</v>
      </c>
      <c r="H730" s="9" t="s">
        <v>38</v>
      </c>
      <c r="I730" s="9" t="s">
        <v>2368</v>
      </c>
      <c r="J730" s="9" t="s">
        <v>2602</v>
      </c>
      <c r="K730" s="9" t="s">
        <v>39</v>
      </c>
      <c r="L730" s="9" t="s">
        <v>40</v>
      </c>
      <c r="M730" s="9" t="s">
        <v>40</v>
      </c>
      <c r="P730" s="9" t="s">
        <v>3009</v>
      </c>
      <c r="Q730" s="9" t="s">
        <v>42</v>
      </c>
      <c r="R730" s="9">
        <v>3300.0</v>
      </c>
      <c r="S730" s="9">
        <v>500.0</v>
      </c>
      <c r="T730" s="9">
        <v>0.0</v>
      </c>
      <c r="U730" s="9">
        <v>12.0</v>
      </c>
      <c r="V730" s="9" t="s">
        <v>208</v>
      </c>
      <c r="W730" s="9" t="s">
        <v>3570</v>
      </c>
      <c r="X730" s="9" t="s">
        <v>3571</v>
      </c>
      <c r="Y730" s="9" t="s">
        <v>70</v>
      </c>
      <c r="Z730" s="9" t="s">
        <v>132</v>
      </c>
      <c r="AA730" s="9" t="s">
        <v>91</v>
      </c>
      <c r="AC730" s="9">
        <v>5.0</v>
      </c>
      <c r="AD730" s="9">
        <v>1.0</v>
      </c>
      <c r="AE730" s="9">
        <v>1.0</v>
      </c>
      <c r="AF730" s="9">
        <v>3300.0</v>
      </c>
      <c r="AG730" s="9" t="s">
        <v>42</v>
      </c>
    </row>
    <row r="731">
      <c r="A731" s="7">
        <v>44656.53657306713</v>
      </c>
      <c r="B731" s="9" t="s">
        <v>49</v>
      </c>
      <c r="C731" s="9">
        <v>26.0</v>
      </c>
      <c r="D731" s="9" t="s">
        <v>35</v>
      </c>
      <c r="E731" s="9" t="s">
        <v>36</v>
      </c>
      <c r="F731" s="9" t="s">
        <v>124</v>
      </c>
      <c r="G731" s="9" t="s">
        <v>606</v>
      </c>
      <c r="H731" s="9" t="s">
        <v>93</v>
      </c>
      <c r="I731" s="9" t="s">
        <v>3572</v>
      </c>
      <c r="J731" s="9" t="s">
        <v>3573</v>
      </c>
      <c r="K731" s="9" t="s">
        <v>39</v>
      </c>
      <c r="L731" s="9" t="s">
        <v>40</v>
      </c>
      <c r="M731" s="9" t="s">
        <v>40</v>
      </c>
      <c r="P731" s="9" t="s">
        <v>2806</v>
      </c>
      <c r="Q731" s="9" t="s">
        <v>42</v>
      </c>
      <c r="R731" s="9">
        <v>2730.0</v>
      </c>
      <c r="S731" s="9">
        <v>0.0</v>
      </c>
      <c r="T731" s="9">
        <v>0.0</v>
      </c>
      <c r="U731" s="9">
        <v>14.0</v>
      </c>
      <c r="V731" s="9" t="s">
        <v>320</v>
      </c>
      <c r="W731" s="9" t="s">
        <v>3574</v>
      </c>
      <c r="X731" s="9" t="s">
        <v>3575</v>
      </c>
      <c r="Y731" s="9" t="s">
        <v>347</v>
      </c>
      <c r="Z731" s="9" t="s">
        <v>47</v>
      </c>
      <c r="AA731" s="9" t="s">
        <v>48</v>
      </c>
      <c r="AC731" s="9">
        <v>5.0</v>
      </c>
      <c r="AD731" s="9">
        <v>5.0</v>
      </c>
      <c r="AE731" s="9">
        <v>1.0</v>
      </c>
      <c r="AF731" s="9">
        <v>2000.0</v>
      </c>
      <c r="AG731" s="9" t="s">
        <v>42</v>
      </c>
    </row>
    <row r="732">
      <c r="A732" s="7">
        <v>44656.53794608796</v>
      </c>
      <c r="B732" s="9" t="s">
        <v>49</v>
      </c>
      <c r="C732" s="9">
        <v>24.0</v>
      </c>
      <c r="D732" s="9" t="s">
        <v>35</v>
      </c>
      <c r="E732" s="9" t="s">
        <v>36</v>
      </c>
      <c r="F732" s="9" t="s">
        <v>2544</v>
      </c>
      <c r="G732" s="9" t="s">
        <v>124</v>
      </c>
      <c r="H732" s="9" t="s">
        <v>38</v>
      </c>
      <c r="I732" s="9" t="s">
        <v>2368</v>
      </c>
      <c r="J732" s="9" t="s">
        <v>3576</v>
      </c>
      <c r="K732" s="9" t="s">
        <v>39</v>
      </c>
      <c r="L732" s="9" t="s">
        <v>40</v>
      </c>
      <c r="M732" s="9" t="s">
        <v>39</v>
      </c>
      <c r="O732" s="9" t="s">
        <v>3577</v>
      </c>
      <c r="P732" s="9" t="s">
        <v>3578</v>
      </c>
      <c r="Q732" s="9" t="s">
        <v>42</v>
      </c>
      <c r="R732" s="9">
        <v>6500.0</v>
      </c>
      <c r="S732" s="9" t="s">
        <v>3579</v>
      </c>
      <c r="T732" s="9">
        <v>0.0</v>
      </c>
      <c r="U732" s="9">
        <v>18.0</v>
      </c>
      <c r="V732" s="9" t="s">
        <v>3580</v>
      </c>
      <c r="W732" s="9" t="s">
        <v>3581</v>
      </c>
      <c r="X732" s="9" t="s">
        <v>3582</v>
      </c>
      <c r="Y732" s="9" t="s">
        <v>3583</v>
      </c>
      <c r="Z732" s="9" t="s">
        <v>90</v>
      </c>
      <c r="AA732" s="9" t="s">
        <v>611</v>
      </c>
      <c r="AB732" s="9" t="s">
        <v>3584</v>
      </c>
      <c r="AC732" s="9">
        <v>8.0</v>
      </c>
      <c r="AD732" s="9">
        <v>2.0</v>
      </c>
      <c r="AE732" s="9">
        <v>4.0</v>
      </c>
      <c r="AF732" s="9">
        <v>3800.0</v>
      </c>
      <c r="AG732" s="9" t="s">
        <v>42</v>
      </c>
    </row>
    <row r="733">
      <c r="A733" s="7">
        <v>44656.53830003472</v>
      </c>
      <c r="B733" s="9" t="s">
        <v>49</v>
      </c>
      <c r="C733" s="9">
        <v>38.0</v>
      </c>
      <c r="D733" s="9" t="s">
        <v>35</v>
      </c>
      <c r="E733" s="9" t="s">
        <v>246</v>
      </c>
      <c r="F733" s="9" t="s">
        <v>246</v>
      </c>
      <c r="G733" s="9" t="s">
        <v>246</v>
      </c>
      <c r="H733" s="9" t="s">
        <v>38</v>
      </c>
      <c r="I733" s="9" t="s">
        <v>3585</v>
      </c>
      <c r="J733" s="9" t="s">
        <v>3586</v>
      </c>
      <c r="K733" s="9" t="s">
        <v>39</v>
      </c>
      <c r="L733" s="9" t="s">
        <v>40</v>
      </c>
      <c r="M733" s="9" t="s">
        <v>40</v>
      </c>
      <c r="P733" s="9" t="s">
        <v>2479</v>
      </c>
      <c r="Q733" s="9" t="s">
        <v>250</v>
      </c>
      <c r="R733" s="9">
        <v>5000.0</v>
      </c>
      <c r="S733" s="9">
        <v>0.0</v>
      </c>
      <c r="T733" s="9">
        <v>0.0</v>
      </c>
      <c r="U733" s="9">
        <v>14.0</v>
      </c>
      <c r="V733" s="9" t="s">
        <v>666</v>
      </c>
      <c r="W733" s="9" t="s">
        <v>3587</v>
      </c>
      <c r="X733" s="9" t="s">
        <v>246</v>
      </c>
      <c r="Y733" s="9" t="s">
        <v>89</v>
      </c>
      <c r="Z733" s="9" t="s">
        <v>71</v>
      </c>
      <c r="AA733" s="9" t="s">
        <v>61</v>
      </c>
      <c r="AC733" s="9">
        <v>6.0</v>
      </c>
      <c r="AD733" s="9">
        <v>11.0</v>
      </c>
      <c r="AE733" s="9">
        <v>5.0</v>
      </c>
      <c r="AF733" s="9">
        <v>1500.0</v>
      </c>
      <c r="AG733" s="9" t="s">
        <v>42</v>
      </c>
    </row>
    <row r="734">
      <c r="A734" s="7">
        <v>44656.54001862268</v>
      </c>
      <c r="B734" s="9" t="s">
        <v>49</v>
      </c>
      <c r="C734" s="9">
        <v>29.0</v>
      </c>
      <c r="D734" s="9" t="s">
        <v>35</v>
      </c>
      <c r="E734" s="9" t="s">
        <v>36</v>
      </c>
      <c r="F734" s="9" t="s">
        <v>3588</v>
      </c>
      <c r="G734" s="9" t="s">
        <v>604</v>
      </c>
      <c r="H734" s="9" t="s">
        <v>38</v>
      </c>
      <c r="I734" s="9" t="s">
        <v>3589</v>
      </c>
      <c r="J734" s="9" t="s">
        <v>3590</v>
      </c>
      <c r="K734" s="9" t="s">
        <v>40</v>
      </c>
      <c r="L734" s="9" t="s">
        <v>40</v>
      </c>
      <c r="M734" s="9" t="s">
        <v>40</v>
      </c>
      <c r="P734" s="9" t="s">
        <v>3591</v>
      </c>
      <c r="Q734" s="9" t="s">
        <v>3054</v>
      </c>
      <c r="R734" s="9">
        <v>4500.0</v>
      </c>
      <c r="U734" s="9">
        <v>12.0</v>
      </c>
      <c r="V734" s="9" t="s">
        <v>1852</v>
      </c>
      <c r="W734" s="9" t="s">
        <v>3592</v>
      </c>
      <c r="X734" s="9" t="s">
        <v>3593</v>
      </c>
      <c r="Y734" s="9" t="s">
        <v>89</v>
      </c>
      <c r="Z734" s="9" t="s">
        <v>132</v>
      </c>
      <c r="AA734" s="9" t="s">
        <v>91</v>
      </c>
      <c r="AC734" s="9">
        <v>7.0</v>
      </c>
      <c r="AD734" s="9">
        <v>2.5</v>
      </c>
      <c r="AE734" s="9">
        <v>2.0</v>
      </c>
      <c r="AF734" s="9">
        <v>2700.0</v>
      </c>
      <c r="AG734" s="9" t="s">
        <v>3054</v>
      </c>
    </row>
    <row r="735">
      <c r="A735" s="7">
        <v>44656.543756666666</v>
      </c>
      <c r="B735" s="9" t="s">
        <v>49</v>
      </c>
      <c r="C735" s="9">
        <v>24.0</v>
      </c>
      <c r="D735" s="9" t="s">
        <v>35</v>
      </c>
      <c r="E735" s="9" t="s">
        <v>36</v>
      </c>
      <c r="F735" s="9" t="s">
        <v>124</v>
      </c>
      <c r="G735" s="9" t="s">
        <v>349</v>
      </c>
      <c r="H735" s="9" t="s">
        <v>38</v>
      </c>
      <c r="I735" s="9" t="s">
        <v>2582</v>
      </c>
      <c r="J735" s="9" t="s">
        <v>2381</v>
      </c>
      <c r="K735" s="9" t="s">
        <v>39</v>
      </c>
      <c r="L735" s="9" t="s">
        <v>40</v>
      </c>
      <c r="M735" s="9" t="s">
        <v>40</v>
      </c>
      <c r="P735" s="9" t="s">
        <v>2558</v>
      </c>
      <c r="Q735" s="9" t="s">
        <v>42</v>
      </c>
      <c r="R735" s="9">
        <v>6200.0</v>
      </c>
      <c r="S735" s="9" t="s">
        <v>435</v>
      </c>
      <c r="U735" s="9">
        <v>21.0</v>
      </c>
      <c r="V735" s="9" t="s">
        <v>3594</v>
      </c>
      <c r="W735" s="9" t="s">
        <v>3595</v>
      </c>
      <c r="X735" s="9" t="s">
        <v>3596</v>
      </c>
      <c r="Y735" s="9" t="s">
        <v>59</v>
      </c>
      <c r="Z735" s="9" t="s">
        <v>81</v>
      </c>
      <c r="AA735" s="9" t="s">
        <v>61</v>
      </c>
      <c r="AB735" s="9" t="s">
        <v>3597</v>
      </c>
      <c r="AC735" s="9">
        <v>4.0</v>
      </c>
      <c r="AD735" s="9" t="s">
        <v>1255</v>
      </c>
      <c r="AE735" s="9">
        <v>0.0</v>
      </c>
      <c r="AF735" s="9">
        <v>5400.0</v>
      </c>
      <c r="AG735" s="9" t="s">
        <v>42</v>
      </c>
    </row>
    <row r="736">
      <c r="A736" s="7">
        <v>44656.56860445601</v>
      </c>
      <c r="B736" s="9" t="s">
        <v>49</v>
      </c>
      <c r="C736" s="9">
        <v>24.0</v>
      </c>
      <c r="D736" s="9" t="s">
        <v>35</v>
      </c>
      <c r="E736" s="9" t="s">
        <v>36</v>
      </c>
      <c r="F736" s="9" t="s">
        <v>50</v>
      </c>
      <c r="G736" s="9" t="s">
        <v>539</v>
      </c>
      <c r="H736" s="9" t="s">
        <v>38</v>
      </c>
      <c r="I736" s="9" t="s">
        <v>2368</v>
      </c>
      <c r="J736" s="9" t="s">
        <v>84</v>
      </c>
      <c r="K736" s="9" t="s">
        <v>39</v>
      </c>
      <c r="L736" s="9" t="s">
        <v>40</v>
      </c>
      <c r="M736" s="9" t="s">
        <v>40</v>
      </c>
      <c r="P736" s="9" t="s">
        <v>3598</v>
      </c>
      <c r="Q736" s="9" t="s">
        <v>42</v>
      </c>
      <c r="R736" s="9">
        <v>4800.0</v>
      </c>
      <c r="S736" s="9">
        <v>11000.0</v>
      </c>
      <c r="T736" s="9">
        <v>0.0</v>
      </c>
      <c r="U736" s="9">
        <v>16.0</v>
      </c>
      <c r="V736" s="9" t="s">
        <v>3599</v>
      </c>
      <c r="W736" s="9" t="s">
        <v>3600</v>
      </c>
      <c r="X736" s="9" t="s">
        <v>58</v>
      </c>
      <c r="Y736" s="9" t="s">
        <v>59</v>
      </c>
      <c r="Z736" s="9" t="s">
        <v>71</v>
      </c>
      <c r="AA736" s="9" t="s">
        <v>61</v>
      </c>
      <c r="AC736" s="9">
        <v>4.0</v>
      </c>
      <c r="AD736" s="9">
        <v>2.0</v>
      </c>
      <c r="AE736" s="9">
        <v>0.0</v>
      </c>
      <c r="AF736" s="9">
        <v>3500.0</v>
      </c>
      <c r="AG736" s="9" t="s">
        <v>42</v>
      </c>
    </row>
    <row r="737">
      <c r="A737" s="7">
        <v>44656.57135586806</v>
      </c>
      <c r="B737" s="9" t="s">
        <v>49</v>
      </c>
      <c r="C737" s="9">
        <v>22.0</v>
      </c>
      <c r="D737" s="9" t="s">
        <v>35</v>
      </c>
      <c r="E737" s="9" t="s">
        <v>36</v>
      </c>
      <c r="F737" s="9" t="s">
        <v>124</v>
      </c>
      <c r="G737" s="9" t="s">
        <v>296</v>
      </c>
      <c r="H737" s="9" t="s">
        <v>38</v>
      </c>
      <c r="I737" s="9" t="s">
        <v>2725</v>
      </c>
      <c r="J737" s="9" t="s">
        <v>3080</v>
      </c>
      <c r="K737" s="9" t="s">
        <v>39</v>
      </c>
      <c r="L737" s="9" t="s">
        <v>40</v>
      </c>
      <c r="M737" s="9" t="s">
        <v>40</v>
      </c>
      <c r="P737" s="9" t="s">
        <v>3601</v>
      </c>
      <c r="Q737" s="9" t="s">
        <v>42</v>
      </c>
      <c r="R737" s="9">
        <v>4300.0</v>
      </c>
      <c r="S737" s="9">
        <v>8600.0</v>
      </c>
      <c r="U737" s="9">
        <v>14.0</v>
      </c>
      <c r="V737" s="9" t="s">
        <v>3602</v>
      </c>
      <c r="W737" s="9" t="s">
        <v>3603</v>
      </c>
      <c r="X737" s="9" t="s">
        <v>122</v>
      </c>
      <c r="Y737" s="9" t="s">
        <v>105</v>
      </c>
      <c r="Z737" s="9" t="s">
        <v>132</v>
      </c>
      <c r="AA737" s="9" t="s">
        <v>133</v>
      </c>
      <c r="AC737" s="9">
        <v>9.0</v>
      </c>
      <c r="AD737" s="9">
        <v>1.0</v>
      </c>
      <c r="AE737" s="9">
        <v>0.0</v>
      </c>
      <c r="AF737" s="9">
        <v>4000.0</v>
      </c>
      <c r="AG737" s="9" t="s">
        <v>42</v>
      </c>
    </row>
    <row r="738">
      <c r="A738" s="7">
        <v>44656.5790809375</v>
      </c>
      <c r="B738" s="9" t="s">
        <v>49</v>
      </c>
      <c r="C738" s="9">
        <v>27.0</v>
      </c>
      <c r="D738" s="9" t="s">
        <v>35</v>
      </c>
      <c r="E738" s="9" t="s">
        <v>36</v>
      </c>
      <c r="F738" s="9" t="s">
        <v>2430</v>
      </c>
      <c r="G738" s="9" t="s">
        <v>51</v>
      </c>
      <c r="H738" s="9" t="s">
        <v>247</v>
      </c>
      <c r="I738" s="9" t="s">
        <v>2621</v>
      </c>
      <c r="J738" s="9" t="s">
        <v>2389</v>
      </c>
      <c r="K738" s="9" t="s">
        <v>39</v>
      </c>
      <c r="L738" s="9" t="s">
        <v>40</v>
      </c>
      <c r="M738" s="9" t="s">
        <v>40</v>
      </c>
      <c r="P738" s="9" t="s">
        <v>2838</v>
      </c>
      <c r="Q738" s="9" t="s">
        <v>42</v>
      </c>
      <c r="R738" s="9">
        <v>5500.0</v>
      </c>
      <c r="S738" s="9">
        <v>0.0</v>
      </c>
      <c r="U738" s="9">
        <v>14.0</v>
      </c>
      <c r="V738" s="9" t="s">
        <v>1153</v>
      </c>
      <c r="W738" s="9" t="s">
        <v>457</v>
      </c>
      <c r="X738" s="9" t="s">
        <v>180</v>
      </c>
      <c r="Y738" s="9" t="s">
        <v>70</v>
      </c>
      <c r="Z738" s="9" t="s">
        <v>71</v>
      </c>
      <c r="AA738" s="9" t="s">
        <v>61</v>
      </c>
      <c r="AC738" s="9">
        <v>7.0</v>
      </c>
      <c r="AD738" s="9">
        <v>3.0</v>
      </c>
      <c r="AE738" s="9">
        <v>1.0</v>
      </c>
      <c r="AF738" s="9">
        <v>3400.0</v>
      </c>
      <c r="AG738" s="9" t="s">
        <v>42</v>
      </c>
    </row>
    <row r="739">
      <c r="A739" s="7">
        <v>44656.60635</v>
      </c>
      <c r="B739" s="9" t="s">
        <v>49</v>
      </c>
      <c r="C739" s="9">
        <v>28.0</v>
      </c>
      <c r="D739" s="9" t="s">
        <v>35</v>
      </c>
      <c r="E739" s="9" t="s">
        <v>246</v>
      </c>
      <c r="F739" s="9" t="s">
        <v>246</v>
      </c>
      <c r="G739" s="9" t="s">
        <v>246</v>
      </c>
      <c r="H739" s="9" t="s">
        <v>38</v>
      </c>
      <c r="I739" s="9" t="s">
        <v>3604</v>
      </c>
      <c r="J739" s="9" t="s">
        <v>3605</v>
      </c>
      <c r="K739" s="9" t="s">
        <v>39</v>
      </c>
      <c r="L739" s="9" t="s">
        <v>40</v>
      </c>
      <c r="M739" s="9" t="s">
        <v>40</v>
      </c>
      <c r="P739" s="9" t="s">
        <v>3606</v>
      </c>
      <c r="Q739" s="9" t="s">
        <v>250</v>
      </c>
      <c r="R739" s="9">
        <v>4600.0</v>
      </c>
      <c r="S739" s="9">
        <v>9200.0</v>
      </c>
      <c r="T739" s="9">
        <v>0.0</v>
      </c>
      <c r="U739" s="9">
        <v>14.0</v>
      </c>
      <c r="V739" s="9" t="s">
        <v>3607</v>
      </c>
      <c r="W739" s="9" t="s">
        <v>3608</v>
      </c>
      <c r="X739" s="9" t="s">
        <v>246</v>
      </c>
      <c r="Y739" s="9" t="s">
        <v>116</v>
      </c>
      <c r="Z739" s="9" t="s">
        <v>132</v>
      </c>
      <c r="AA739" s="9" t="s">
        <v>91</v>
      </c>
      <c r="AB739" s="9" t="s">
        <v>37</v>
      </c>
      <c r="AC739" s="9">
        <v>6.0</v>
      </c>
      <c r="AD739" s="9">
        <v>3.0</v>
      </c>
      <c r="AE739" s="9">
        <v>2.0</v>
      </c>
      <c r="AF739" s="9">
        <v>3600.0</v>
      </c>
      <c r="AG739" s="9" t="s">
        <v>250</v>
      </c>
    </row>
    <row r="740">
      <c r="A740" s="7">
        <v>44656.62601605324</v>
      </c>
      <c r="B740" s="9" t="s">
        <v>49</v>
      </c>
      <c r="C740" s="9">
        <v>23.0</v>
      </c>
      <c r="D740" s="9" t="s">
        <v>35</v>
      </c>
      <c r="E740" s="9" t="s">
        <v>36</v>
      </c>
      <c r="F740" s="9" t="s">
        <v>363</v>
      </c>
      <c r="G740" s="9" t="s">
        <v>212</v>
      </c>
      <c r="H740" s="9" t="s">
        <v>93</v>
      </c>
      <c r="I740" s="9" t="s">
        <v>3609</v>
      </c>
      <c r="J740" s="9" t="s">
        <v>3610</v>
      </c>
      <c r="K740" s="9" t="s">
        <v>39</v>
      </c>
      <c r="L740" s="9" t="s">
        <v>39</v>
      </c>
      <c r="M740" s="9" t="s">
        <v>40</v>
      </c>
      <c r="P740" s="9" t="s">
        <v>3611</v>
      </c>
      <c r="Q740" s="9" t="s">
        <v>2934</v>
      </c>
      <c r="R740" s="9">
        <v>3000.0</v>
      </c>
      <c r="T740" s="9">
        <v>0.0</v>
      </c>
      <c r="U740" s="9">
        <v>0.0</v>
      </c>
      <c r="V740" s="9" t="s">
        <v>3612</v>
      </c>
      <c r="W740" s="9" t="s">
        <v>457</v>
      </c>
      <c r="X740" s="9" t="s">
        <v>171</v>
      </c>
      <c r="Y740" s="9" t="s">
        <v>70</v>
      </c>
      <c r="Z740" s="9" t="s">
        <v>47</v>
      </c>
      <c r="AA740" s="9" t="s">
        <v>61</v>
      </c>
      <c r="AC740" s="9">
        <v>6.0</v>
      </c>
      <c r="AD740" s="9">
        <v>0.0</v>
      </c>
      <c r="AE740" s="9">
        <v>0.0</v>
      </c>
      <c r="AF740" s="9">
        <v>1.0</v>
      </c>
      <c r="AG740" s="9" t="s">
        <v>2934</v>
      </c>
    </row>
    <row r="741">
      <c r="A741" s="7">
        <v>44656.6370106713</v>
      </c>
      <c r="B741" s="9" t="s">
        <v>49</v>
      </c>
      <c r="C741" s="9">
        <v>24.0</v>
      </c>
      <c r="D741" s="9" t="s">
        <v>35</v>
      </c>
      <c r="E741" s="9" t="s">
        <v>36</v>
      </c>
      <c r="F741" s="9" t="s">
        <v>412</v>
      </c>
      <c r="G741" s="9" t="s">
        <v>625</v>
      </c>
      <c r="H741" s="9" t="s">
        <v>38</v>
      </c>
      <c r="I741" s="9" t="s">
        <v>2368</v>
      </c>
      <c r="K741" s="9" t="s">
        <v>39</v>
      </c>
      <c r="L741" s="9" t="s">
        <v>40</v>
      </c>
      <c r="M741" s="9" t="s">
        <v>39</v>
      </c>
      <c r="O741" s="9" t="s">
        <v>3613</v>
      </c>
      <c r="P741" s="9" t="s">
        <v>76</v>
      </c>
      <c r="Q741" s="9" t="s">
        <v>42</v>
      </c>
      <c r="R741" s="9">
        <v>700.0</v>
      </c>
      <c r="S741" s="9">
        <v>0.0</v>
      </c>
      <c r="T741" s="9">
        <v>0.0</v>
      </c>
      <c r="U741" s="9">
        <v>0.0</v>
      </c>
      <c r="V741" s="9" t="s">
        <v>3614</v>
      </c>
      <c r="W741" s="9" t="s">
        <v>3615</v>
      </c>
      <c r="X741" s="9" t="s">
        <v>683</v>
      </c>
      <c r="Y741" s="9" t="s">
        <v>481</v>
      </c>
      <c r="Z741" s="9" t="s">
        <v>132</v>
      </c>
      <c r="AA741" s="9" t="s">
        <v>61</v>
      </c>
      <c r="AB741" s="9" t="s">
        <v>3616</v>
      </c>
      <c r="AC741" s="9">
        <v>10.0</v>
      </c>
      <c r="AD741" s="9">
        <v>0.0</v>
      </c>
      <c r="AE741" s="9">
        <v>0.0</v>
      </c>
      <c r="AF741" s="9">
        <v>700.0</v>
      </c>
      <c r="AG741" s="9" t="s">
        <v>42</v>
      </c>
    </row>
    <row r="742">
      <c r="A742" s="7">
        <v>44656.653293703705</v>
      </c>
      <c r="B742" s="9" t="s">
        <v>49</v>
      </c>
      <c r="C742" s="9">
        <v>23.0</v>
      </c>
      <c r="D742" s="9" t="s">
        <v>35</v>
      </c>
      <c r="E742" s="9" t="s">
        <v>36</v>
      </c>
      <c r="F742" s="9" t="s">
        <v>3050</v>
      </c>
      <c r="G742" s="9" t="s">
        <v>3617</v>
      </c>
      <c r="H742" s="9" t="s">
        <v>38</v>
      </c>
      <c r="I742" s="9" t="s">
        <v>2442</v>
      </c>
      <c r="J742" s="9" t="s">
        <v>2832</v>
      </c>
      <c r="K742" s="9" t="s">
        <v>39</v>
      </c>
      <c r="L742" s="9" t="s">
        <v>39</v>
      </c>
      <c r="M742" s="9" t="s">
        <v>40</v>
      </c>
      <c r="N742" s="9" t="s">
        <v>3618</v>
      </c>
      <c r="P742" s="9" t="s">
        <v>3619</v>
      </c>
      <c r="Q742" s="9" t="s">
        <v>3054</v>
      </c>
      <c r="R742" s="9">
        <v>3900.0</v>
      </c>
      <c r="U742" s="9">
        <v>20.0</v>
      </c>
      <c r="V742" s="9" t="s">
        <v>3620</v>
      </c>
      <c r="W742" s="9" t="s">
        <v>3621</v>
      </c>
      <c r="X742" s="9" t="s">
        <v>3622</v>
      </c>
      <c r="Y742" s="9" t="s">
        <v>481</v>
      </c>
      <c r="Z742" s="9" t="s">
        <v>60</v>
      </c>
      <c r="AA742" s="9" t="s">
        <v>611</v>
      </c>
      <c r="AC742" s="9">
        <v>8.0</v>
      </c>
      <c r="AD742" s="9">
        <v>2.0</v>
      </c>
      <c r="AE742" s="9">
        <v>1.0</v>
      </c>
      <c r="AF742" s="9">
        <v>3000.0</v>
      </c>
      <c r="AG742" s="9" t="s">
        <v>3054</v>
      </c>
    </row>
    <row r="743">
      <c r="A743" s="7">
        <v>44656.65846827546</v>
      </c>
      <c r="B743" s="9" t="s">
        <v>49</v>
      </c>
      <c r="C743" s="9">
        <v>29.0</v>
      </c>
      <c r="D743" s="9" t="s">
        <v>35</v>
      </c>
      <c r="E743" s="9" t="s">
        <v>36</v>
      </c>
      <c r="F743" s="9" t="s">
        <v>3623</v>
      </c>
      <c r="G743" s="9" t="s">
        <v>3623</v>
      </c>
      <c r="H743" s="9" t="s">
        <v>38</v>
      </c>
      <c r="I743" s="9" t="s">
        <v>2388</v>
      </c>
      <c r="J743" s="9" t="s">
        <v>3624</v>
      </c>
      <c r="K743" s="9" t="s">
        <v>39</v>
      </c>
      <c r="L743" s="9" t="s">
        <v>40</v>
      </c>
      <c r="M743" s="9" t="s">
        <v>40</v>
      </c>
      <c r="P743" s="9" t="s">
        <v>3625</v>
      </c>
      <c r="Q743" s="9" t="s">
        <v>2521</v>
      </c>
      <c r="R743" s="9">
        <v>9000.0</v>
      </c>
      <c r="S743" s="9">
        <v>10000.0</v>
      </c>
      <c r="T743" s="9">
        <v>0.0</v>
      </c>
      <c r="U743" s="9">
        <v>22.0</v>
      </c>
      <c r="V743" s="9" t="s">
        <v>3626</v>
      </c>
      <c r="W743" s="9" t="s">
        <v>3627</v>
      </c>
      <c r="X743" s="9" t="s">
        <v>2390</v>
      </c>
      <c r="Y743" s="9" t="s">
        <v>59</v>
      </c>
      <c r="Z743" s="9" t="s">
        <v>60</v>
      </c>
      <c r="AA743" s="9" t="s">
        <v>61</v>
      </c>
      <c r="AC743" s="9">
        <v>8.0</v>
      </c>
      <c r="AD743" s="9">
        <v>6.0</v>
      </c>
      <c r="AE743" s="9">
        <v>1.0</v>
      </c>
      <c r="AF743" s="9">
        <v>6500.0</v>
      </c>
      <c r="AG743" s="9" t="s">
        <v>2521</v>
      </c>
    </row>
    <row r="744">
      <c r="A744" s="7">
        <v>44656.67817039352</v>
      </c>
      <c r="B744" s="9" t="s">
        <v>49</v>
      </c>
      <c r="C744" s="9">
        <v>28.0</v>
      </c>
      <c r="D744" s="9" t="s">
        <v>35</v>
      </c>
      <c r="E744" s="9" t="s">
        <v>36</v>
      </c>
      <c r="F744" s="9" t="s">
        <v>2544</v>
      </c>
      <c r="G744" s="9" t="s">
        <v>2544</v>
      </c>
      <c r="H744" s="9" t="s">
        <v>38</v>
      </c>
      <c r="I744" s="9" t="s">
        <v>3628</v>
      </c>
      <c r="J744" s="9" t="s">
        <v>2444</v>
      </c>
      <c r="K744" s="9" t="s">
        <v>39</v>
      </c>
      <c r="L744" s="9" t="s">
        <v>40</v>
      </c>
      <c r="M744" s="9" t="s">
        <v>40</v>
      </c>
      <c r="P744" s="9" t="s">
        <v>128</v>
      </c>
      <c r="Q744" s="9" t="s">
        <v>42</v>
      </c>
      <c r="R744" s="9">
        <v>5800.0</v>
      </c>
      <c r="S744" s="9">
        <v>0.0</v>
      </c>
      <c r="T744" s="9">
        <v>0.0</v>
      </c>
      <c r="U744" s="9">
        <v>15.0</v>
      </c>
      <c r="V744" s="9" t="s">
        <v>3629</v>
      </c>
      <c r="W744" s="9" t="s">
        <v>3630</v>
      </c>
      <c r="X744" s="9" t="s">
        <v>122</v>
      </c>
      <c r="Y744" s="9" t="s">
        <v>59</v>
      </c>
      <c r="Z744" s="9" t="s">
        <v>132</v>
      </c>
      <c r="AA744" s="9" t="s">
        <v>91</v>
      </c>
      <c r="AC744" s="9">
        <v>4.0</v>
      </c>
      <c r="AD744" s="9">
        <v>4.5</v>
      </c>
      <c r="AE744" s="9">
        <v>2.0</v>
      </c>
      <c r="AF744" s="9">
        <v>3300.0</v>
      </c>
      <c r="AG744" s="9" t="s">
        <v>42</v>
      </c>
    </row>
    <row r="745">
      <c r="A745" s="7">
        <v>44656.68913803241</v>
      </c>
      <c r="B745" s="9" t="s">
        <v>49</v>
      </c>
      <c r="C745" s="9">
        <v>29.0</v>
      </c>
      <c r="D745" s="9" t="s">
        <v>35</v>
      </c>
      <c r="E745" s="9" t="s">
        <v>36</v>
      </c>
      <c r="F745" s="9" t="s">
        <v>50</v>
      </c>
      <c r="G745" s="9" t="s">
        <v>117</v>
      </c>
      <c r="H745" s="9" t="s">
        <v>93</v>
      </c>
      <c r="I745" s="9" t="s">
        <v>1246</v>
      </c>
      <c r="J745" s="9" t="s">
        <v>3016</v>
      </c>
      <c r="K745" s="9" t="s">
        <v>39</v>
      </c>
      <c r="L745" s="9" t="s">
        <v>40</v>
      </c>
      <c r="M745" s="9" t="s">
        <v>40</v>
      </c>
      <c r="P745" s="9" t="s">
        <v>146</v>
      </c>
      <c r="Q745" s="9" t="s">
        <v>42</v>
      </c>
      <c r="R745" s="9">
        <v>7000.0</v>
      </c>
      <c r="S745" s="9">
        <v>0.0</v>
      </c>
      <c r="T745" s="9">
        <v>0.0</v>
      </c>
      <c r="U745" s="9">
        <v>18.0</v>
      </c>
      <c r="V745" s="9" t="s">
        <v>3631</v>
      </c>
      <c r="W745" s="9" t="s">
        <v>3632</v>
      </c>
      <c r="X745" s="9" t="s">
        <v>122</v>
      </c>
      <c r="Y745" s="9" t="s">
        <v>423</v>
      </c>
      <c r="Z745" s="9" t="s">
        <v>81</v>
      </c>
      <c r="AA745" s="9" t="s">
        <v>133</v>
      </c>
      <c r="AC745" s="9">
        <v>9.0</v>
      </c>
      <c r="AD745" s="9">
        <v>6.0</v>
      </c>
      <c r="AE745" s="9">
        <v>4.0</v>
      </c>
      <c r="AF745" s="9">
        <v>2300.0</v>
      </c>
      <c r="AG745" s="9" t="s">
        <v>42</v>
      </c>
    </row>
    <row r="746">
      <c r="A746" s="7">
        <v>44656.69842596065</v>
      </c>
      <c r="B746" s="9" t="s">
        <v>49</v>
      </c>
      <c r="C746" s="9">
        <v>45.0</v>
      </c>
      <c r="D746" s="9" t="s">
        <v>35</v>
      </c>
      <c r="E746" s="9" t="s">
        <v>36</v>
      </c>
      <c r="F746" s="9" t="s">
        <v>50</v>
      </c>
      <c r="G746" s="9" t="s">
        <v>51</v>
      </c>
      <c r="H746" s="9" t="s">
        <v>247</v>
      </c>
      <c r="I746" s="9" t="s">
        <v>2630</v>
      </c>
      <c r="J746" s="9" t="s">
        <v>234</v>
      </c>
      <c r="K746" s="9" t="s">
        <v>39</v>
      </c>
      <c r="L746" s="9" t="s">
        <v>39</v>
      </c>
      <c r="M746" s="9" t="s">
        <v>39</v>
      </c>
      <c r="N746" s="9" t="s">
        <v>3633</v>
      </c>
      <c r="P746" s="9" t="s">
        <v>3634</v>
      </c>
      <c r="Q746" s="9" t="s">
        <v>42</v>
      </c>
      <c r="R746" s="9">
        <v>17000.0</v>
      </c>
      <c r="S746" s="9">
        <v>17000.0</v>
      </c>
      <c r="T746" s="9">
        <v>0.0</v>
      </c>
      <c r="U746" s="9">
        <v>18.0</v>
      </c>
      <c r="V746" s="9" t="s">
        <v>3635</v>
      </c>
      <c r="W746" s="9" t="s">
        <v>3636</v>
      </c>
      <c r="X746" s="9" t="s">
        <v>58</v>
      </c>
      <c r="Y746" s="9" t="s">
        <v>347</v>
      </c>
      <c r="Z746" s="9" t="s">
        <v>132</v>
      </c>
      <c r="AA746" s="9" t="s">
        <v>91</v>
      </c>
      <c r="AC746" s="9">
        <v>8.0</v>
      </c>
      <c r="AD746" s="9">
        <v>21.0</v>
      </c>
      <c r="AE746" s="9">
        <v>5.0</v>
      </c>
      <c r="AF746" s="9">
        <v>2200.0</v>
      </c>
      <c r="AG746" s="9" t="s">
        <v>42</v>
      </c>
    </row>
    <row r="747">
      <c r="A747" s="7">
        <v>44656.71779815972</v>
      </c>
      <c r="B747" s="9" t="s">
        <v>73</v>
      </c>
      <c r="C747" s="9">
        <v>33.0</v>
      </c>
      <c r="D747" s="9" t="s">
        <v>35</v>
      </c>
      <c r="E747" s="9" t="s">
        <v>36</v>
      </c>
      <c r="F747" s="9" t="s">
        <v>2544</v>
      </c>
      <c r="G747" s="9" t="s">
        <v>2544</v>
      </c>
      <c r="H747" s="9" t="s">
        <v>38</v>
      </c>
      <c r="I747" s="9" t="s">
        <v>2758</v>
      </c>
      <c r="J747" s="9" t="s">
        <v>3637</v>
      </c>
      <c r="K747" s="9" t="s">
        <v>39</v>
      </c>
      <c r="L747" s="9" t="s">
        <v>40</v>
      </c>
      <c r="M747" s="9" t="s">
        <v>39</v>
      </c>
      <c r="O747" s="9" t="s">
        <v>3638</v>
      </c>
      <c r="P747" s="9" t="s">
        <v>3639</v>
      </c>
      <c r="Q747" s="9" t="s">
        <v>42</v>
      </c>
      <c r="R747" s="9">
        <v>10000.0</v>
      </c>
      <c r="S747" s="9">
        <v>18000.0</v>
      </c>
      <c r="T747" s="9">
        <v>0.0</v>
      </c>
      <c r="U747" s="9">
        <v>21.0</v>
      </c>
      <c r="V747" s="9" t="s">
        <v>3640</v>
      </c>
      <c r="W747" s="9" t="s">
        <v>3641</v>
      </c>
      <c r="X747" s="9" t="s">
        <v>390</v>
      </c>
      <c r="Y747" s="9" t="s">
        <v>185</v>
      </c>
      <c r="Z747" s="9" t="s">
        <v>132</v>
      </c>
      <c r="AA747" s="9" t="s">
        <v>61</v>
      </c>
      <c r="AC747" s="9">
        <v>8.0</v>
      </c>
      <c r="AD747" s="9">
        <v>10.0</v>
      </c>
      <c r="AE747" s="9">
        <v>1.0</v>
      </c>
      <c r="AF747" s="9">
        <v>3500.0</v>
      </c>
      <c r="AG747" s="9" t="s">
        <v>42</v>
      </c>
    </row>
    <row r="748">
      <c r="A748" s="7">
        <v>44656.71902539352</v>
      </c>
      <c r="B748" s="9" t="s">
        <v>49</v>
      </c>
      <c r="C748" s="9">
        <v>28.0</v>
      </c>
      <c r="D748" s="9" t="s">
        <v>35</v>
      </c>
      <c r="E748" s="9" t="s">
        <v>36</v>
      </c>
      <c r="F748" s="9" t="s">
        <v>50</v>
      </c>
      <c r="G748" s="9" t="s">
        <v>206</v>
      </c>
      <c r="H748" s="9" t="s">
        <v>38</v>
      </c>
      <c r="I748" s="9" t="s">
        <v>2368</v>
      </c>
      <c r="J748" s="9" t="s">
        <v>2444</v>
      </c>
      <c r="K748" s="9" t="s">
        <v>39</v>
      </c>
      <c r="L748" s="9" t="s">
        <v>39</v>
      </c>
      <c r="M748" s="9" t="s">
        <v>40</v>
      </c>
      <c r="N748" s="9" t="s">
        <v>3642</v>
      </c>
      <c r="P748" s="9" t="s">
        <v>3643</v>
      </c>
      <c r="Q748" s="9" t="s">
        <v>42</v>
      </c>
      <c r="R748" s="9">
        <v>4000.0</v>
      </c>
      <c r="S748" s="9">
        <v>1.0</v>
      </c>
      <c r="U748" s="9">
        <v>12.0</v>
      </c>
      <c r="V748" s="9" t="s">
        <v>1950</v>
      </c>
      <c r="W748" s="9" t="s">
        <v>87</v>
      </c>
      <c r="X748" s="9" t="s">
        <v>349</v>
      </c>
      <c r="Y748" s="9" t="s">
        <v>350</v>
      </c>
      <c r="Z748" s="9" t="s">
        <v>132</v>
      </c>
      <c r="AA748" s="9" t="s">
        <v>91</v>
      </c>
      <c r="AC748" s="9">
        <v>5.0</v>
      </c>
      <c r="AD748" s="9">
        <v>6.0</v>
      </c>
      <c r="AE748" s="9">
        <v>3.0</v>
      </c>
      <c r="AF748" s="9">
        <v>3500.0</v>
      </c>
      <c r="AG748" s="9" t="s">
        <v>42</v>
      </c>
    </row>
    <row r="749">
      <c r="A749" s="7">
        <v>44656.75638900463</v>
      </c>
      <c r="B749" s="9" t="s">
        <v>49</v>
      </c>
      <c r="C749" s="9">
        <v>28.0</v>
      </c>
      <c r="D749" s="9" t="s">
        <v>35</v>
      </c>
      <c r="E749" s="9" t="s">
        <v>36</v>
      </c>
      <c r="F749" s="9" t="s">
        <v>50</v>
      </c>
      <c r="G749" s="9" t="s">
        <v>3644</v>
      </c>
      <c r="H749" s="9" t="s">
        <v>38</v>
      </c>
      <c r="I749" s="9" t="s">
        <v>2442</v>
      </c>
      <c r="J749" s="9" t="s">
        <v>3645</v>
      </c>
      <c r="K749" s="9" t="s">
        <v>39</v>
      </c>
      <c r="L749" s="9" t="s">
        <v>40</v>
      </c>
      <c r="M749" s="9" t="s">
        <v>40</v>
      </c>
      <c r="P749" s="9" t="s">
        <v>3646</v>
      </c>
      <c r="Q749" s="9" t="s">
        <v>42</v>
      </c>
      <c r="R749" s="9">
        <v>8000.0</v>
      </c>
      <c r="S749" s="9">
        <v>20000.0</v>
      </c>
      <c r="T749" s="9">
        <v>0.0</v>
      </c>
      <c r="U749" s="9">
        <v>14.0</v>
      </c>
      <c r="V749" s="9" t="s">
        <v>3647</v>
      </c>
      <c r="W749" s="9" t="s">
        <v>3648</v>
      </c>
      <c r="X749" s="9" t="s">
        <v>3649</v>
      </c>
      <c r="Y749" s="9" t="s">
        <v>89</v>
      </c>
      <c r="Z749" s="9" t="s">
        <v>47</v>
      </c>
      <c r="AA749" s="9" t="s">
        <v>61</v>
      </c>
      <c r="AB749" s="9" t="s">
        <v>3650</v>
      </c>
      <c r="AC749" s="9">
        <v>10.0</v>
      </c>
      <c r="AD749" s="9">
        <v>1.0</v>
      </c>
      <c r="AE749" s="9">
        <v>3.0</v>
      </c>
      <c r="AF749" s="9">
        <v>3000.0</v>
      </c>
      <c r="AG749" s="9" t="s">
        <v>2934</v>
      </c>
    </row>
    <row r="750">
      <c r="A750" s="7">
        <v>44656.79895748843</v>
      </c>
      <c r="B750" s="9" t="s">
        <v>73</v>
      </c>
      <c r="C750" s="9">
        <v>25.0</v>
      </c>
      <c r="D750" s="9" t="s">
        <v>35</v>
      </c>
      <c r="E750" s="9" t="s">
        <v>36</v>
      </c>
      <c r="F750" s="9" t="s">
        <v>50</v>
      </c>
      <c r="G750" s="9" t="s">
        <v>3651</v>
      </c>
      <c r="H750" s="9" t="s">
        <v>38</v>
      </c>
      <c r="I750" s="9" t="s">
        <v>2852</v>
      </c>
      <c r="J750" s="9" t="s">
        <v>3243</v>
      </c>
      <c r="K750" s="9" t="s">
        <v>39</v>
      </c>
      <c r="L750" s="9" t="s">
        <v>40</v>
      </c>
      <c r="M750" s="9" t="s">
        <v>40</v>
      </c>
      <c r="P750" s="9" t="s">
        <v>146</v>
      </c>
      <c r="Q750" s="9" t="s">
        <v>42</v>
      </c>
      <c r="R750" s="9">
        <v>3500.0</v>
      </c>
      <c r="S750" s="9" t="s">
        <v>3652</v>
      </c>
      <c r="T750" s="9">
        <v>0.0</v>
      </c>
      <c r="U750" s="9">
        <v>12.0</v>
      </c>
      <c r="V750" s="9" t="s">
        <v>3653</v>
      </c>
      <c r="W750" s="9" t="s">
        <v>3654</v>
      </c>
      <c r="X750" s="9" t="s">
        <v>3651</v>
      </c>
      <c r="Y750" s="9" t="s">
        <v>59</v>
      </c>
      <c r="Z750" s="9" t="s">
        <v>132</v>
      </c>
      <c r="AA750" s="9" t="s">
        <v>61</v>
      </c>
      <c r="AC750" s="9">
        <v>6.0</v>
      </c>
      <c r="AD750" s="9">
        <v>2.0</v>
      </c>
      <c r="AE750" s="9">
        <v>1.0</v>
      </c>
      <c r="AF750" s="9">
        <v>3000.0</v>
      </c>
      <c r="AG750" s="9" t="s">
        <v>42</v>
      </c>
    </row>
    <row r="751">
      <c r="A751" s="7">
        <v>44656.96005768518</v>
      </c>
      <c r="B751" s="9" t="s">
        <v>49</v>
      </c>
      <c r="C751" s="9">
        <v>29.0</v>
      </c>
      <c r="D751" s="9" t="s">
        <v>35</v>
      </c>
      <c r="E751" s="9" t="s">
        <v>36</v>
      </c>
      <c r="F751" s="9" t="s">
        <v>349</v>
      </c>
      <c r="G751" s="9" t="s">
        <v>349</v>
      </c>
      <c r="H751" s="9" t="s">
        <v>38</v>
      </c>
      <c r="I751" s="9" t="s">
        <v>3655</v>
      </c>
      <c r="K751" s="9" t="s">
        <v>39</v>
      </c>
      <c r="L751" s="9" t="s">
        <v>40</v>
      </c>
      <c r="M751" s="9" t="s">
        <v>40</v>
      </c>
      <c r="P751" s="9" t="s">
        <v>1699</v>
      </c>
      <c r="Q751" s="9" t="s">
        <v>42</v>
      </c>
      <c r="R751" s="9">
        <v>5800.0</v>
      </c>
      <c r="S751" s="9">
        <v>20000.0</v>
      </c>
      <c r="T751" s="9">
        <v>0.0</v>
      </c>
      <c r="U751" s="9">
        <v>14.0</v>
      </c>
      <c r="V751" s="9" t="s">
        <v>3656</v>
      </c>
      <c r="W751" s="9" t="s">
        <v>1388</v>
      </c>
      <c r="X751" s="9" t="s">
        <v>131</v>
      </c>
      <c r="Y751" s="9" t="s">
        <v>80</v>
      </c>
      <c r="Z751" s="9" t="s">
        <v>90</v>
      </c>
      <c r="AA751" s="9" t="s">
        <v>61</v>
      </c>
      <c r="AC751" s="9">
        <v>9.0</v>
      </c>
      <c r="AD751" s="9">
        <v>5.0</v>
      </c>
      <c r="AE751" s="9">
        <v>1.0</v>
      </c>
      <c r="AF751" s="9">
        <v>3400.0</v>
      </c>
      <c r="AG751" s="9" t="s">
        <v>42</v>
      </c>
    </row>
    <row r="752">
      <c r="A752" s="7">
        <v>44657.78977616898</v>
      </c>
      <c r="B752" s="9" t="s">
        <v>49</v>
      </c>
      <c r="C752" s="9">
        <v>26.0</v>
      </c>
      <c r="D752" s="9" t="s">
        <v>35</v>
      </c>
      <c r="E752" s="9" t="s">
        <v>36</v>
      </c>
      <c r="F752" s="9" t="s">
        <v>349</v>
      </c>
      <c r="G752" s="9" t="s">
        <v>349</v>
      </c>
      <c r="H752" s="9" t="s">
        <v>38</v>
      </c>
      <c r="I752" s="9" t="s">
        <v>2368</v>
      </c>
      <c r="J752" s="9" t="s">
        <v>2381</v>
      </c>
      <c r="K752" s="9" t="s">
        <v>39</v>
      </c>
      <c r="L752" s="9" t="s">
        <v>40</v>
      </c>
      <c r="M752" s="9" t="s">
        <v>40</v>
      </c>
      <c r="P752" s="9" t="s">
        <v>2538</v>
      </c>
      <c r="Q752" s="9" t="s">
        <v>42</v>
      </c>
      <c r="R752" s="9">
        <v>7000.0</v>
      </c>
      <c r="S752" s="9" t="s">
        <v>3657</v>
      </c>
      <c r="T752" s="9">
        <v>0.0</v>
      </c>
      <c r="U752" s="9">
        <v>21.0</v>
      </c>
      <c r="V752" s="9" t="s">
        <v>3658</v>
      </c>
      <c r="W752" s="9" t="s">
        <v>3659</v>
      </c>
      <c r="X752" s="9" t="s">
        <v>131</v>
      </c>
      <c r="Y752" s="9" t="s">
        <v>59</v>
      </c>
      <c r="Z752" s="9" t="s">
        <v>60</v>
      </c>
      <c r="AA752" s="9" t="s">
        <v>133</v>
      </c>
      <c r="AC752" s="9">
        <v>7.0</v>
      </c>
      <c r="AD752" s="9">
        <v>3.0</v>
      </c>
      <c r="AE752" s="9">
        <v>0.0</v>
      </c>
      <c r="AF752" s="9">
        <v>4500.0</v>
      </c>
      <c r="AG752" s="9" t="s">
        <v>42</v>
      </c>
    </row>
    <row r="753">
      <c r="A753" s="7">
        <v>44659.589146921295</v>
      </c>
      <c r="B753" s="9" t="s">
        <v>49</v>
      </c>
      <c r="C753" s="9">
        <v>20.0</v>
      </c>
      <c r="D753" s="9" t="s">
        <v>35</v>
      </c>
      <c r="E753" s="9" t="s">
        <v>36</v>
      </c>
      <c r="F753" s="9" t="s">
        <v>124</v>
      </c>
      <c r="G753" s="9" t="s">
        <v>206</v>
      </c>
      <c r="H753" s="9" t="s">
        <v>93</v>
      </c>
      <c r="I753" s="9" t="s">
        <v>3660</v>
      </c>
      <c r="J753" s="9" t="s">
        <v>161</v>
      </c>
      <c r="K753" s="9" t="s">
        <v>39</v>
      </c>
      <c r="L753" s="9" t="s">
        <v>40</v>
      </c>
      <c r="M753" s="9" t="s">
        <v>40</v>
      </c>
      <c r="P753" s="9" t="s">
        <v>3661</v>
      </c>
      <c r="Q753" s="9" t="s">
        <v>42</v>
      </c>
      <c r="R753" s="9">
        <v>4500.0</v>
      </c>
      <c r="S753" s="9">
        <v>0.0</v>
      </c>
      <c r="U753" s="9">
        <v>13.0</v>
      </c>
      <c r="V753" s="9" t="s">
        <v>3662</v>
      </c>
      <c r="W753" s="9" t="s">
        <v>3663</v>
      </c>
      <c r="X753" s="9" t="s">
        <v>3664</v>
      </c>
      <c r="Y753" s="9" t="s">
        <v>89</v>
      </c>
      <c r="Z753" s="9" t="s">
        <v>132</v>
      </c>
      <c r="AA753" s="9" t="s">
        <v>91</v>
      </c>
      <c r="AC753" s="9">
        <v>7.0</v>
      </c>
      <c r="AD753" s="9">
        <v>0.6</v>
      </c>
      <c r="AE753" s="9">
        <v>0.0</v>
      </c>
      <c r="AF753" s="9">
        <v>2600.0</v>
      </c>
      <c r="AG753" s="9" t="s">
        <v>42</v>
      </c>
    </row>
    <row r="754">
      <c r="A754" s="7">
        <v>44659.78485790509</v>
      </c>
      <c r="B754" s="9" t="s">
        <v>73</v>
      </c>
      <c r="C754" s="9">
        <v>28.0</v>
      </c>
      <c r="D754" s="9" t="s">
        <v>35</v>
      </c>
      <c r="E754" s="9" t="s">
        <v>36</v>
      </c>
      <c r="F754" s="9" t="s">
        <v>363</v>
      </c>
      <c r="G754" s="9" t="s">
        <v>363</v>
      </c>
      <c r="H754" s="9" t="s">
        <v>38</v>
      </c>
      <c r="I754" s="9" t="s">
        <v>3665</v>
      </c>
      <c r="J754" s="9" t="s">
        <v>3666</v>
      </c>
      <c r="K754" s="9" t="s">
        <v>39</v>
      </c>
      <c r="L754" s="9" t="s">
        <v>40</v>
      </c>
      <c r="M754" s="9" t="s">
        <v>40</v>
      </c>
      <c r="P754" s="9" t="s">
        <v>3667</v>
      </c>
      <c r="Q754" s="9" t="s">
        <v>2934</v>
      </c>
      <c r="R754" s="9">
        <v>5000.0</v>
      </c>
      <c r="S754" s="9">
        <v>0.0</v>
      </c>
      <c r="T754" s="9">
        <v>16000.0</v>
      </c>
      <c r="U754" s="9">
        <v>15.0</v>
      </c>
      <c r="V754" s="9" t="s">
        <v>3668</v>
      </c>
      <c r="W754" s="9" t="s">
        <v>809</v>
      </c>
      <c r="X754" s="9" t="s">
        <v>363</v>
      </c>
      <c r="Y754" s="9" t="s">
        <v>80</v>
      </c>
      <c r="Z754" s="9" t="s">
        <v>60</v>
      </c>
      <c r="AA754" s="9" t="s">
        <v>61</v>
      </c>
      <c r="AC754" s="9">
        <v>9.0</v>
      </c>
      <c r="AD754" s="9">
        <v>3.0</v>
      </c>
      <c r="AE754" s="9">
        <v>0.0</v>
      </c>
      <c r="AF754" s="9">
        <v>4000.0</v>
      </c>
      <c r="AG754" s="9" t="s">
        <v>2934</v>
      </c>
    </row>
    <row r="755">
      <c r="A755" s="7">
        <v>44659.78680346065</v>
      </c>
      <c r="B755" s="9" t="s">
        <v>49</v>
      </c>
      <c r="C755" s="9">
        <v>27.0</v>
      </c>
      <c r="D755" s="9" t="s">
        <v>35</v>
      </c>
      <c r="E755" s="9" t="s">
        <v>36</v>
      </c>
      <c r="F755" s="9" t="s">
        <v>50</v>
      </c>
      <c r="H755" s="9" t="s">
        <v>38</v>
      </c>
      <c r="I755" s="9" t="s">
        <v>3669</v>
      </c>
      <c r="J755" s="9" t="s">
        <v>2563</v>
      </c>
      <c r="K755" s="9" t="s">
        <v>39</v>
      </c>
      <c r="L755" s="9" t="s">
        <v>40</v>
      </c>
      <c r="M755" s="9" t="s">
        <v>39</v>
      </c>
      <c r="O755" s="9" t="s">
        <v>3670</v>
      </c>
      <c r="P755" s="9" t="s">
        <v>152</v>
      </c>
      <c r="Q755" s="9" t="s">
        <v>42</v>
      </c>
      <c r="R755" s="9">
        <v>4200.0</v>
      </c>
      <c r="S755" s="9" t="s">
        <v>2815</v>
      </c>
      <c r="T755" s="9">
        <v>0.0</v>
      </c>
      <c r="U755" s="9">
        <v>12.0</v>
      </c>
      <c r="V755" s="9" t="s">
        <v>3671</v>
      </c>
      <c r="W755" s="9" t="s">
        <v>3672</v>
      </c>
      <c r="X755" s="9" t="s">
        <v>58</v>
      </c>
      <c r="Y755" s="9" t="s">
        <v>59</v>
      </c>
      <c r="Z755" s="9" t="s">
        <v>132</v>
      </c>
      <c r="AA755" s="9" t="s">
        <v>91</v>
      </c>
      <c r="AC755" s="9">
        <v>5.0</v>
      </c>
      <c r="AD755" s="9">
        <v>3.0</v>
      </c>
      <c r="AE755" s="9">
        <v>0.0</v>
      </c>
      <c r="AF755" s="9">
        <v>3500.0</v>
      </c>
      <c r="AG755" s="9">
        <v>0.0</v>
      </c>
    </row>
    <row r="756">
      <c r="A756" s="7">
        <v>44659.850884768515</v>
      </c>
      <c r="B756" s="9" t="s">
        <v>49</v>
      </c>
      <c r="C756" s="9">
        <v>25.0</v>
      </c>
      <c r="D756" s="9" t="s">
        <v>35</v>
      </c>
      <c r="E756" s="9" t="s">
        <v>36</v>
      </c>
      <c r="F756" s="9" t="s">
        <v>50</v>
      </c>
      <c r="G756" s="9" t="s">
        <v>82</v>
      </c>
      <c r="H756" s="9" t="s">
        <v>38</v>
      </c>
      <c r="I756" s="9" t="s">
        <v>2368</v>
      </c>
      <c r="J756" s="9" t="s">
        <v>3424</v>
      </c>
      <c r="K756" s="9" t="s">
        <v>39</v>
      </c>
      <c r="L756" s="9" t="s">
        <v>40</v>
      </c>
      <c r="M756" s="9" t="s">
        <v>40</v>
      </c>
      <c r="P756" s="9" t="s">
        <v>128</v>
      </c>
      <c r="Q756" s="9" t="s">
        <v>42</v>
      </c>
      <c r="R756" s="9">
        <v>3600.0</v>
      </c>
      <c r="S756" s="9">
        <v>5600.0</v>
      </c>
      <c r="T756" s="9">
        <v>0.0</v>
      </c>
      <c r="U756" s="9">
        <v>18.0</v>
      </c>
      <c r="V756" s="9" t="s">
        <v>3673</v>
      </c>
      <c r="W756" s="9" t="s">
        <v>3674</v>
      </c>
      <c r="X756" s="9" t="s">
        <v>58</v>
      </c>
      <c r="Y756" s="9" t="s">
        <v>3675</v>
      </c>
      <c r="Z756" s="9" t="s">
        <v>71</v>
      </c>
      <c r="AA756" s="9" t="s">
        <v>91</v>
      </c>
      <c r="AC756" s="9">
        <v>8.0</v>
      </c>
      <c r="AD756" s="9">
        <v>2.0</v>
      </c>
      <c r="AE756" s="9">
        <v>1.0</v>
      </c>
      <c r="AF756" s="9">
        <v>2700.0</v>
      </c>
      <c r="AG756" s="9" t="s">
        <v>42</v>
      </c>
    </row>
    <row r="757">
      <c r="A757" s="7">
        <v>44659.92998690972</v>
      </c>
      <c r="B757" s="9" t="s">
        <v>73</v>
      </c>
      <c r="C757" s="9">
        <v>23.0</v>
      </c>
      <c r="D757" s="9" t="s">
        <v>35</v>
      </c>
      <c r="E757" s="9" t="s">
        <v>36</v>
      </c>
      <c r="F757" s="9" t="s">
        <v>604</v>
      </c>
      <c r="G757" s="9" t="s">
        <v>604</v>
      </c>
      <c r="H757" s="9" t="s">
        <v>38</v>
      </c>
      <c r="I757" s="9" t="s">
        <v>2368</v>
      </c>
      <c r="J757" s="9" t="s">
        <v>2411</v>
      </c>
      <c r="K757" s="9" t="s">
        <v>39</v>
      </c>
      <c r="L757" s="9" t="s">
        <v>40</v>
      </c>
      <c r="M757" s="9" t="s">
        <v>39</v>
      </c>
      <c r="O757" s="9" t="s">
        <v>3676</v>
      </c>
      <c r="P757" s="9" t="s">
        <v>3153</v>
      </c>
      <c r="Q757" s="9" t="s">
        <v>42</v>
      </c>
      <c r="R757" s="9">
        <v>5700.0</v>
      </c>
      <c r="S757" s="9">
        <v>6800.0</v>
      </c>
      <c r="U757" s="9">
        <v>18.0</v>
      </c>
      <c r="V757" s="9" t="s">
        <v>3677</v>
      </c>
      <c r="W757" s="9" t="s">
        <v>3678</v>
      </c>
      <c r="X757" s="9" t="s">
        <v>3679</v>
      </c>
      <c r="Y757" s="9" t="s">
        <v>268</v>
      </c>
      <c r="Z757" s="9" t="s">
        <v>90</v>
      </c>
      <c r="AA757" s="9" t="s">
        <v>91</v>
      </c>
      <c r="AC757" s="9">
        <v>8.0</v>
      </c>
      <c r="AD757" s="9">
        <v>0.5</v>
      </c>
      <c r="AE757" s="9">
        <v>2.0</v>
      </c>
      <c r="AF757" s="9">
        <v>5700.0</v>
      </c>
      <c r="AG757" s="9" t="s">
        <v>42</v>
      </c>
    </row>
    <row r="758">
      <c r="A758" s="7">
        <v>44660.020141099536</v>
      </c>
      <c r="B758" s="9" t="s">
        <v>49</v>
      </c>
      <c r="C758" s="9">
        <v>29.0</v>
      </c>
      <c r="D758" s="9" t="s">
        <v>35</v>
      </c>
      <c r="E758" s="9" t="s">
        <v>36</v>
      </c>
      <c r="F758" s="9" t="s">
        <v>2430</v>
      </c>
      <c r="G758" s="9" t="s">
        <v>50</v>
      </c>
      <c r="H758" s="9" t="s">
        <v>38</v>
      </c>
      <c r="I758" s="9" t="s">
        <v>3680</v>
      </c>
      <c r="J758" s="9" t="s">
        <v>2379</v>
      </c>
      <c r="K758" s="9" t="s">
        <v>39</v>
      </c>
      <c r="L758" s="9" t="s">
        <v>39</v>
      </c>
      <c r="M758" s="9" t="s">
        <v>39</v>
      </c>
      <c r="N758" s="9" t="s">
        <v>3681</v>
      </c>
      <c r="O758" s="9" t="s">
        <v>3682</v>
      </c>
      <c r="P758" s="9" t="s">
        <v>2465</v>
      </c>
      <c r="Q758" s="9" t="s">
        <v>42</v>
      </c>
      <c r="R758" s="9">
        <v>5564.0</v>
      </c>
      <c r="S758" s="9">
        <v>27500.0</v>
      </c>
      <c r="T758" s="9">
        <v>12000.0</v>
      </c>
      <c r="U758" s="9">
        <v>18.0</v>
      </c>
      <c r="V758" s="9" t="s">
        <v>3683</v>
      </c>
      <c r="W758" s="9" t="s">
        <v>3684</v>
      </c>
      <c r="X758" s="9" t="s">
        <v>2738</v>
      </c>
      <c r="Y758" s="9" t="s">
        <v>3685</v>
      </c>
      <c r="Z758" s="9" t="s">
        <v>90</v>
      </c>
      <c r="AA758" s="9" t="s">
        <v>61</v>
      </c>
      <c r="AC758" s="9">
        <v>8.0</v>
      </c>
      <c r="AD758" s="9">
        <v>6.0</v>
      </c>
      <c r="AE758" s="9">
        <v>1.0</v>
      </c>
      <c r="AF758" s="9">
        <v>3150.0</v>
      </c>
      <c r="AG758" s="9" t="s">
        <v>42</v>
      </c>
    </row>
    <row r="759">
      <c r="A759" s="7">
        <v>44660.15725309028</v>
      </c>
      <c r="B759" s="9" t="s">
        <v>49</v>
      </c>
      <c r="C759" s="9">
        <v>19.0</v>
      </c>
      <c r="D759" s="9" t="s">
        <v>3686</v>
      </c>
      <c r="E759" s="9" t="s">
        <v>36</v>
      </c>
      <c r="F759" s="9" t="s">
        <v>124</v>
      </c>
      <c r="G759" s="9" t="s">
        <v>124</v>
      </c>
      <c r="H759" s="9" t="s">
        <v>118</v>
      </c>
      <c r="K759" s="9" t="s">
        <v>890</v>
      </c>
      <c r="L759" s="9" t="s">
        <v>40</v>
      </c>
      <c r="M759" s="9" t="s">
        <v>40</v>
      </c>
      <c r="N759" s="9" t="s">
        <v>1203</v>
      </c>
      <c r="P759" s="9" t="s">
        <v>2851</v>
      </c>
      <c r="Q759" s="9" t="s">
        <v>112</v>
      </c>
      <c r="R759" s="9">
        <v>1000.0</v>
      </c>
      <c r="S759" s="9">
        <v>3000.0</v>
      </c>
      <c r="U759" s="9">
        <v>0.0</v>
      </c>
      <c r="V759" s="9" t="s">
        <v>3687</v>
      </c>
      <c r="W759" s="9" t="s">
        <v>3688</v>
      </c>
      <c r="X759" s="9" t="s">
        <v>3689</v>
      </c>
      <c r="Y759" s="9" t="s">
        <v>155</v>
      </c>
      <c r="Z759" s="9" t="s">
        <v>98</v>
      </c>
      <c r="AA759" s="9" t="s">
        <v>48</v>
      </c>
      <c r="AC759" s="9">
        <v>8.0</v>
      </c>
      <c r="AD759" s="9">
        <v>2.0</v>
      </c>
      <c r="AE759" s="9">
        <v>0.0</v>
      </c>
      <c r="AF759" s="9">
        <v>1000.0</v>
      </c>
      <c r="AG759" s="9" t="s">
        <v>112</v>
      </c>
    </row>
    <row r="760">
      <c r="A760" s="7">
        <v>44660.40065253472</v>
      </c>
      <c r="B760" s="9" t="s">
        <v>49</v>
      </c>
      <c r="C760" s="9">
        <v>25.0</v>
      </c>
      <c r="D760" s="9" t="s">
        <v>35</v>
      </c>
      <c r="E760" s="9" t="s">
        <v>36</v>
      </c>
      <c r="F760" s="9" t="s">
        <v>50</v>
      </c>
      <c r="G760" s="9" t="s">
        <v>3097</v>
      </c>
      <c r="H760" s="9" t="s">
        <v>38</v>
      </c>
      <c r="I760" s="9" t="s">
        <v>3690</v>
      </c>
      <c r="J760" s="9" t="s">
        <v>3114</v>
      </c>
      <c r="K760" s="9" t="s">
        <v>39</v>
      </c>
      <c r="L760" s="9" t="s">
        <v>40</v>
      </c>
      <c r="M760" s="9" t="s">
        <v>40</v>
      </c>
      <c r="P760" s="9" t="s">
        <v>2838</v>
      </c>
      <c r="Q760" s="9" t="s">
        <v>42</v>
      </c>
      <c r="R760" s="9">
        <v>2500.0</v>
      </c>
      <c r="S760" s="9">
        <v>0.0</v>
      </c>
      <c r="U760" s="9">
        <v>14.0</v>
      </c>
      <c r="V760" s="9" t="s">
        <v>3691</v>
      </c>
      <c r="W760" s="9" t="s">
        <v>3692</v>
      </c>
      <c r="X760" s="9" t="s">
        <v>50</v>
      </c>
      <c r="Y760" s="9" t="s">
        <v>155</v>
      </c>
      <c r="Z760" s="9" t="s">
        <v>71</v>
      </c>
      <c r="AA760" s="9" t="s">
        <v>61</v>
      </c>
      <c r="AC760" s="9">
        <v>8.0</v>
      </c>
      <c r="AD760" s="9" t="s">
        <v>367</v>
      </c>
      <c r="AE760" s="9">
        <v>0.0</v>
      </c>
      <c r="AF760" s="9">
        <v>1.0</v>
      </c>
      <c r="AG760" s="9" t="s">
        <v>42</v>
      </c>
    </row>
    <row r="761">
      <c r="A761" s="7">
        <v>44661.44518079861</v>
      </c>
      <c r="B761" s="9" t="s">
        <v>49</v>
      </c>
      <c r="C761" s="9">
        <v>25.0</v>
      </c>
      <c r="D761" s="9" t="s">
        <v>35</v>
      </c>
      <c r="E761" s="9" t="s">
        <v>36</v>
      </c>
      <c r="F761" s="9" t="s">
        <v>50</v>
      </c>
      <c r="G761" s="9" t="s">
        <v>1188</v>
      </c>
      <c r="H761" s="9" t="s">
        <v>38</v>
      </c>
      <c r="I761" s="9" t="s">
        <v>3693</v>
      </c>
      <c r="J761" s="9" t="s">
        <v>2421</v>
      </c>
      <c r="K761" s="9" t="s">
        <v>39</v>
      </c>
      <c r="L761" s="9" t="s">
        <v>40</v>
      </c>
      <c r="M761" s="9" t="s">
        <v>40</v>
      </c>
      <c r="P761" s="9" t="s">
        <v>2479</v>
      </c>
      <c r="Q761" s="9" t="s">
        <v>42</v>
      </c>
      <c r="R761" s="9">
        <v>2900.0</v>
      </c>
      <c r="S761" s="9">
        <v>0.0</v>
      </c>
      <c r="T761" s="9">
        <v>0.0</v>
      </c>
      <c r="U761" s="9">
        <v>11.0</v>
      </c>
      <c r="V761" s="9" t="s">
        <v>67</v>
      </c>
      <c r="W761" s="9" t="s">
        <v>1979</v>
      </c>
      <c r="X761" s="9" t="s">
        <v>267</v>
      </c>
      <c r="Y761" s="9" t="s">
        <v>159</v>
      </c>
      <c r="Z761" s="9" t="s">
        <v>47</v>
      </c>
      <c r="AA761" s="9" t="s">
        <v>48</v>
      </c>
      <c r="AC761" s="9">
        <v>4.0</v>
      </c>
      <c r="AD761" s="9">
        <v>1.0</v>
      </c>
      <c r="AE761" s="9">
        <v>0.0</v>
      </c>
      <c r="AF761" s="9">
        <v>2600.0</v>
      </c>
      <c r="AG761" s="9" t="s">
        <v>42</v>
      </c>
    </row>
    <row r="762">
      <c r="A762" s="7">
        <v>44661.99482864584</v>
      </c>
      <c r="B762" s="9" t="s">
        <v>49</v>
      </c>
      <c r="C762" s="9">
        <v>23.0</v>
      </c>
      <c r="D762" s="9" t="s">
        <v>35</v>
      </c>
      <c r="E762" s="9" t="s">
        <v>36</v>
      </c>
      <c r="H762" s="9" t="s">
        <v>38</v>
      </c>
      <c r="I762" s="9" t="s">
        <v>2467</v>
      </c>
      <c r="J762" s="9" t="s">
        <v>2627</v>
      </c>
      <c r="K762" s="9" t="s">
        <v>39</v>
      </c>
      <c r="L762" s="9" t="s">
        <v>40</v>
      </c>
      <c r="M762" s="9" t="s">
        <v>40</v>
      </c>
      <c r="P762" s="9" t="s">
        <v>2538</v>
      </c>
      <c r="Q762" s="9" t="s">
        <v>42</v>
      </c>
      <c r="R762" s="9">
        <v>4100.0</v>
      </c>
      <c r="S762" s="9">
        <v>11000.0</v>
      </c>
      <c r="T762" s="9">
        <v>0.0</v>
      </c>
      <c r="U762" s="9">
        <v>14.0</v>
      </c>
      <c r="V762" s="9" t="s">
        <v>3694</v>
      </c>
      <c r="W762" s="9" t="s">
        <v>3695</v>
      </c>
      <c r="X762" s="9" t="s">
        <v>489</v>
      </c>
      <c r="Y762" s="9" t="s">
        <v>232</v>
      </c>
      <c r="Z762" s="9" t="s">
        <v>132</v>
      </c>
      <c r="AA762" s="9" t="s">
        <v>61</v>
      </c>
      <c r="AC762" s="9">
        <v>7.0</v>
      </c>
      <c r="AD762" s="9">
        <v>2.0</v>
      </c>
      <c r="AE762" s="9">
        <v>0.0</v>
      </c>
      <c r="AF762" s="9">
        <v>3500.0</v>
      </c>
      <c r="AG762" s="9" t="s">
        <v>42</v>
      </c>
    </row>
    <row r="763">
      <c r="A763" s="7">
        <v>44662.09499153935</v>
      </c>
      <c r="B763" s="9" t="s">
        <v>49</v>
      </c>
      <c r="C763" s="9">
        <v>23.0</v>
      </c>
      <c r="D763" s="9" t="s">
        <v>35</v>
      </c>
      <c r="E763" s="9" t="s">
        <v>36</v>
      </c>
      <c r="F763" s="9" t="s">
        <v>50</v>
      </c>
      <c r="G763" s="9" t="s">
        <v>106</v>
      </c>
      <c r="H763" s="9" t="s">
        <v>38</v>
      </c>
      <c r="I763" s="9" t="s">
        <v>3521</v>
      </c>
      <c r="J763" s="9" t="s">
        <v>2699</v>
      </c>
      <c r="K763" s="9" t="s">
        <v>39</v>
      </c>
      <c r="L763" s="9" t="s">
        <v>40</v>
      </c>
      <c r="M763" s="9" t="s">
        <v>40</v>
      </c>
      <c r="P763" s="9" t="s">
        <v>548</v>
      </c>
      <c r="Q763" s="9" t="s">
        <v>42</v>
      </c>
      <c r="R763" s="9">
        <v>4850.0</v>
      </c>
      <c r="S763" s="9">
        <v>4850.0</v>
      </c>
      <c r="T763" s="9">
        <v>0.0</v>
      </c>
      <c r="U763" s="9">
        <v>14.0</v>
      </c>
      <c r="V763" s="9" t="s">
        <v>676</v>
      </c>
      <c r="W763" s="9" t="s">
        <v>3696</v>
      </c>
      <c r="X763" s="9" t="s">
        <v>58</v>
      </c>
      <c r="Y763" s="9" t="s">
        <v>89</v>
      </c>
      <c r="Z763" s="9" t="s">
        <v>71</v>
      </c>
      <c r="AA763" s="9" t="s">
        <v>61</v>
      </c>
      <c r="AC763" s="9">
        <v>8.0</v>
      </c>
      <c r="AD763" s="9">
        <v>1.0</v>
      </c>
      <c r="AE763" s="9">
        <v>1.0</v>
      </c>
      <c r="AF763" s="9">
        <v>3500.0</v>
      </c>
      <c r="AG763" s="9" t="s">
        <v>42</v>
      </c>
    </row>
    <row r="764">
      <c r="A764" s="7">
        <v>44663.69784335648</v>
      </c>
      <c r="B764" s="9" t="s">
        <v>49</v>
      </c>
      <c r="C764" s="9">
        <v>34.0</v>
      </c>
      <c r="D764" s="9" t="s">
        <v>35</v>
      </c>
      <c r="E764" s="9" t="s">
        <v>36</v>
      </c>
      <c r="F764" s="9" t="s">
        <v>3050</v>
      </c>
      <c r="G764" s="9" t="s">
        <v>3050</v>
      </c>
      <c r="H764" s="9" t="s">
        <v>38</v>
      </c>
      <c r="I764" s="9" t="s">
        <v>3697</v>
      </c>
      <c r="J764" s="9" t="s">
        <v>2444</v>
      </c>
      <c r="K764" s="9" t="s">
        <v>39</v>
      </c>
      <c r="L764" s="9" t="s">
        <v>40</v>
      </c>
      <c r="M764" s="9" t="s">
        <v>40</v>
      </c>
      <c r="P764" s="9" t="s">
        <v>3698</v>
      </c>
      <c r="Q764" s="9" t="s">
        <v>42</v>
      </c>
      <c r="R764" s="9">
        <v>25000.0</v>
      </c>
      <c r="S764" s="9">
        <v>50000.0</v>
      </c>
      <c r="U764" s="9">
        <v>21.0</v>
      </c>
      <c r="V764" s="9" t="s">
        <v>3699</v>
      </c>
      <c r="W764" s="9" t="s">
        <v>1132</v>
      </c>
      <c r="X764" s="9" t="s">
        <v>3700</v>
      </c>
      <c r="Y764" s="9" t="s">
        <v>116</v>
      </c>
      <c r="Z764" s="9" t="s">
        <v>132</v>
      </c>
      <c r="AA764" s="9" t="s">
        <v>91</v>
      </c>
      <c r="AC764" s="9">
        <v>7.0</v>
      </c>
      <c r="AD764" s="9">
        <v>12.0</v>
      </c>
      <c r="AE764" s="9">
        <v>5.0</v>
      </c>
      <c r="AF764" s="9">
        <v>2700.0</v>
      </c>
      <c r="AG764" s="9" t="s">
        <v>42</v>
      </c>
    </row>
    <row r="765">
      <c r="A765" s="7">
        <v>44667.05130209491</v>
      </c>
      <c r="B765" s="9" t="s">
        <v>49</v>
      </c>
      <c r="C765" s="9">
        <v>29.0</v>
      </c>
      <c r="D765" s="9" t="s">
        <v>35</v>
      </c>
      <c r="E765" s="9" t="s">
        <v>36</v>
      </c>
      <c r="F765" s="9" t="s">
        <v>349</v>
      </c>
      <c r="G765" s="9" t="s">
        <v>349</v>
      </c>
      <c r="H765" s="9" t="s">
        <v>93</v>
      </c>
      <c r="K765" s="9" t="s">
        <v>40</v>
      </c>
      <c r="L765" s="9" t="s">
        <v>40</v>
      </c>
      <c r="M765" s="9" t="s">
        <v>40</v>
      </c>
      <c r="P765" s="9" t="s">
        <v>589</v>
      </c>
      <c r="Q765" s="9" t="s">
        <v>42</v>
      </c>
      <c r="R765" s="9">
        <v>10000.0</v>
      </c>
      <c r="S765" s="9">
        <v>2.0</v>
      </c>
      <c r="U765" s="9">
        <v>14.0</v>
      </c>
      <c r="V765" s="9" t="s">
        <v>3701</v>
      </c>
      <c r="W765" s="9" t="s">
        <v>3702</v>
      </c>
      <c r="X765" s="9" t="s">
        <v>122</v>
      </c>
      <c r="Y765" s="9" t="s">
        <v>59</v>
      </c>
      <c r="Z765" s="9" t="s">
        <v>132</v>
      </c>
      <c r="AA765" s="9" t="s">
        <v>91</v>
      </c>
      <c r="AC765" s="9">
        <v>7.0</v>
      </c>
      <c r="AD765" s="9">
        <v>5.0</v>
      </c>
      <c r="AE765" s="9">
        <v>3.0</v>
      </c>
      <c r="AF765" s="9">
        <v>3200.0</v>
      </c>
      <c r="AG765" s="9" t="s">
        <v>42</v>
      </c>
    </row>
    <row r="766">
      <c r="A766" s="7">
        <v>44672.11210370371</v>
      </c>
      <c r="B766" s="9" t="s">
        <v>49</v>
      </c>
      <c r="C766" s="9">
        <v>42.0</v>
      </c>
      <c r="D766" s="9" t="s">
        <v>35</v>
      </c>
      <c r="E766" s="9" t="s">
        <v>36</v>
      </c>
      <c r="F766" s="9" t="s">
        <v>186</v>
      </c>
      <c r="G766" s="9" t="s">
        <v>187</v>
      </c>
      <c r="H766" s="9" t="s">
        <v>38</v>
      </c>
      <c r="I766" s="9" t="s">
        <v>3435</v>
      </c>
      <c r="J766" s="9" t="s">
        <v>3703</v>
      </c>
      <c r="K766" s="9" t="s">
        <v>40</v>
      </c>
      <c r="L766" s="9" t="s">
        <v>40</v>
      </c>
      <c r="M766" s="9" t="s">
        <v>40</v>
      </c>
      <c r="P766" s="9" t="s">
        <v>146</v>
      </c>
      <c r="Q766" s="9" t="s">
        <v>42</v>
      </c>
      <c r="R766" s="9">
        <v>8000.0</v>
      </c>
      <c r="S766" s="9">
        <v>3000.0</v>
      </c>
      <c r="T766" s="9">
        <v>0.0</v>
      </c>
      <c r="U766" s="9">
        <v>15.0</v>
      </c>
      <c r="V766" s="9" t="s">
        <v>320</v>
      </c>
      <c r="W766" s="9" t="s">
        <v>3704</v>
      </c>
      <c r="X766" s="9" t="s">
        <v>131</v>
      </c>
      <c r="Y766" s="9" t="s">
        <v>3705</v>
      </c>
      <c r="Z766" s="9" t="s">
        <v>47</v>
      </c>
      <c r="AA766" s="9" t="s">
        <v>48</v>
      </c>
      <c r="AC766" s="9">
        <v>7.0</v>
      </c>
      <c r="AD766" s="9">
        <v>8.0</v>
      </c>
      <c r="AE766" s="9">
        <v>2.0</v>
      </c>
      <c r="AF766" s="9">
        <v>4000.0</v>
      </c>
      <c r="AG766" s="9" t="s">
        <v>42</v>
      </c>
    </row>
    <row r="767">
      <c r="A767" s="7">
        <v>44685.61482711806</v>
      </c>
      <c r="B767" s="9" t="s">
        <v>49</v>
      </c>
      <c r="C767" s="9">
        <v>23.0</v>
      </c>
      <c r="D767" s="9" t="s">
        <v>35</v>
      </c>
      <c r="E767" s="9" t="s">
        <v>36</v>
      </c>
      <c r="F767" s="9" t="s">
        <v>50</v>
      </c>
      <c r="G767" s="9" t="s">
        <v>106</v>
      </c>
      <c r="H767" s="9" t="s">
        <v>38</v>
      </c>
      <c r="I767" s="9" t="s">
        <v>2368</v>
      </c>
      <c r="J767" s="9" t="s">
        <v>3537</v>
      </c>
      <c r="K767" s="9" t="s">
        <v>39</v>
      </c>
      <c r="L767" s="9" t="s">
        <v>40</v>
      </c>
      <c r="M767" s="9" t="s">
        <v>40</v>
      </c>
      <c r="P767" s="9" t="s">
        <v>3706</v>
      </c>
      <c r="Q767" s="9" t="s">
        <v>42</v>
      </c>
      <c r="R767" s="9">
        <v>3500.0</v>
      </c>
      <c r="S767" s="9">
        <v>0.0</v>
      </c>
      <c r="T767" s="9">
        <v>0.0</v>
      </c>
      <c r="U767" s="9">
        <v>8.0</v>
      </c>
      <c r="V767" s="9" t="s">
        <v>3707</v>
      </c>
      <c r="W767" s="9" t="s">
        <v>3708</v>
      </c>
      <c r="X767" s="9" t="s">
        <v>58</v>
      </c>
      <c r="Y767" s="9" t="s">
        <v>105</v>
      </c>
      <c r="Z767" s="9" t="s">
        <v>132</v>
      </c>
      <c r="AA767" s="9" t="s">
        <v>61</v>
      </c>
      <c r="AC767" s="9">
        <v>8.0</v>
      </c>
      <c r="AD767" s="9">
        <v>0.0</v>
      </c>
      <c r="AE767" s="9">
        <v>0.0</v>
      </c>
      <c r="AF767" s="9">
        <v>3500.0</v>
      </c>
      <c r="AG767" s="9" t="s">
        <v>42</v>
      </c>
    </row>
    <row r="768">
      <c r="A768" s="7">
        <v>44702.352104317135</v>
      </c>
      <c r="B768" s="9" t="s">
        <v>49</v>
      </c>
      <c r="C768" s="9">
        <v>30.0</v>
      </c>
      <c r="D768" s="9" t="s">
        <v>35</v>
      </c>
      <c r="E768" s="9" t="s">
        <v>36</v>
      </c>
      <c r="F768" s="9" t="s">
        <v>3050</v>
      </c>
      <c r="H768" s="9" t="s">
        <v>38</v>
      </c>
      <c r="I768" s="9" t="s">
        <v>3709</v>
      </c>
      <c r="J768" s="9" t="s">
        <v>3710</v>
      </c>
      <c r="K768" s="9" t="s">
        <v>39</v>
      </c>
      <c r="L768" s="9" t="s">
        <v>40</v>
      </c>
      <c r="M768" s="9" t="s">
        <v>39</v>
      </c>
      <c r="P768" s="9" t="s">
        <v>3711</v>
      </c>
      <c r="Q768" s="9" t="s">
        <v>3054</v>
      </c>
      <c r="R768" s="9">
        <v>10000.0</v>
      </c>
      <c r="S768" s="9">
        <v>12000.0</v>
      </c>
      <c r="U768" s="9">
        <v>18.0</v>
      </c>
      <c r="V768" s="9" t="s">
        <v>3712</v>
      </c>
      <c r="W768" s="9" t="s">
        <v>3713</v>
      </c>
      <c r="X768" s="9" t="s">
        <v>3714</v>
      </c>
      <c r="Y768" s="9" t="s">
        <v>3715</v>
      </c>
      <c r="Z768" s="9" t="s">
        <v>81</v>
      </c>
      <c r="AA768" s="9" t="s">
        <v>61</v>
      </c>
      <c r="AC768" s="9">
        <v>7.0</v>
      </c>
      <c r="AD768" s="9">
        <v>7.0</v>
      </c>
      <c r="AE768" s="9">
        <v>5.0</v>
      </c>
      <c r="AF768" s="9">
        <v>3000.0</v>
      </c>
      <c r="AG768" s="9" t="s">
        <v>3054</v>
      </c>
    </row>
    <row r="769">
      <c r="A769" s="7">
        <v>44706.563427500005</v>
      </c>
      <c r="B769" s="9" t="s">
        <v>49</v>
      </c>
      <c r="C769" s="9">
        <v>30.0</v>
      </c>
      <c r="D769" s="9" t="s">
        <v>35</v>
      </c>
      <c r="E769" s="9" t="s">
        <v>36</v>
      </c>
      <c r="F769" s="9" t="s">
        <v>50</v>
      </c>
      <c r="G769" s="9" t="s">
        <v>106</v>
      </c>
      <c r="H769" s="9" t="s">
        <v>38</v>
      </c>
      <c r="I769" s="9" t="s">
        <v>2749</v>
      </c>
      <c r="J769" s="9" t="s">
        <v>2389</v>
      </c>
      <c r="K769" s="9" t="s">
        <v>39</v>
      </c>
      <c r="L769" s="9" t="s">
        <v>40</v>
      </c>
      <c r="M769" s="9" t="s">
        <v>40</v>
      </c>
      <c r="P769" s="9" t="s">
        <v>3121</v>
      </c>
      <c r="Q769" s="9" t="s">
        <v>42</v>
      </c>
      <c r="R769" s="9">
        <v>6000.0</v>
      </c>
      <c r="S769" s="9">
        <v>0.0</v>
      </c>
      <c r="T769" s="9">
        <v>0.0</v>
      </c>
      <c r="U769" s="9">
        <v>10.0</v>
      </c>
      <c r="V769" s="9" t="s">
        <v>3716</v>
      </c>
      <c r="W769" s="9" t="s">
        <v>3717</v>
      </c>
      <c r="X769" s="9" t="s">
        <v>122</v>
      </c>
      <c r="Y769" s="9" t="s">
        <v>105</v>
      </c>
      <c r="Z769" s="9" t="s">
        <v>132</v>
      </c>
      <c r="AA769" s="9" t="s">
        <v>61</v>
      </c>
      <c r="AC769" s="9">
        <v>8.0</v>
      </c>
      <c r="AD769" s="9">
        <v>5.0</v>
      </c>
      <c r="AE769" s="9">
        <v>2.0</v>
      </c>
      <c r="AF769" s="9">
        <v>2400.0</v>
      </c>
      <c r="AG769" s="9" t="s">
        <v>42</v>
      </c>
    </row>
    <row r="770">
      <c r="A770" s="7">
        <v>44710.53581667824</v>
      </c>
      <c r="B770" s="9" t="s">
        <v>49</v>
      </c>
      <c r="C770" s="9">
        <v>26.0</v>
      </c>
      <c r="D770" s="9" t="s">
        <v>35</v>
      </c>
      <c r="E770" s="9" t="s">
        <v>36</v>
      </c>
      <c r="F770" s="9" t="s">
        <v>50</v>
      </c>
      <c r="G770" s="9" t="s">
        <v>106</v>
      </c>
      <c r="H770" s="9" t="s">
        <v>38</v>
      </c>
      <c r="I770" s="9" t="s">
        <v>2368</v>
      </c>
      <c r="J770" s="9" t="s">
        <v>2598</v>
      </c>
      <c r="K770" s="9" t="s">
        <v>39</v>
      </c>
      <c r="L770" s="9" t="s">
        <v>40</v>
      </c>
      <c r="M770" s="9" t="s">
        <v>40</v>
      </c>
      <c r="P770" s="9" t="s">
        <v>3718</v>
      </c>
      <c r="Q770" s="9" t="s">
        <v>42</v>
      </c>
      <c r="R770" s="9">
        <v>8000.0</v>
      </c>
      <c r="U770" s="9">
        <v>16.0</v>
      </c>
      <c r="V770" s="9" t="s">
        <v>3719</v>
      </c>
      <c r="W770" s="9" t="s">
        <v>3720</v>
      </c>
      <c r="X770" s="9" t="s">
        <v>58</v>
      </c>
      <c r="Y770" s="9" t="s">
        <v>70</v>
      </c>
      <c r="Z770" s="9" t="s">
        <v>60</v>
      </c>
      <c r="AA770" s="9" t="s">
        <v>61</v>
      </c>
      <c r="AC770" s="9">
        <v>9.0</v>
      </c>
      <c r="AD770" s="9">
        <v>2.0</v>
      </c>
      <c r="AE770" s="9">
        <v>1.0</v>
      </c>
      <c r="AF770" s="9">
        <v>3000.0</v>
      </c>
      <c r="AG770" s="9" t="s">
        <v>42</v>
      </c>
    </row>
    <row r="771">
      <c r="A771" s="7">
        <v>44710.5362356713</v>
      </c>
      <c r="B771" s="9" t="s">
        <v>73</v>
      </c>
      <c r="C771" s="9">
        <v>29.0</v>
      </c>
      <c r="D771" s="9" t="s">
        <v>35</v>
      </c>
      <c r="E771" s="9" t="s">
        <v>36</v>
      </c>
      <c r="F771" s="9" t="s">
        <v>124</v>
      </c>
      <c r="G771" s="9" t="s">
        <v>124</v>
      </c>
      <c r="H771" s="9" t="s">
        <v>38</v>
      </c>
      <c r="I771" s="9" t="s">
        <v>3721</v>
      </c>
      <c r="J771" s="9" t="s">
        <v>3080</v>
      </c>
      <c r="K771" s="9" t="s">
        <v>39</v>
      </c>
      <c r="L771" s="9" t="s">
        <v>40</v>
      </c>
      <c r="M771" s="9" t="s">
        <v>40</v>
      </c>
      <c r="P771" s="9" t="s">
        <v>2681</v>
      </c>
      <c r="Q771" s="9" t="s">
        <v>42</v>
      </c>
      <c r="R771" s="9">
        <v>7100.0</v>
      </c>
      <c r="S771" s="9">
        <v>5000.0</v>
      </c>
      <c r="U771" s="9">
        <v>14.0</v>
      </c>
      <c r="V771" s="9" t="s">
        <v>3722</v>
      </c>
      <c r="W771" s="9" t="s">
        <v>3723</v>
      </c>
      <c r="X771" s="9" t="s">
        <v>3724</v>
      </c>
      <c r="Y771" s="9" t="s">
        <v>70</v>
      </c>
      <c r="Z771" s="9" t="s">
        <v>132</v>
      </c>
      <c r="AA771" s="9" t="s">
        <v>91</v>
      </c>
      <c r="AC771" s="9">
        <v>7.0</v>
      </c>
      <c r="AD771" s="9">
        <v>7.0</v>
      </c>
      <c r="AE771" s="9">
        <v>2.0</v>
      </c>
      <c r="AF771" s="9">
        <v>2500.0</v>
      </c>
      <c r="AG771" s="9" t="s">
        <v>42</v>
      </c>
    </row>
    <row r="772">
      <c r="A772" s="7">
        <v>44710.54833409722</v>
      </c>
      <c r="B772" s="9" t="s">
        <v>49</v>
      </c>
      <c r="C772" s="9">
        <v>24.0</v>
      </c>
      <c r="D772" s="9" t="s">
        <v>35</v>
      </c>
      <c r="E772" s="9" t="s">
        <v>36</v>
      </c>
      <c r="F772" s="9" t="s">
        <v>2430</v>
      </c>
      <c r="G772" s="9" t="s">
        <v>2457</v>
      </c>
      <c r="H772" s="9" t="s">
        <v>38</v>
      </c>
      <c r="I772" s="9" t="s">
        <v>3725</v>
      </c>
      <c r="J772" s="9" t="s">
        <v>2598</v>
      </c>
      <c r="K772" s="9" t="s">
        <v>39</v>
      </c>
      <c r="L772" s="9" t="s">
        <v>40</v>
      </c>
      <c r="M772" s="9" t="s">
        <v>40</v>
      </c>
      <c r="P772" s="9" t="s">
        <v>3299</v>
      </c>
      <c r="Q772" s="9" t="s">
        <v>42</v>
      </c>
      <c r="R772" s="9">
        <v>5000.0</v>
      </c>
      <c r="U772" s="9">
        <v>14.0</v>
      </c>
      <c r="V772" s="9" t="s">
        <v>3614</v>
      </c>
      <c r="W772" s="9" t="s">
        <v>3726</v>
      </c>
      <c r="X772" s="9" t="s">
        <v>2452</v>
      </c>
      <c r="Y772" s="9" t="s">
        <v>3727</v>
      </c>
      <c r="Z772" s="9" t="s">
        <v>71</v>
      </c>
      <c r="AA772" s="9" t="s">
        <v>91</v>
      </c>
      <c r="AC772" s="9">
        <v>10.0</v>
      </c>
      <c r="AD772" s="9">
        <v>2.0</v>
      </c>
      <c r="AE772" s="9">
        <v>0.0</v>
      </c>
      <c r="AF772" s="9">
        <v>3500.0</v>
      </c>
      <c r="AG772" s="9" t="s">
        <v>42</v>
      </c>
    </row>
    <row r="773">
      <c r="A773" s="7">
        <v>44710.555796342596</v>
      </c>
      <c r="B773" s="9" t="s">
        <v>49</v>
      </c>
      <c r="C773" s="9">
        <v>29.0</v>
      </c>
      <c r="D773" s="9" t="s">
        <v>35</v>
      </c>
      <c r="E773" s="9" t="s">
        <v>36</v>
      </c>
      <c r="F773" s="9" t="s">
        <v>50</v>
      </c>
      <c r="G773" s="9" t="s">
        <v>539</v>
      </c>
      <c r="H773" s="9" t="s">
        <v>38</v>
      </c>
      <c r="I773" s="9" t="s">
        <v>2368</v>
      </c>
      <c r="J773" s="9" t="s">
        <v>2699</v>
      </c>
      <c r="K773" s="9" t="s">
        <v>39</v>
      </c>
      <c r="L773" s="9" t="s">
        <v>40</v>
      </c>
      <c r="M773" s="9" t="s">
        <v>40</v>
      </c>
      <c r="P773" s="9" t="s">
        <v>2538</v>
      </c>
      <c r="Q773" s="9" t="s">
        <v>42</v>
      </c>
      <c r="R773" s="9">
        <v>6030.0</v>
      </c>
      <c r="S773" s="9">
        <v>19800.0</v>
      </c>
      <c r="T773" s="9">
        <v>250.0</v>
      </c>
      <c r="U773" s="9">
        <v>21.0</v>
      </c>
      <c r="V773" s="9" t="s">
        <v>3728</v>
      </c>
      <c r="W773" s="9" t="s">
        <v>3729</v>
      </c>
      <c r="X773" s="9" t="s">
        <v>3730</v>
      </c>
      <c r="Y773" s="9" t="s">
        <v>59</v>
      </c>
      <c r="Z773" s="9" t="s">
        <v>60</v>
      </c>
      <c r="AA773" s="9" t="s">
        <v>133</v>
      </c>
      <c r="AB773" s="9" t="s">
        <v>3731</v>
      </c>
      <c r="AC773" s="9">
        <v>10.0</v>
      </c>
      <c r="AD773" s="9">
        <v>4.0</v>
      </c>
      <c r="AE773" s="9">
        <v>1.0</v>
      </c>
      <c r="AF773" s="9">
        <v>3300.0</v>
      </c>
      <c r="AG773" s="9" t="s">
        <v>42</v>
      </c>
    </row>
    <row r="774">
      <c r="A774" s="7">
        <v>44710.57362041667</v>
      </c>
      <c r="B774" s="9" t="s">
        <v>73</v>
      </c>
      <c r="C774" s="9">
        <v>25.0</v>
      </c>
      <c r="D774" s="9" t="s">
        <v>35</v>
      </c>
      <c r="E774" s="9" t="s">
        <v>36</v>
      </c>
      <c r="F774" s="9" t="s">
        <v>124</v>
      </c>
      <c r="G774" s="9" t="s">
        <v>296</v>
      </c>
      <c r="H774" s="9" t="s">
        <v>38</v>
      </c>
      <c r="I774" s="9" t="s">
        <v>3732</v>
      </c>
      <c r="J774" s="9" t="s">
        <v>327</v>
      </c>
      <c r="K774" s="9" t="s">
        <v>39</v>
      </c>
      <c r="L774" s="9" t="s">
        <v>40</v>
      </c>
      <c r="M774" s="9" t="s">
        <v>39</v>
      </c>
      <c r="O774" s="9" t="s">
        <v>768</v>
      </c>
      <c r="P774" s="9" t="s">
        <v>571</v>
      </c>
      <c r="Q774" s="9" t="s">
        <v>42</v>
      </c>
      <c r="R774" s="9">
        <v>3150.0</v>
      </c>
      <c r="S774" s="9">
        <v>0.0</v>
      </c>
      <c r="T774" s="9">
        <v>0.0</v>
      </c>
      <c r="U774" s="9">
        <v>16.0</v>
      </c>
      <c r="V774" s="9" t="s">
        <v>3733</v>
      </c>
      <c r="W774" s="9" t="s">
        <v>3734</v>
      </c>
      <c r="X774" s="9" t="s">
        <v>122</v>
      </c>
      <c r="Y774" s="9" t="s">
        <v>89</v>
      </c>
      <c r="Z774" s="9" t="s">
        <v>71</v>
      </c>
      <c r="AA774" s="9" t="s">
        <v>61</v>
      </c>
      <c r="AB774" s="9" t="s">
        <v>3735</v>
      </c>
      <c r="AC774" s="9">
        <v>6.0</v>
      </c>
      <c r="AD774" s="9">
        <v>0.0</v>
      </c>
      <c r="AE774" s="9">
        <v>0.0</v>
      </c>
      <c r="AF774" s="9">
        <v>3000.0</v>
      </c>
      <c r="AG774" s="9" t="s">
        <v>42</v>
      </c>
    </row>
    <row r="775">
      <c r="A775" s="7">
        <v>44710.57803686343</v>
      </c>
      <c r="B775" s="9" t="s">
        <v>73</v>
      </c>
      <c r="C775" s="9">
        <v>24.0</v>
      </c>
      <c r="D775" s="9" t="s">
        <v>35</v>
      </c>
      <c r="E775" s="9" t="s">
        <v>36</v>
      </c>
      <c r="F775" s="9" t="s">
        <v>50</v>
      </c>
      <c r="G775" s="9" t="s">
        <v>300</v>
      </c>
      <c r="H775" s="9" t="s">
        <v>38</v>
      </c>
      <c r="I775" s="9" t="s">
        <v>3736</v>
      </c>
      <c r="J775" s="9" t="s">
        <v>100</v>
      </c>
      <c r="K775" s="9" t="s">
        <v>39</v>
      </c>
      <c r="L775" s="9" t="s">
        <v>40</v>
      </c>
      <c r="M775" s="9" t="s">
        <v>40</v>
      </c>
      <c r="P775" s="9" t="s">
        <v>128</v>
      </c>
      <c r="Q775" s="9" t="s">
        <v>42</v>
      </c>
      <c r="R775" s="9">
        <v>3680.0</v>
      </c>
      <c r="S775" s="9">
        <v>8190.0</v>
      </c>
      <c r="T775" s="9">
        <v>0.0</v>
      </c>
      <c r="U775" s="9">
        <v>17.0</v>
      </c>
      <c r="V775" s="9" t="s">
        <v>3737</v>
      </c>
      <c r="W775" s="9" t="s">
        <v>498</v>
      </c>
      <c r="X775" s="9" t="s">
        <v>131</v>
      </c>
      <c r="Y775" s="9" t="s">
        <v>59</v>
      </c>
      <c r="Z775" s="9" t="s">
        <v>60</v>
      </c>
      <c r="AA775" s="9" t="s">
        <v>61</v>
      </c>
      <c r="AC775" s="9">
        <v>6.0</v>
      </c>
      <c r="AD775" s="9" t="s">
        <v>3738</v>
      </c>
      <c r="AE775" s="9">
        <v>1.0</v>
      </c>
      <c r="AF775" s="9">
        <v>3200.0</v>
      </c>
      <c r="AG775" s="9" t="s">
        <v>42</v>
      </c>
    </row>
    <row r="776">
      <c r="A776" s="7">
        <v>44710.603363518516</v>
      </c>
      <c r="B776" s="9" t="s">
        <v>49</v>
      </c>
      <c r="C776" s="9">
        <v>25.0</v>
      </c>
      <c r="D776" s="9" t="s">
        <v>35</v>
      </c>
      <c r="E776" s="9" t="s">
        <v>36</v>
      </c>
      <c r="F776" s="9" t="s">
        <v>3249</v>
      </c>
      <c r="G776" s="9" t="s">
        <v>124</v>
      </c>
      <c r="H776" s="9" t="s">
        <v>38</v>
      </c>
      <c r="I776" s="9" t="s">
        <v>3739</v>
      </c>
      <c r="J776" s="9" t="s">
        <v>3740</v>
      </c>
      <c r="K776" s="9" t="s">
        <v>39</v>
      </c>
      <c r="L776" s="9" t="s">
        <v>40</v>
      </c>
      <c r="M776" s="9" t="s">
        <v>40</v>
      </c>
      <c r="P776" s="9" t="s">
        <v>2977</v>
      </c>
      <c r="Q776" s="9" t="s">
        <v>42</v>
      </c>
      <c r="R776" s="9">
        <v>4000.0</v>
      </c>
      <c r="S776" s="9">
        <v>3000.0</v>
      </c>
      <c r="T776" s="9">
        <v>0.0</v>
      </c>
      <c r="U776" s="9">
        <v>20.0</v>
      </c>
      <c r="V776" s="9" t="s">
        <v>3741</v>
      </c>
      <c r="W776" s="9" t="s">
        <v>3742</v>
      </c>
      <c r="X776" s="9" t="s">
        <v>58</v>
      </c>
      <c r="Y776" s="9" t="s">
        <v>59</v>
      </c>
      <c r="Z776" s="9" t="s">
        <v>90</v>
      </c>
      <c r="AA776" s="9" t="s">
        <v>61</v>
      </c>
      <c r="AB776" s="9" t="s">
        <v>3743</v>
      </c>
      <c r="AC776" s="9">
        <v>7.0</v>
      </c>
      <c r="AD776" s="9">
        <v>0.0</v>
      </c>
      <c r="AE776" s="9">
        <v>0.0</v>
      </c>
      <c r="AF776" s="9">
        <v>4000.0</v>
      </c>
      <c r="AG776" s="9" t="s">
        <v>42</v>
      </c>
    </row>
    <row r="777">
      <c r="A777" s="7">
        <v>44710.61361561343</v>
      </c>
      <c r="B777" s="9" t="s">
        <v>73</v>
      </c>
      <c r="C777" s="9">
        <v>22.0</v>
      </c>
      <c r="D777" s="9" t="s">
        <v>35</v>
      </c>
      <c r="E777" s="9" t="s">
        <v>36</v>
      </c>
      <c r="F777" s="9" t="s">
        <v>63</v>
      </c>
      <c r="G777" s="9" t="s">
        <v>301</v>
      </c>
      <c r="H777" s="9" t="s">
        <v>38</v>
      </c>
      <c r="I777" s="9" t="s">
        <v>2413</v>
      </c>
      <c r="J777" s="9" t="s">
        <v>100</v>
      </c>
      <c r="K777" s="9" t="s">
        <v>39</v>
      </c>
      <c r="L777" s="9" t="s">
        <v>40</v>
      </c>
      <c r="M777" s="9" t="s">
        <v>39</v>
      </c>
      <c r="O777" s="9" t="s">
        <v>3744</v>
      </c>
      <c r="P777" s="9" t="s">
        <v>150</v>
      </c>
      <c r="Q777" s="9" t="s">
        <v>42</v>
      </c>
      <c r="R777" s="9">
        <v>5000.0</v>
      </c>
      <c r="S777" s="9" t="s">
        <v>37</v>
      </c>
      <c r="T777" s="9" t="s">
        <v>37</v>
      </c>
      <c r="U777" s="9">
        <v>16.0</v>
      </c>
      <c r="V777" s="9" t="s">
        <v>3745</v>
      </c>
      <c r="W777" s="9" t="s">
        <v>3746</v>
      </c>
      <c r="X777" s="9" t="s">
        <v>50</v>
      </c>
      <c r="Y777" s="9" t="s">
        <v>89</v>
      </c>
      <c r="Z777" s="9" t="s">
        <v>90</v>
      </c>
      <c r="AA777" s="9" t="s">
        <v>61</v>
      </c>
      <c r="AC777" s="9">
        <v>8.0</v>
      </c>
      <c r="AD777" s="9" t="s">
        <v>1782</v>
      </c>
      <c r="AE777" s="9">
        <v>0.0</v>
      </c>
      <c r="AF777" s="9">
        <v>4000.0</v>
      </c>
      <c r="AG777" s="9" t="s">
        <v>42</v>
      </c>
    </row>
    <row r="778">
      <c r="A778" s="7">
        <v>44710.614153726856</v>
      </c>
      <c r="B778" s="9" t="s">
        <v>73</v>
      </c>
      <c r="C778" s="9">
        <v>27.0</v>
      </c>
      <c r="D778" s="9" t="s">
        <v>35</v>
      </c>
      <c r="E778" s="9" t="s">
        <v>36</v>
      </c>
      <c r="F778" s="9" t="s">
        <v>412</v>
      </c>
      <c r="G778" s="9" t="s">
        <v>625</v>
      </c>
      <c r="H778" s="9" t="s">
        <v>38</v>
      </c>
      <c r="I778" s="9" t="s">
        <v>2388</v>
      </c>
      <c r="J778" s="9" t="s">
        <v>2595</v>
      </c>
      <c r="K778" s="9" t="s">
        <v>39</v>
      </c>
      <c r="L778" s="9" t="s">
        <v>40</v>
      </c>
      <c r="M778" s="9" t="s">
        <v>40</v>
      </c>
      <c r="P778" s="9" t="s">
        <v>152</v>
      </c>
      <c r="Q778" s="9" t="s">
        <v>42</v>
      </c>
      <c r="R778" s="9">
        <v>3190.0</v>
      </c>
      <c r="S778" s="9" t="s">
        <v>3747</v>
      </c>
      <c r="T778" s="9">
        <v>0.0</v>
      </c>
      <c r="U778" s="9">
        <v>18.0</v>
      </c>
      <c r="V778" s="9" t="s">
        <v>3748</v>
      </c>
      <c r="W778" s="9" t="s">
        <v>3749</v>
      </c>
      <c r="X778" s="9" t="s">
        <v>683</v>
      </c>
      <c r="Y778" s="9" t="s">
        <v>481</v>
      </c>
      <c r="Z778" s="9" t="s">
        <v>81</v>
      </c>
      <c r="AA778" s="9" t="s">
        <v>61</v>
      </c>
      <c r="AC778" s="9">
        <v>6.0</v>
      </c>
      <c r="AD778" s="9">
        <v>3.0</v>
      </c>
      <c r="AE778" s="9">
        <v>0.0</v>
      </c>
      <c r="AF778" s="9">
        <v>2700.0</v>
      </c>
      <c r="AG778" s="9" t="s">
        <v>42</v>
      </c>
    </row>
    <row r="779">
      <c r="A779" s="7">
        <v>44710.702703738425</v>
      </c>
      <c r="B779" s="9" t="s">
        <v>49</v>
      </c>
      <c r="C779" s="9">
        <v>23.0</v>
      </c>
      <c r="D779" s="9" t="s">
        <v>35</v>
      </c>
      <c r="E779" s="9" t="s">
        <v>36</v>
      </c>
      <c r="F779" s="9" t="s">
        <v>3750</v>
      </c>
      <c r="G779" s="9" t="s">
        <v>3751</v>
      </c>
      <c r="H779" s="9" t="s">
        <v>38</v>
      </c>
      <c r="I779" s="9" t="s">
        <v>3239</v>
      </c>
      <c r="J779" s="9" t="s">
        <v>2704</v>
      </c>
      <c r="K779" s="9" t="s">
        <v>39</v>
      </c>
      <c r="L779" s="9" t="s">
        <v>40</v>
      </c>
      <c r="M779" s="9" t="s">
        <v>40</v>
      </c>
      <c r="P779" s="9" t="s">
        <v>3752</v>
      </c>
      <c r="Q779" s="9" t="s">
        <v>42</v>
      </c>
      <c r="R779" s="9">
        <v>2800.0</v>
      </c>
      <c r="S779" s="9">
        <v>2800.0</v>
      </c>
      <c r="U779" s="9">
        <v>12.0</v>
      </c>
      <c r="V779" s="9" t="s">
        <v>3753</v>
      </c>
      <c r="W779" s="9" t="s">
        <v>44</v>
      </c>
      <c r="X779" s="9" t="s">
        <v>3754</v>
      </c>
      <c r="Y779" s="9" t="s">
        <v>70</v>
      </c>
      <c r="Z779" s="9" t="s">
        <v>71</v>
      </c>
      <c r="AA779" s="9" t="s">
        <v>61</v>
      </c>
      <c r="AC779" s="9">
        <v>8.0</v>
      </c>
      <c r="AD779" s="9" t="s">
        <v>3755</v>
      </c>
      <c r="AE779" s="9">
        <v>0.0</v>
      </c>
      <c r="AF779" s="9">
        <v>2800.0</v>
      </c>
      <c r="AG779" s="9" t="s">
        <v>42</v>
      </c>
    </row>
    <row r="780">
      <c r="A780" s="7">
        <v>44710.704847719906</v>
      </c>
      <c r="B780" s="9" t="s">
        <v>73</v>
      </c>
      <c r="C780" s="9">
        <v>23.0</v>
      </c>
      <c r="D780" s="9" t="s">
        <v>35</v>
      </c>
      <c r="E780" s="9" t="s">
        <v>246</v>
      </c>
      <c r="F780" s="9" t="s">
        <v>246</v>
      </c>
      <c r="G780" s="9" t="s">
        <v>246</v>
      </c>
      <c r="H780" s="9" t="s">
        <v>38</v>
      </c>
      <c r="I780" s="9" t="s">
        <v>3756</v>
      </c>
      <c r="K780" s="9" t="s">
        <v>39</v>
      </c>
      <c r="L780" s="9" t="s">
        <v>40</v>
      </c>
      <c r="M780" s="9" t="s">
        <v>39</v>
      </c>
      <c r="P780" s="9" t="s">
        <v>3219</v>
      </c>
      <c r="Q780" s="9" t="s">
        <v>250</v>
      </c>
      <c r="R780" s="9">
        <v>8700.0</v>
      </c>
      <c r="S780" s="9">
        <v>14790.0</v>
      </c>
      <c r="U780" s="9">
        <v>14.0</v>
      </c>
      <c r="V780" s="9" t="s">
        <v>3757</v>
      </c>
      <c r="W780" s="9" t="s">
        <v>3758</v>
      </c>
      <c r="X780" s="9" t="s">
        <v>246</v>
      </c>
      <c r="Y780" s="9" t="s">
        <v>197</v>
      </c>
      <c r="Z780" s="9" t="s">
        <v>60</v>
      </c>
      <c r="AA780" s="9" t="s">
        <v>91</v>
      </c>
      <c r="AC780" s="9">
        <v>10.0</v>
      </c>
      <c r="AD780" s="9">
        <v>2.0</v>
      </c>
      <c r="AE780" s="9">
        <v>0.0</v>
      </c>
      <c r="AF780" s="9">
        <v>8700.0</v>
      </c>
      <c r="AG780" s="9" t="s">
        <v>250</v>
      </c>
    </row>
    <row r="781">
      <c r="A781" s="7">
        <v>44710.70758859954</v>
      </c>
      <c r="B781" s="9" t="s">
        <v>49</v>
      </c>
      <c r="C781" s="9">
        <v>26.0</v>
      </c>
      <c r="D781" s="9" t="s">
        <v>35</v>
      </c>
      <c r="E781" s="9" t="s">
        <v>36</v>
      </c>
      <c r="F781" s="9" t="s">
        <v>412</v>
      </c>
      <c r="G781" s="9" t="s">
        <v>633</v>
      </c>
      <c r="H781" s="9" t="s">
        <v>38</v>
      </c>
      <c r="I781" s="9" t="s">
        <v>3759</v>
      </c>
      <c r="J781" s="9" t="s">
        <v>3760</v>
      </c>
      <c r="K781" s="9" t="s">
        <v>39</v>
      </c>
      <c r="L781" s="9" t="s">
        <v>40</v>
      </c>
      <c r="M781" s="9" t="s">
        <v>40</v>
      </c>
      <c r="P781" s="9" t="s">
        <v>3761</v>
      </c>
      <c r="Q781" s="9" t="s">
        <v>42</v>
      </c>
      <c r="R781" s="9">
        <v>300.0</v>
      </c>
      <c r="S781" s="9">
        <v>0.0</v>
      </c>
      <c r="T781" s="9">
        <v>0.0</v>
      </c>
      <c r="U781" s="9">
        <v>0.0</v>
      </c>
      <c r="V781" s="9" t="s">
        <v>367</v>
      </c>
      <c r="W781" s="9" t="s">
        <v>44</v>
      </c>
      <c r="X781" s="9" t="s">
        <v>683</v>
      </c>
      <c r="Y781" s="9" t="s">
        <v>3762</v>
      </c>
      <c r="Z781" s="9" t="s">
        <v>47</v>
      </c>
      <c r="AA781" s="9" t="s">
        <v>61</v>
      </c>
      <c r="AC781" s="9">
        <v>3.0</v>
      </c>
      <c r="AD781" s="9">
        <v>0.0</v>
      </c>
      <c r="AE781" s="9">
        <v>0.0</v>
      </c>
      <c r="AF781" s="9">
        <v>300.0</v>
      </c>
      <c r="AG781" s="9" t="s">
        <v>42</v>
      </c>
    </row>
    <row r="782">
      <c r="A782" s="7">
        <v>44710.72621028935</v>
      </c>
      <c r="B782" s="9" t="s">
        <v>49</v>
      </c>
      <c r="C782" s="9">
        <v>24.0</v>
      </c>
      <c r="D782" s="9" t="s">
        <v>35</v>
      </c>
      <c r="E782" s="9" t="s">
        <v>36</v>
      </c>
      <c r="F782" s="9" t="s">
        <v>186</v>
      </c>
      <c r="G782" s="9" t="s">
        <v>3763</v>
      </c>
      <c r="H782" s="9" t="s">
        <v>38</v>
      </c>
      <c r="I782" s="9" t="s">
        <v>3764</v>
      </c>
      <c r="J782" s="9" t="s">
        <v>3765</v>
      </c>
      <c r="K782" s="9" t="s">
        <v>40</v>
      </c>
      <c r="L782" s="9" t="s">
        <v>39</v>
      </c>
      <c r="M782" s="9" t="s">
        <v>40</v>
      </c>
      <c r="N782" s="9" t="s">
        <v>3766</v>
      </c>
      <c r="P782" s="9" t="s">
        <v>3767</v>
      </c>
      <c r="Q782" s="9" t="s">
        <v>42</v>
      </c>
      <c r="R782" s="9">
        <v>2300.0</v>
      </c>
      <c r="S782" s="9">
        <v>0.0</v>
      </c>
      <c r="T782" s="9">
        <v>0.0</v>
      </c>
      <c r="U782" s="9">
        <v>14.0</v>
      </c>
      <c r="V782" s="9" t="s">
        <v>3768</v>
      </c>
      <c r="W782" s="9" t="s">
        <v>3769</v>
      </c>
      <c r="X782" s="9" t="s">
        <v>246</v>
      </c>
      <c r="Y782" s="9" t="s">
        <v>218</v>
      </c>
      <c r="Z782" s="9" t="s">
        <v>71</v>
      </c>
      <c r="AA782" s="9" t="s">
        <v>61</v>
      </c>
      <c r="AC782" s="9">
        <v>7.0</v>
      </c>
      <c r="AD782" s="9">
        <v>0.0</v>
      </c>
      <c r="AE782" s="9">
        <v>0.0</v>
      </c>
      <c r="AF782" s="9">
        <v>2300.0</v>
      </c>
      <c r="AG782" s="9" t="s">
        <v>42</v>
      </c>
    </row>
    <row r="783">
      <c r="A783" s="7">
        <v>44710.72827762731</v>
      </c>
      <c r="B783" s="9" t="s">
        <v>49</v>
      </c>
      <c r="C783" s="9">
        <v>30.0</v>
      </c>
      <c r="D783" s="9" t="s">
        <v>35</v>
      </c>
      <c r="E783" s="9" t="s">
        <v>246</v>
      </c>
      <c r="H783" s="9" t="s">
        <v>38</v>
      </c>
      <c r="I783" s="9" t="s">
        <v>3770</v>
      </c>
      <c r="J783" s="9" t="s">
        <v>2389</v>
      </c>
      <c r="K783" s="9" t="s">
        <v>39</v>
      </c>
      <c r="L783" s="9" t="s">
        <v>40</v>
      </c>
      <c r="M783" s="9" t="s">
        <v>39</v>
      </c>
      <c r="O783" s="9" t="s">
        <v>3771</v>
      </c>
      <c r="P783" s="9" t="s">
        <v>3772</v>
      </c>
      <c r="Q783" s="9" t="s">
        <v>250</v>
      </c>
      <c r="R783" s="9">
        <v>5000.0</v>
      </c>
      <c r="S783" s="9">
        <v>5000.0</v>
      </c>
      <c r="T783" s="9">
        <v>0.0</v>
      </c>
      <c r="U783" s="9">
        <v>18.0</v>
      </c>
      <c r="V783" s="9" t="s">
        <v>3773</v>
      </c>
      <c r="W783" s="9" t="s">
        <v>3774</v>
      </c>
      <c r="X783" s="9" t="s">
        <v>3775</v>
      </c>
      <c r="Y783" s="9" t="s">
        <v>350</v>
      </c>
      <c r="Z783" s="9" t="s">
        <v>90</v>
      </c>
      <c r="AA783" s="9" t="s">
        <v>611</v>
      </c>
      <c r="AC783" s="9">
        <v>6.0</v>
      </c>
      <c r="AD783" s="9">
        <v>7.0</v>
      </c>
      <c r="AE783" s="9">
        <v>2.0</v>
      </c>
      <c r="AF783" s="9">
        <v>3100.0</v>
      </c>
      <c r="AG783" s="9" t="s">
        <v>250</v>
      </c>
    </row>
    <row r="784">
      <c r="A784" s="7">
        <v>44710.7724833449</v>
      </c>
      <c r="B784" s="9" t="s">
        <v>49</v>
      </c>
      <c r="C784" s="9">
        <v>25.0</v>
      </c>
      <c r="D784" s="9" t="s">
        <v>35</v>
      </c>
      <c r="E784" s="9" t="s">
        <v>36</v>
      </c>
      <c r="F784" s="9" t="s">
        <v>2430</v>
      </c>
      <c r="G784" s="9" t="s">
        <v>3776</v>
      </c>
      <c r="H784" s="9" t="s">
        <v>38</v>
      </c>
      <c r="I784" s="9" t="s">
        <v>3777</v>
      </c>
      <c r="J784" s="9" t="s">
        <v>3778</v>
      </c>
      <c r="K784" s="9" t="s">
        <v>39</v>
      </c>
      <c r="L784" s="9" t="s">
        <v>40</v>
      </c>
      <c r="M784" s="9" t="s">
        <v>40</v>
      </c>
      <c r="P784" s="9" t="s">
        <v>3009</v>
      </c>
      <c r="Q784" s="9" t="s">
        <v>42</v>
      </c>
      <c r="R784" s="9">
        <v>3200.0</v>
      </c>
      <c r="U784" s="9">
        <v>14.0</v>
      </c>
      <c r="V784" s="9" t="s">
        <v>3779</v>
      </c>
      <c r="W784" s="9" t="s">
        <v>3780</v>
      </c>
      <c r="X784" s="9" t="s">
        <v>2548</v>
      </c>
      <c r="Y784" s="9" t="s">
        <v>159</v>
      </c>
      <c r="Z784" s="9" t="s">
        <v>47</v>
      </c>
      <c r="AA784" s="9" t="s">
        <v>48</v>
      </c>
      <c r="AC784" s="9">
        <v>4.0</v>
      </c>
      <c r="AD784" s="9" t="s">
        <v>1585</v>
      </c>
      <c r="AE784" s="9">
        <v>3.0</v>
      </c>
      <c r="AF784" s="9">
        <v>2800.0</v>
      </c>
      <c r="AG784" s="9" t="s">
        <v>2521</v>
      </c>
    </row>
    <row r="785">
      <c r="A785" s="7">
        <v>44710.88307296296</v>
      </c>
      <c r="B785" s="9" t="s">
        <v>49</v>
      </c>
      <c r="C785" s="9">
        <v>24.0</v>
      </c>
      <c r="D785" s="9" t="s">
        <v>35</v>
      </c>
      <c r="E785" s="9" t="s">
        <v>36</v>
      </c>
      <c r="F785" s="9" t="s">
        <v>363</v>
      </c>
      <c r="G785" s="9" t="s">
        <v>363</v>
      </c>
      <c r="H785" s="9" t="s">
        <v>38</v>
      </c>
      <c r="I785" s="9" t="s">
        <v>3781</v>
      </c>
      <c r="J785" s="9" t="s">
        <v>2675</v>
      </c>
      <c r="K785" s="9" t="s">
        <v>39</v>
      </c>
      <c r="L785" s="9" t="s">
        <v>40</v>
      </c>
      <c r="M785" s="9" t="s">
        <v>40</v>
      </c>
      <c r="P785" s="9" t="s">
        <v>3782</v>
      </c>
      <c r="Q785" s="9" t="s">
        <v>42</v>
      </c>
      <c r="R785" s="9">
        <v>3500.0</v>
      </c>
      <c r="S785" s="9">
        <v>0.0</v>
      </c>
      <c r="T785" s="9">
        <v>0.0</v>
      </c>
      <c r="U785" s="9">
        <v>12.0</v>
      </c>
      <c r="V785" s="9" t="s">
        <v>3783</v>
      </c>
      <c r="W785" s="9" t="s">
        <v>3784</v>
      </c>
      <c r="X785" s="9" t="s">
        <v>79</v>
      </c>
      <c r="Y785" s="9" t="s">
        <v>80</v>
      </c>
      <c r="Z785" s="9" t="s">
        <v>60</v>
      </c>
      <c r="AA785" s="9" t="s">
        <v>611</v>
      </c>
      <c r="AC785" s="9">
        <v>9.0</v>
      </c>
      <c r="AD785" s="9">
        <v>0.0</v>
      </c>
      <c r="AE785" s="9">
        <v>1.0</v>
      </c>
      <c r="AF785" s="9">
        <v>3500.0</v>
      </c>
      <c r="AG785" s="9" t="s">
        <v>42</v>
      </c>
    </row>
    <row r="786">
      <c r="A786" s="7">
        <v>44711.290626574075</v>
      </c>
      <c r="B786" s="9" t="s">
        <v>49</v>
      </c>
      <c r="C786" s="9">
        <v>29.0</v>
      </c>
      <c r="D786" s="9" t="s">
        <v>35</v>
      </c>
      <c r="E786" s="9" t="s">
        <v>36</v>
      </c>
      <c r="F786" s="9" t="s">
        <v>2687</v>
      </c>
      <c r="G786" s="9" t="s">
        <v>2688</v>
      </c>
      <c r="H786" s="9" t="s">
        <v>38</v>
      </c>
      <c r="I786" s="9" t="s">
        <v>3785</v>
      </c>
      <c r="J786" s="9" t="s">
        <v>2690</v>
      </c>
      <c r="K786" s="9" t="s">
        <v>39</v>
      </c>
      <c r="L786" s="9" t="s">
        <v>40</v>
      </c>
      <c r="M786" s="9" t="s">
        <v>40</v>
      </c>
      <c r="P786" s="9" t="s">
        <v>3786</v>
      </c>
      <c r="Q786" s="9" t="s">
        <v>42</v>
      </c>
      <c r="R786" s="9">
        <v>2700.0</v>
      </c>
      <c r="U786" s="9">
        <v>14.0</v>
      </c>
      <c r="V786" s="9" t="s">
        <v>3787</v>
      </c>
      <c r="W786" s="9" t="s">
        <v>3788</v>
      </c>
      <c r="X786" s="9" t="s">
        <v>637</v>
      </c>
      <c r="Y786" s="9" t="s">
        <v>70</v>
      </c>
      <c r="Z786" s="9" t="s">
        <v>60</v>
      </c>
      <c r="AA786" s="9" t="s">
        <v>91</v>
      </c>
      <c r="AB786" s="9" t="s">
        <v>3789</v>
      </c>
      <c r="AC786" s="9">
        <v>8.0</v>
      </c>
      <c r="AD786" s="9">
        <v>4.0</v>
      </c>
      <c r="AE786" s="9">
        <v>0.0</v>
      </c>
      <c r="AF786" s="9">
        <v>2000.0</v>
      </c>
      <c r="AG786" s="9" t="s">
        <v>42</v>
      </c>
    </row>
    <row r="787">
      <c r="A787" s="7">
        <v>44711.91546925926</v>
      </c>
      <c r="B787" s="9" t="s">
        <v>49</v>
      </c>
      <c r="C787" s="9">
        <v>27.0</v>
      </c>
      <c r="D787" s="9" t="s">
        <v>35</v>
      </c>
      <c r="E787" s="9" t="s">
        <v>36</v>
      </c>
      <c r="F787" s="9" t="s">
        <v>2718</v>
      </c>
      <c r="G787" s="9" t="s">
        <v>2718</v>
      </c>
      <c r="H787" s="9" t="s">
        <v>38</v>
      </c>
      <c r="I787" s="9" t="s">
        <v>3790</v>
      </c>
      <c r="J787" s="9" t="s">
        <v>2389</v>
      </c>
      <c r="K787" s="9" t="s">
        <v>39</v>
      </c>
      <c r="L787" s="9" t="s">
        <v>40</v>
      </c>
      <c r="M787" s="9" t="s">
        <v>40</v>
      </c>
      <c r="P787" s="9" t="s">
        <v>3791</v>
      </c>
      <c r="Q787" s="9" t="s">
        <v>42</v>
      </c>
      <c r="R787" s="9">
        <v>2600.0</v>
      </c>
      <c r="S787" s="9">
        <v>0.0</v>
      </c>
      <c r="T787" s="9">
        <v>0.0</v>
      </c>
      <c r="U787" s="9">
        <v>12.0</v>
      </c>
      <c r="V787" s="9" t="s">
        <v>3792</v>
      </c>
      <c r="W787" s="9" t="s">
        <v>3793</v>
      </c>
      <c r="X787" s="9" t="s">
        <v>840</v>
      </c>
      <c r="Y787" s="9" t="s">
        <v>89</v>
      </c>
      <c r="Z787" s="9" t="s">
        <v>47</v>
      </c>
      <c r="AA787" s="9" t="s">
        <v>61</v>
      </c>
      <c r="AC787" s="9">
        <v>2.0</v>
      </c>
      <c r="AD787" s="9" t="s">
        <v>3794</v>
      </c>
      <c r="AE787" s="9">
        <v>1.0</v>
      </c>
      <c r="AF787" s="9">
        <v>2500.0</v>
      </c>
      <c r="AG787" s="9" t="s">
        <v>42</v>
      </c>
    </row>
    <row r="788">
      <c r="A788" s="7">
        <v>44729.508521446754</v>
      </c>
      <c r="B788" s="9" t="s">
        <v>49</v>
      </c>
      <c r="C788" s="9">
        <v>31.0</v>
      </c>
      <c r="D788" s="9" t="s">
        <v>35</v>
      </c>
      <c r="E788" s="9" t="s">
        <v>36</v>
      </c>
      <c r="F788" s="9" t="s">
        <v>50</v>
      </c>
      <c r="G788" s="9" t="s">
        <v>117</v>
      </c>
      <c r="H788" s="9" t="s">
        <v>38</v>
      </c>
      <c r="I788" s="9" t="s">
        <v>3795</v>
      </c>
      <c r="J788" s="9" t="s">
        <v>3306</v>
      </c>
      <c r="K788" s="9" t="s">
        <v>39</v>
      </c>
      <c r="L788" s="9" t="s">
        <v>40</v>
      </c>
      <c r="M788" s="9" t="s">
        <v>39</v>
      </c>
      <c r="O788" s="9" t="s">
        <v>3796</v>
      </c>
      <c r="P788" s="9" t="s">
        <v>3797</v>
      </c>
      <c r="Q788" s="9" t="s">
        <v>42</v>
      </c>
      <c r="R788" s="9">
        <v>7000.0</v>
      </c>
      <c r="S788" s="9">
        <v>0.0</v>
      </c>
      <c r="T788" s="9">
        <v>0.0</v>
      </c>
      <c r="U788" s="9">
        <v>14.0</v>
      </c>
      <c r="V788" s="9" t="s">
        <v>3798</v>
      </c>
      <c r="W788" s="9" t="s">
        <v>3799</v>
      </c>
      <c r="X788" s="9" t="s">
        <v>58</v>
      </c>
      <c r="Y788" s="9" t="s">
        <v>350</v>
      </c>
      <c r="Z788" s="9" t="s">
        <v>132</v>
      </c>
      <c r="AA788" s="9" t="s">
        <v>91</v>
      </c>
      <c r="AC788" s="9">
        <v>7.0</v>
      </c>
      <c r="AD788" s="9">
        <v>6.0</v>
      </c>
      <c r="AE788" s="9">
        <v>2.0</v>
      </c>
      <c r="AF788" s="9">
        <v>7000.0</v>
      </c>
      <c r="AG788" s="9" t="s">
        <v>112</v>
      </c>
    </row>
    <row r="789">
      <c r="A789" s="7">
        <v>44735.707250057865</v>
      </c>
      <c r="B789" s="9" t="s">
        <v>49</v>
      </c>
      <c r="C789" s="9">
        <v>25.0</v>
      </c>
      <c r="D789" s="9" t="s">
        <v>35</v>
      </c>
      <c r="E789" s="9" t="s">
        <v>36</v>
      </c>
      <c r="F789" s="9" t="s">
        <v>50</v>
      </c>
      <c r="G789" s="9" t="s">
        <v>298</v>
      </c>
      <c r="H789" s="9" t="s">
        <v>38</v>
      </c>
      <c r="I789" s="9" t="s">
        <v>3800</v>
      </c>
      <c r="J789" s="9" t="s">
        <v>2627</v>
      </c>
      <c r="K789" s="9" t="s">
        <v>39</v>
      </c>
      <c r="L789" s="9" t="s">
        <v>40</v>
      </c>
      <c r="M789" s="9" t="s">
        <v>40</v>
      </c>
      <c r="P789" s="9" t="s">
        <v>2806</v>
      </c>
      <c r="Q789" s="9" t="s">
        <v>42</v>
      </c>
      <c r="R789" s="9">
        <v>5000.0</v>
      </c>
      <c r="S789" s="9">
        <v>0.0</v>
      </c>
      <c r="T789" s="9">
        <v>0.0</v>
      </c>
      <c r="U789" s="9">
        <v>16.0</v>
      </c>
      <c r="V789" s="9" t="s">
        <v>3801</v>
      </c>
      <c r="W789" s="9" t="s">
        <v>3802</v>
      </c>
      <c r="X789" s="9" t="s">
        <v>58</v>
      </c>
      <c r="Y789" s="9" t="s">
        <v>228</v>
      </c>
      <c r="Z789" s="9" t="s">
        <v>132</v>
      </c>
      <c r="AA789" s="9" t="s">
        <v>61</v>
      </c>
      <c r="AC789" s="9">
        <v>8.0</v>
      </c>
      <c r="AD789" s="9">
        <v>3.0</v>
      </c>
      <c r="AE789" s="9">
        <v>1.0</v>
      </c>
      <c r="AF789" s="9">
        <v>3700.0</v>
      </c>
      <c r="AG789" s="9" t="s">
        <v>42</v>
      </c>
    </row>
    <row r="790">
      <c r="A790" s="7">
        <v>44744.96351219907</v>
      </c>
      <c r="B790" s="9" t="s">
        <v>49</v>
      </c>
      <c r="C790" s="9">
        <v>27.0</v>
      </c>
      <c r="D790" s="9" t="s">
        <v>35</v>
      </c>
      <c r="E790" s="9" t="s">
        <v>36</v>
      </c>
      <c r="F790" s="9" t="s">
        <v>50</v>
      </c>
      <c r="G790" s="9" t="s">
        <v>493</v>
      </c>
      <c r="H790" s="9" t="s">
        <v>38</v>
      </c>
      <c r="I790" s="9" t="s">
        <v>3803</v>
      </c>
      <c r="J790" s="9" t="s">
        <v>322</v>
      </c>
      <c r="K790" s="9" t="s">
        <v>39</v>
      </c>
      <c r="L790" s="9" t="s">
        <v>40</v>
      </c>
      <c r="M790" s="9" t="s">
        <v>39</v>
      </c>
      <c r="O790" s="9" t="s">
        <v>398</v>
      </c>
      <c r="P790" s="9" t="s">
        <v>2848</v>
      </c>
      <c r="Q790" s="9" t="s">
        <v>42</v>
      </c>
      <c r="R790" s="9">
        <v>4800.0</v>
      </c>
      <c r="S790" s="9">
        <v>1100.0</v>
      </c>
      <c r="T790" s="9">
        <v>0.0</v>
      </c>
      <c r="U790" s="9">
        <v>18.0</v>
      </c>
      <c r="V790" s="9" t="s">
        <v>3804</v>
      </c>
      <c r="W790" s="9" t="s">
        <v>3805</v>
      </c>
      <c r="X790" s="9" t="s">
        <v>58</v>
      </c>
      <c r="Y790" s="9" t="s">
        <v>197</v>
      </c>
      <c r="Z790" s="9" t="s">
        <v>60</v>
      </c>
      <c r="AA790" s="9" t="s">
        <v>61</v>
      </c>
      <c r="AC790" s="9">
        <v>7.0</v>
      </c>
      <c r="AD790" s="9">
        <v>3.0</v>
      </c>
      <c r="AE790" s="9">
        <v>0.0</v>
      </c>
      <c r="AF790" s="9">
        <v>3200.0</v>
      </c>
      <c r="AG790" s="9" t="s">
        <v>42</v>
      </c>
    </row>
    <row r="791">
      <c r="A791" s="7">
        <v>44758.47992545139</v>
      </c>
      <c r="B791" s="9" t="s">
        <v>49</v>
      </c>
      <c r="C791" s="9">
        <v>23.0</v>
      </c>
      <c r="D791" s="9" t="s">
        <v>35</v>
      </c>
      <c r="E791" s="9" t="s">
        <v>36</v>
      </c>
      <c r="F791" s="9" t="s">
        <v>50</v>
      </c>
      <c r="G791" s="9" t="s">
        <v>106</v>
      </c>
      <c r="H791" s="9" t="s">
        <v>38</v>
      </c>
      <c r="I791" s="9" t="s">
        <v>2368</v>
      </c>
      <c r="J791" s="9" t="s">
        <v>3806</v>
      </c>
      <c r="K791" s="9" t="s">
        <v>39</v>
      </c>
      <c r="L791" s="9" t="s">
        <v>40</v>
      </c>
      <c r="M791" s="9" t="s">
        <v>40</v>
      </c>
      <c r="P791" s="9" t="s">
        <v>3807</v>
      </c>
      <c r="Q791" s="9" t="s">
        <v>42</v>
      </c>
      <c r="R791" s="9">
        <v>3350.0</v>
      </c>
      <c r="S791" s="9">
        <v>1750.0</v>
      </c>
      <c r="T791" s="9">
        <v>0.0</v>
      </c>
      <c r="U791" s="9">
        <v>12.0</v>
      </c>
      <c r="V791" s="9" t="s">
        <v>3808</v>
      </c>
      <c r="W791" s="9" t="s">
        <v>865</v>
      </c>
      <c r="X791" s="9" t="s">
        <v>58</v>
      </c>
      <c r="Y791" s="9" t="s">
        <v>89</v>
      </c>
      <c r="Z791" s="9" t="s">
        <v>132</v>
      </c>
      <c r="AA791" s="9" t="s">
        <v>61</v>
      </c>
      <c r="AC791" s="9">
        <v>2.0</v>
      </c>
      <c r="AD791" s="9">
        <v>1.0</v>
      </c>
      <c r="AE791" s="9">
        <v>0.0</v>
      </c>
      <c r="AF791" s="9">
        <v>3000.0</v>
      </c>
      <c r="AG791" s="9" t="s">
        <v>42</v>
      </c>
    </row>
    <row r="792">
      <c r="A792" s="7">
        <v>44760.829181747686</v>
      </c>
      <c r="B792" s="9" t="s">
        <v>49</v>
      </c>
      <c r="C792" s="9">
        <v>43.0</v>
      </c>
      <c r="D792" s="9" t="s">
        <v>35</v>
      </c>
      <c r="E792" s="9" t="s">
        <v>36</v>
      </c>
      <c r="F792" s="9" t="s">
        <v>50</v>
      </c>
      <c r="G792" s="9" t="s">
        <v>50</v>
      </c>
      <c r="H792" s="9" t="s">
        <v>38</v>
      </c>
      <c r="I792" s="9" t="s">
        <v>3809</v>
      </c>
      <c r="J792" s="9" t="s">
        <v>3810</v>
      </c>
      <c r="K792" s="9" t="s">
        <v>39</v>
      </c>
      <c r="L792" s="9" t="s">
        <v>40</v>
      </c>
      <c r="M792" s="9" t="s">
        <v>40</v>
      </c>
      <c r="P792" s="9" t="s">
        <v>3219</v>
      </c>
      <c r="Q792" s="9" t="s">
        <v>42</v>
      </c>
      <c r="R792" s="9">
        <v>13000.0</v>
      </c>
      <c r="S792" s="9">
        <v>24000.0</v>
      </c>
      <c r="T792" s="9">
        <v>0.0</v>
      </c>
      <c r="U792" s="9">
        <v>21.0</v>
      </c>
      <c r="V792" s="9" t="s">
        <v>3811</v>
      </c>
      <c r="W792" s="9" t="s">
        <v>224</v>
      </c>
      <c r="X792" s="9" t="s">
        <v>88</v>
      </c>
      <c r="Y792" s="9" t="s">
        <v>350</v>
      </c>
      <c r="Z792" s="9" t="s">
        <v>60</v>
      </c>
      <c r="AA792" s="9" t="s">
        <v>91</v>
      </c>
      <c r="AC792" s="9">
        <v>6.0</v>
      </c>
      <c r="AD792" s="9">
        <v>12.0</v>
      </c>
      <c r="AE792" s="9">
        <v>3.0</v>
      </c>
      <c r="AF792" s="9">
        <v>1800.0</v>
      </c>
      <c r="AG792" s="9" t="s">
        <v>42</v>
      </c>
    </row>
    <row r="793">
      <c r="A793" s="7">
        <v>44760.86215741898</v>
      </c>
      <c r="B793" s="9" t="s">
        <v>49</v>
      </c>
      <c r="C793" s="9">
        <v>42.0</v>
      </c>
      <c r="D793" s="9" t="s">
        <v>35</v>
      </c>
      <c r="E793" s="9" t="s">
        <v>36</v>
      </c>
      <c r="F793" s="9" t="s">
        <v>50</v>
      </c>
      <c r="G793" s="9" t="s">
        <v>106</v>
      </c>
      <c r="H793" s="9" t="s">
        <v>38</v>
      </c>
      <c r="I793" s="9" t="s">
        <v>2467</v>
      </c>
      <c r="J793" s="9" t="s">
        <v>2680</v>
      </c>
      <c r="K793" s="9" t="s">
        <v>39</v>
      </c>
      <c r="L793" s="9" t="s">
        <v>39</v>
      </c>
      <c r="M793" s="9" t="s">
        <v>40</v>
      </c>
      <c r="N793" s="9" t="s">
        <v>3812</v>
      </c>
      <c r="P793" s="9" t="s">
        <v>128</v>
      </c>
      <c r="Q793" s="9" t="s">
        <v>42</v>
      </c>
      <c r="R793" s="9">
        <v>15300.0</v>
      </c>
      <c r="S793" s="9">
        <v>0.0</v>
      </c>
      <c r="T793" s="9">
        <v>0.0</v>
      </c>
      <c r="U793" s="9">
        <v>22.0</v>
      </c>
      <c r="V793" s="9" t="s">
        <v>3813</v>
      </c>
      <c r="W793" s="9" t="s">
        <v>3814</v>
      </c>
      <c r="X793" s="9" t="s">
        <v>122</v>
      </c>
      <c r="Y793" s="9" t="s">
        <v>97</v>
      </c>
      <c r="Z793" s="9" t="s">
        <v>60</v>
      </c>
      <c r="AA793" s="9" t="s">
        <v>133</v>
      </c>
      <c r="AC793" s="9">
        <v>10.0</v>
      </c>
      <c r="AD793" s="9" t="s">
        <v>3815</v>
      </c>
      <c r="AE793" s="9" t="s">
        <v>3816</v>
      </c>
      <c r="AF793" s="9">
        <v>2500.0</v>
      </c>
      <c r="AG793" s="9" t="s">
        <v>42</v>
      </c>
    </row>
    <row r="794">
      <c r="A794" s="7">
        <v>44776.44460135417</v>
      </c>
      <c r="B794" s="9" t="s">
        <v>49</v>
      </c>
      <c r="C794" s="9">
        <v>27.0</v>
      </c>
      <c r="D794" s="9" t="s">
        <v>35</v>
      </c>
      <c r="E794" s="9" t="s">
        <v>36</v>
      </c>
      <c r="F794" s="9" t="s">
        <v>363</v>
      </c>
      <c r="G794" s="9" t="s">
        <v>527</v>
      </c>
      <c r="H794" s="9" t="s">
        <v>38</v>
      </c>
      <c r="I794" s="9" t="s">
        <v>2678</v>
      </c>
      <c r="J794" s="9" t="s">
        <v>2627</v>
      </c>
      <c r="K794" s="9" t="s">
        <v>39</v>
      </c>
      <c r="L794" s="9" t="s">
        <v>40</v>
      </c>
      <c r="M794" s="9" t="s">
        <v>40</v>
      </c>
      <c r="P794" s="9" t="s">
        <v>128</v>
      </c>
      <c r="Q794" s="9" t="s">
        <v>42</v>
      </c>
      <c r="R794" s="9">
        <v>4000.0</v>
      </c>
      <c r="S794" s="9">
        <v>2000.0</v>
      </c>
      <c r="T794" s="9">
        <v>4000.0</v>
      </c>
      <c r="U794" s="9">
        <v>14.0</v>
      </c>
      <c r="V794" s="9" t="s">
        <v>3817</v>
      </c>
      <c r="W794" s="9" t="s">
        <v>3818</v>
      </c>
      <c r="X794" s="9" t="s">
        <v>363</v>
      </c>
      <c r="Y794" s="9" t="s">
        <v>350</v>
      </c>
      <c r="Z794" s="9" t="s">
        <v>71</v>
      </c>
      <c r="AA794" s="9" t="s">
        <v>91</v>
      </c>
      <c r="AC794" s="9">
        <v>7.0</v>
      </c>
      <c r="AD794" s="9">
        <v>4.0</v>
      </c>
      <c r="AE794" s="9">
        <v>1.0</v>
      </c>
      <c r="AF794" s="9">
        <v>2500.0</v>
      </c>
      <c r="AG794" s="9" t="s">
        <v>42</v>
      </c>
    </row>
    <row r="795">
      <c r="A795" s="7">
        <v>44790.78770768519</v>
      </c>
      <c r="B795" s="9" t="s">
        <v>49</v>
      </c>
      <c r="C795" s="9">
        <v>26.0</v>
      </c>
      <c r="D795" s="9" t="s">
        <v>35</v>
      </c>
      <c r="E795" s="9" t="s">
        <v>36</v>
      </c>
      <c r="F795" s="9" t="s">
        <v>50</v>
      </c>
      <c r="G795" s="9" t="s">
        <v>117</v>
      </c>
      <c r="H795" s="9" t="s">
        <v>38</v>
      </c>
      <c r="I795" s="9" t="s">
        <v>2413</v>
      </c>
      <c r="J795" s="9" t="s">
        <v>2551</v>
      </c>
      <c r="K795" s="9" t="s">
        <v>39</v>
      </c>
      <c r="L795" s="9" t="s">
        <v>40</v>
      </c>
      <c r="M795" s="9" t="s">
        <v>40</v>
      </c>
      <c r="P795" s="9" t="s">
        <v>308</v>
      </c>
      <c r="Q795" s="9" t="s">
        <v>42</v>
      </c>
      <c r="R795" s="9">
        <v>6300.0</v>
      </c>
      <c r="S795" s="9">
        <v>17000.0</v>
      </c>
      <c r="T795" s="9">
        <v>0.0</v>
      </c>
      <c r="U795" s="9">
        <v>12.0</v>
      </c>
      <c r="V795" s="9" t="s">
        <v>3819</v>
      </c>
      <c r="W795" s="9" t="s">
        <v>3820</v>
      </c>
      <c r="X795" s="9" t="s">
        <v>58</v>
      </c>
      <c r="Y795" s="9" t="s">
        <v>116</v>
      </c>
      <c r="Z795" s="9" t="s">
        <v>132</v>
      </c>
      <c r="AA795" s="9" t="s">
        <v>91</v>
      </c>
      <c r="AC795" s="9">
        <v>7.0</v>
      </c>
      <c r="AD795" s="9">
        <v>2.0</v>
      </c>
      <c r="AE795" s="9">
        <v>0.0</v>
      </c>
      <c r="AF795" s="9">
        <v>3700.0</v>
      </c>
      <c r="AG795" s="9" t="s">
        <v>42</v>
      </c>
    </row>
    <row r="796">
      <c r="A796" s="7">
        <v>44792.996215694446</v>
      </c>
      <c r="B796" s="9" t="s">
        <v>49</v>
      </c>
      <c r="C796" s="9">
        <v>23.0</v>
      </c>
      <c r="D796" s="9" t="s">
        <v>35</v>
      </c>
      <c r="E796" s="9" t="s">
        <v>36</v>
      </c>
      <c r="F796" s="9" t="s">
        <v>50</v>
      </c>
      <c r="G796" s="9" t="s">
        <v>2651</v>
      </c>
      <c r="H796" s="9" t="s">
        <v>38</v>
      </c>
      <c r="I796" s="9" t="s">
        <v>3266</v>
      </c>
      <c r="J796" s="9" t="s">
        <v>2381</v>
      </c>
      <c r="K796" s="9" t="s">
        <v>39</v>
      </c>
      <c r="L796" s="9" t="s">
        <v>40</v>
      </c>
      <c r="M796" s="9" t="s">
        <v>40</v>
      </c>
      <c r="P796" s="9" t="s">
        <v>3821</v>
      </c>
      <c r="Q796" s="9" t="s">
        <v>42</v>
      </c>
      <c r="R796" s="9">
        <v>3650.0</v>
      </c>
      <c r="U796" s="9">
        <v>23.0</v>
      </c>
      <c r="V796" s="9" t="s">
        <v>3822</v>
      </c>
      <c r="W796" s="9" t="s">
        <v>3823</v>
      </c>
      <c r="X796" s="9" t="s">
        <v>3067</v>
      </c>
      <c r="Y796" s="9" t="s">
        <v>59</v>
      </c>
      <c r="Z796" s="9" t="s">
        <v>90</v>
      </c>
      <c r="AA796" s="9" t="s">
        <v>61</v>
      </c>
      <c r="AB796" s="9" t="s">
        <v>3824</v>
      </c>
      <c r="AC796" s="9">
        <v>8.0</v>
      </c>
      <c r="AD796" s="9">
        <v>1.0</v>
      </c>
      <c r="AE796" s="9" t="s">
        <v>3825</v>
      </c>
      <c r="AF796" s="9">
        <v>3650.0</v>
      </c>
      <c r="AG796" s="9" t="s">
        <v>42</v>
      </c>
    </row>
    <row r="797">
      <c r="A797" s="7">
        <v>44809.84624622685</v>
      </c>
      <c r="B797" s="9" t="s">
        <v>49</v>
      </c>
      <c r="C797" s="9">
        <v>26.0</v>
      </c>
      <c r="D797" s="9" t="s">
        <v>35</v>
      </c>
      <c r="E797" s="9" t="s">
        <v>36</v>
      </c>
      <c r="F797" s="9" t="s">
        <v>349</v>
      </c>
      <c r="G797" s="9" t="s">
        <v>349</v>
      </c>
      <c r="H797" s="9" t="s">
        <v>93</v>
      </c>
      <c r="K797" s="9" t="s">
        <v>40</v>
      </c>
      <c r="L797" s="9" t="s">
        <v>40</v>
      </c>
      <c r="M797" s="9" t="s">
        <v>40</v>
      </c>
      <c r="P797" s="9" t="s">
        <v>2639</v>
      </c>
      <c r="Q797" s="9" t="s">
        <v>42</v>
      </c>
      <c r="R797" s="9">
        <v>7450.0</v>
      </c>
      <c r="U797" s="9">
        <v>18.0</v>
      </c>
      <c r="V797" s="9" t="s">
        <v>3826</v>
      </c>
      <c r="W797" s="9" t="s">
        <v>3827</v>
      </c>
      <c r="X797" s="9" t="s">
        <v>2390</v>
      </c>
      <c r="Y797" s="9" t="s">
        <v>80</v>
      </c>
      <c r="Z797" s="9" t="s">
        <v>132</v>
      </c>
      <c r="AA797" s="9" t="s">
        <v>61</v>
      </c>
      <c r="AC797" s="9">
        <v>7.0</v>
      </c>
      <c r="AD797" s="9">
        <v>5.0</v>
      </c>
      <c r="AE797" s="9">
        <v>0.0</v>
      </c>
      <c r="AF797" s="9">
        <v>2450.0</v>
      </c>
      <c r="AG797" s="9" t="s">
        <v>42</v>
      </c>
    </row>
    <row r="798">
      <c r="A798" s="7">
        <v>44810.55251877315</v>
      </c>
      <c r="B798" s="9" t="s">
        <v>73</v>
      </c>
      <c r="C798" s="9">
        <v>39.0</v>
      </c>
      <c r="D798" s="9" t="s">
        <v>35</v>
      </c>
      <c r="E798" s="9" t="s">
        <v>36</v>
      </c>
      <c r="F798" s="9" t="s">
        <v>50</v>
      </c>
      <c r="G798" s="9" t="s">
        <v>493</v>
      </c>
      <c r="H798" s="9" t="s">
        <v>247</v>
      </c>
      <c r="I798" s="9" t="s">
        <v>3828</v>
      </c>
      <c r="J798" s="9" t="s">
        <v>2381</v>
      </c>
      <c r="K798" s="9" t="s">
        <v>39</v>
      </c>
      <c r="L798" s="9" t="s">
        <v>40</v>
      </c>
      <c r="M798" s="9" t="s">
        <v>39</v>
      </c>
      <c r="O798" s="9" t="s">
        <v>3829</v>
      </c>
      <c r="P798" s="9" t="s">
        <v>3830</v>
      </c>
      <c r="Q798" s="9" t="s">
        <v>42</v>
      </c>
      <c r="R798" s="9">
        <v>8250.0</v>
      </c>
      <c r="S798" s="9">
        <v>24000.0</v>
      </c>
      <c r="T798" s="9">
        <v>0.0</v>
      </c>
      <c r="U798" s="9">
        <v>14.0</v>
      </c>
      <c r="V798" s="9" t="s">
        <v>3831</v>
      </c>
      <c r="W798" s="9" t="s">
        <v>809</v>
      </c>
      <c r="X798" s="9" t="s">
        <v>82</v>
      </c>
      <c r="Y798" s="9" t="s">
        <v>80</v>
      </c>
      <c r="Z798" s="9" t="s">
        <v>60</v>
      </c>
      <c r="AA798" s="9" t="s">
        <v>48</v>
      </c>
      <c r="AC798" s="9">
        <v>5.0</v>
      </c>
      <c r="AD798" s="9">
        <v>4.0</v>
      </c>
      <c r="AE798" s="9">
        <v>4.0</v>
      </c>
      <c r="AF798" s="9">
        <v>6500.0</v>
      </c>
      <c r="AG798" s="9" t="s">
        <v>3054</v>
      </c>
    </row>
    <row r="799">
      <c r="A799" s="7">
        <v>44816.90224469907</v>
      </c>
      <c r="B799" s="9" t="s">
        <v>49</v>
      </c>
      <c r="C799" s="9">
        <v>35.0</v>
      </c>
      <c r="D799" s="9" t="s">
        <v>35</v>
      </c>
      <c r="E799" s="9" t="s">
        <v>36</v>
      </c>
      <c r="F799" s="9" t="s">
        <v>515</v>
      </c>
      <c r="G799" s="9" t="s">
        <v>515</v>
      </c>
      <c r="H799" s="9" t="s">
        <v>38</v>
      </c>
      <c r="I799" s="9" t="s">
        <v>2388</v>
      </c>
      <c r="J799" s="9" t="s">
        <v>2675</v>
      </c>
      <c r="K799" s="9" t="s">
        <v>39</v>
      </c>
      <c r="L799" s="9" t="s">
        <v>40</v>
      </c>
      <c r="M799" s="9" t="s">
        <v>40</v>
      </c>
      <c r="P799" s="9" t="s">
        <v>3832</v>
      </c>
      <c r="Q799" s="9" t="s">
        <v>42</v>
      </c>
      <c r="R799" s="9">
        <v>10000.0</v>
      </c>
      <c r="S799" s="9">
        <v>8000.0</v>
      </c>
      <c r="T799" s="9">
        <v>0.0</v>
      </c>
      <c r="U799" s="9">
        <v>20.0</v>
      </c>
      <c r="V799" s="9" t="s">
        <v>3833</v>
      </c>
      <c r="W799" s="9" t="s">
        <v>1388</v>
      </c>
      <c r="X799" s="9" t="s">
        <v>3834</v>
      </c>
      <c r="Y799" s="9" t="s">
        <v>80</v>
      </c>
      <c r="Z799" s="9" t="s">
        <v>81</v>
      </c>
      <c r="AA799" s="9" t="s">
        <v>61</v>
      </c>
      <c r="AC799" s="9">
        <v>6.0</v>
      </c>
      <c r="AD799" s="9">
        <v>9.0</v>
      </c>
      <c r="AE799" s="9">
        <v>3.0</v>
      </c>
      <c r="AF799" s="9">
        <v>2500.0</v>
      </c>
      <c r="AG799" s="9" t="s">
        <v>42</v>
      </c>
    </row>
    <row r="800">
      <c r="A800" s="7">
        <v>44818.105337719906</v>
      </c>
      <c r="B800" s="9" t="s">
        <v>49</v>
      </c>
      <c r="C800" s="9">
        <v>24.0</v>
      </c>
      <c r="D800" s="9" t="s">
        <v>35</v>
      </c>
      <c r="E800" s="9" t="s">
        <v>36</v>
      </c>
      <c r="F800" s="9" t="s">
        <v>63</v>
      </c>
      <c r="G800" s="9" t="s">
        <v>3835</v>
      </c>
      <c r="H800" s="9" t="s">
        <v>38</v>
      </c>
      <c r="I800" s="9" t="s">
        <v>2384</v>
      </c>
      <c r="J800" s="9" t="s">
        <v>327</v>
      </c>
      <c r="K800" s="9" t="s">
        <v>40</v>
      </c>
      <c r="L800" s="9" t="s">
        <v>40</v>
      </c>
      <c r="M800" s="9" t="s">
        <v>40</v>
      </c>
      <c r="O800" s="9" t="s">
        <v>717</v>
      </c>
      <c r="P800" s="9" t="s">
        <v>101</v>
      </c>
      <c r="Q800" s="9" t="s">
        <v>42</v>
      </c>
      <c r="R800" s="9">
        <v>3500.0</v>
      </c>
      <c r="S800" s="9">
        <v>0.0</v>
      </c>
      <c r="T800" s="9">
        <v>0.0</v>
      </c>
      <c r="U800" s="9">
        <v>18.0</v>
      </c>
      <c r="V800" s="9" t="s">
        <v>3836</v>
      </c>
      <c r="W800" s="9" t="s">
        <v>3837</v>
      </c>
      <c r="X800" s="9" t="s">
        <v>3838</v>
      </c>
      <c r="Y800" s="9" t="s">
        <v>59</v>
      </c>
      <c r="Z800" s="9" t="s">
        <v>81</v>
      </c>
      <c r="AA800" s="9" t="s">
        <v>611</v>
      </c>
      <c r="AC800" s="9">
        <v>5.0</v>
      </c>
      <c r="AD800" s="9">
        <v>2.0</v>
      </c>
      <c r="AE800" s="9">
        <v>3.0</v>
      </c>
      <c r="AF800" s="9">
        <v>2700.0</v>
      </c>
      <c r="AG800" s="9" t="s">
        <v>2521</v>
      </c>
    </row>
    <row r="801">
      <c r="A801" s="7">
        <v>44821.84843945602</v>
      </c>
      <c r="B801" s="9" t="s">
        <v>73</v>
      </c>
      <c r="C801" s="9">
        <v>26.0</v>
      </c>
      <c r="D801" s="9" t="s">
        <v>35</v>
      </c>
      <c r="E801" s="9" t="s">
        <v>36</v>
      </c>
      <c r="F801" s="9" t="s">
        <v>124</v>
      </c>
      <c r="G801" s="9" t="s">
        <v>773</v>
      </c>
      <c r="H801" s="9" t="s">
        <v>38</v>
      </c>
      <c r="I801" s="9" t="s">
        <v>3255</v>
      </c>
      <c r="J801" s="9" t="s">
        <v>134</v>
      </c>
      <c r="K801" s="9" t="s">
        <v>39</v>
      </c>
      <c r="L801" s="9" t="s">
        <v>40</v>
      </c>
      <c r="M801" s="9" t="s">
        <v>40</v>
      </c>
      <c r="P801" s="9" t="s">
        <v>634</v>
      </c>
      <c r="Q801" s="9" t="s">
        <v>42</v>
      </c>
      <c r="R801" s="9">
        <v>2700.0</v>
      </c>
      <c r="U801" s="9">
        <v>14.0</v>
      </c>
      <c r="V801" s="9" t="s">
        <v>1314</v>
      </c>
      <c r="W801" s="9" t="s">
        <v>3839</v>
      </c>
      <c r="X801" s="9" t="s">
        <v>3840</v>
      </c>
      <c r="Y801" s="9" t="s">
        <v>218</v>
      </c>
      <c r="Z801" s="9" t="s">
        <v>60</v>
      </c>
      <c r="AA801" s="9" t="s">
        <v>61</v>
      </c>
      <c r="AC801" s="9">
        <v>8.0</v>
      </c>
      <c r="AD801" s="9" t="s">
        <v>3841</v>
      </c>
      <c r="AE801" s="9" t="s">
        <v>3842</v>
      </c>
      <c r="AF801" s="9">
        <v>1400.0</v>
      </c>
      <c r="AG801" s="9" t="s">
        <v>42</v>
      </c>
    </row>
    <row r="802">
      <c r="A802" s="7">
        <v>44823.87526189815</v>
      </c>
      <c r="B802" s="9" t="s">
        <v>49</v>
      </c>
      <c r="C802" s="9">
        <v>31.0</v>
      </c>
      <c r="D802" s="9" t="s">
        <v>35</v>
      </c>
      <c r="E802" s="9" t="s">
        <v>36</v>
      </c>
      <c r="F802" s="9" t="s">
        <v>172</v>
      </c>
      <c r="G802" s="9" t="s">
        <v>173</v>
      </c>
      <c r="H802" s="9" t="s">
        <v>93</v>
      </c>
      <c r="I802" s="9" t="s">
        <v>3843</v>
      </c>
      <c r="J802" s="9" t="s">
        <v>3844</v>
      </c>
      <c r="K802" s="9" t="s">
        <v>39</v>
      </c>
      <c r="L802" s="9" t="s">
        <v>40</v>
      </c>
      <c r="M802" s="9" t="s">
        <v>40</v>
      </c>
      <c r="P802" s="9" t="s">
        <v>119</v>
      </c>
      <c r="Q802" s="9" t="s">
        <v>42</v>
      </c>
      <c r="R802" s="9">
        <v>16000.0</v>
      </c>
      <c r="S802" s="9">
        <v>0.0</v>
      </c>
      <c r="T802" s="9">
        <v>0.0</v>
      </c>
      <c r="U802" s="9">
        <v>14.0</v>
      </c>
      <c r="V802" s="9" t="s">
        <v>3845</v>
      </c>
      <c r="W802" s="9" t="s">
        <v>3846</v>
      </c>
      <c r="X802" s="9" t="s">
        <v>122</v>
      </c>
      <c r="Y802" s="9" t="s">
        <v>347</v>
      </c>
      <c r="Z802" s="9" t="s">
        <v>71</v>
      </c>
      <c r="AA802" s="9" t="s">
        <v>91</v>
      </c>
      <c r="AC802" s="9">
        <v>6.0</v>
      </c>
      <c r="AD802" s="9">
        <v>9.0</v>
      </c>
      <c r="AE802" s="9">
        <v>6.0</v>
      </c>
      <c r="AF802" s="9">
        <v>900.0</v>
      </c>
      <c r="AG802" s="9" t="s">
        <v>42</v>
      </c>
    </row>
    <row r="803">
      <c r="A803" s="7">
        <v>44823.88188341435</v>
      </c>
      <c r="B803" s="9" t="s">
        <v>49</v>
      </c>
      <c r="C803" s="9">
        <v>25.0</v>
      </c>
      <c r="D803" s="9" t="s">
        <v>35</v>
      </c>
      <c r="E803" s="9" t="s">
        <v>36</v>
      </c>
      <c r="F803" s="9" t="s">
        <v>3847</v>
      </c>
      <c r="G803" s="9" t="s">
        <v>1414</v>
      </c>
      <c r="H803" s="9" t="s">
        <v>38</v>
      </c>
      <c r="I803" s="9" t="s">
        <v>2368</v>
      </c>
      <c r="J803" s="9" t="s">
        <v>2376</v>
      </c>
      <c r="K803" s="9" t="s">
        <v>39</v>
      </c>
      <c r="L803" s="9" t="s">
        <v>40</v>
      </c>
      <c r="M803" s="9" t="s">
        <v>40</v>
      </c>
      <c r="P803" s="9" t="s">
        <v>2708</v>
      </c>
      <c r="Q803" s="9" t="s">
        <v>42</v>
      </c>
      <c r="R803" s="9">
        <v>4400.0</v>
      </c>
      <c r="S803" s="9">
        <v>19200.0</v>
      </c>
      <c r="U803" s="9">
        <v>16.0</v>
      </c>
      <c r="V803" s="9" t="s">
        <v>3848</v>
      </c>
      <c r="W803" s="9" t="s">
        <v>3849</v>
      </c>
      <c r="X803" s="9" t="s">
        <v>79</v>
      </c>
      <c r="Y803" s="9" t="s">
        <v>80</v>
      </c>
      <c r="Z803" s="9" t="s">
        <v>60</v>
      </c>
      <c r="AA803" s="9" t="s">
        <v>61</v>
      </c>
      <c r="AB803" s="9" t="s">
        <v>3850</v>
      </c>
      <c r="AC803" s="9">
        <v>8.0</v>
      </c>
      <c r="AD803" s="9">
        <v>3.0</v>
      </c>
      <c r="AE803" s="9">
        <v>0.0</v>
      </c>
      <c r="AF803" s="9">
        <v>3000.0</v>
      </c>
      <c r="AG803" s="9" t="s">
        <v>42</v>
      </c>
    </row>
    <row r="804">
      <c r="A804" s="7">
        <v>44823.92444822917</v>
      </c>
      <c r="B804" s="9" t="s">
        <v>49</v>
      </c>
      <c r="C804" s="9">
        <v>22.0</v>
      </c>
      <c r="D804" s="9" t="s">
        <v>62</v>
      </c>
      <c r="E804" s="9" t="s">
        <v>36</v>
      </c>
      <c r="F804" s="9" t="s">
        <v>124</v>
      </c>
      <c r="G804" s="9" t="s">
        <v>124</v>
      </c>
      <c r="H804" s="9" t="s">
        <v>38</v>
      </c>
      <c r="I804" s="9" t="s">
        <v>2582</v>
      </c>
      <c r="J804" s="9" t="s">
        <v>2385</v>
      </c>
      <c r="K804" s="9" t="s">
        <v>39</v>
      </c>
      <c r="L804" s="9" t="s">
        <v>40</v>
      </c>
      <c r="M804" s="9" t="s">
        <v>40</v>
      </c>
      <c r="P804" s="9" t="s">
        <v>3851</v>
      </c>
      <c r="Q804" s="9" t="s">
        <v>112</v>
      </c>
      <c r="R804" s="9">
        <v>1403.0</v>
      </c>
      <c r="U804" s="9">
        <v>22.0</v>
      </c>
      <c r="V804" s="9" t="s">
        <v>3852</v>
      </c>
      <c r="W804" s="9" t="s">
        <v>549</v>
      </c>
      <c r="X804" s="9" t="s">
        <v>122</v>
      </c>
      <c r="Y804" s="9" t="s">
        <v>59</v>
      </c>
      <c r="Z804" s="9" t="s">
        <v>71</v>
      </c>
      <c r="AA804" s="9" t="s">
        <v>61</v>
      </c>
      <c r="AC804" s="9">
        <v>9.0</v>
      </c>
      <c r="AD804" s="9">
        <v>0.0</v>
      </c>
      <c r="AE804" s="9">
        <v>0.0</v>
      </c>
      <c r="AF804" s="9">
        <v>200.0</v>
      </c>
      <c r="AG804" s="9" t="s">
        <v>112</v>
      </c>
    </row>
    <row r="805">
      <c r="A805" s="7">
        <v>44828.00146712963</v>
      </c>
      <c r="B805" s="9" t="s">
        <v>49</v>
      </c>
      <c r="C805" s="9">
        <v>33.0</v>
      </c>
      <c r="D805" s="9" t="s">
        <v>35</v>
      </c>
      <c r="E805" s="9" t="s">
        <v>36</v>
      </c>
      <c r="F805" s="9" t="s">
        <v>50</v>
      </c>
      <c r="G805" s="9" t="s">
        <v>106</v>
      </c>
      <c r="H805" s="9" t="s">
        <v>38</v>
      </c>
      <c r="I805" s="9" t="s">
        <v>3853</v>
      </c>
      <c r="J805" s="9" t="s">
        <v>3532</v>
      </c>
      <c r="K805" s="9" t="s">
        <v>39</v>
      </c>
      <c r="L805" s="9" t="s">
        <v>40</v>
      </c>
      <c r="M805" s="9" t="s">
        <v>40</v>
      </c>
      <c r="P805" s="9" t="s">
        <v>557</v>
      </c>
      <c r="Q805" s="9" t="s">
        <v>42</v>
      </c>
      <c r="R805" s="9">
        <v>4700.0</v>
      </c>
      <c r="S805" s="9">
        <v>4500.0</v>
      </c>
      <c r="T805" s="9">
        <v>0.0</v>
      </c>
      <c r="U805" s="9">
        <v>12.0</v>
      </c>
      <c r="V805" s="9" t="s">
        <v>67</v>
      </c>
      <c r="W805" s="9" t="s">
        <v>3854</v>
      </c>
      <c r="X805" s="9" t="s">
        <v>58</v>
      </c>
      <c r="Y805" s="9" t="s">
        <v>105</v>
      </c>
      <c r="Z805" s="9" t="s">
        <v>132</v>
      </c>
      <c r="AA805" s="9" t="s">
        <v>91</v>
      </c>
      <c r="AC805" s="9">
        <v>6.0</v>
      </c>
      <c r="AD805" s="9">
        <v>6.0</v>
      </c>
      <c r="AE805" s="9">
        <v>3.0</v>
      </c>
      <c r="AF805" s="9">
        <v>4500.0</v>
      </c>
      <c r="AG805" s="9" t="s">
        <v>42</v>
      </c>
    </row>
    <row r="806">
      <c r="A806" s="7">
        <v>44831.84357513889</v>
      </c>
      <c r="B806" s="9" t="s">
        <v>49</v>
      </c>
      <c r="C806" s="9">
        <v>24.0</v>
      </c>
      <c r="D806" s="9" t="s">
        <v>35</v>
      </c>
      <c r="E806" s="9" t="s">
        <v>36</v>
      </c>
      <c r="F806" s="9" t="s">
        <v>604</v>
      </c>
      <c r="G806" s="9" t="s">
        <v>604</v>
      </c>
      <c r="H806" s="9" t="s">
        <v>38</v>
      </c>
      <c r="I806" s="9" t="s">
        <v>3855</v>
      </c>
      <c r="J806" s="9" t="s">
        <v>3856</v>
      </c>
      <c r="K806" s="9" t="s">
        <v>39</v>
      </c>
      <c r="L806" s="9" t="s">
        <v>40</v>
      </c>
      <c r="M806" s="9" t="s">
        <v>40</v>
      </c>
      <c r="P806" s="9" t="s">
        <v>1278</v>
      </c>
      <c r="Q806" s="9" t="s">
        <v>42</v>
      </c>
      <c r="R806" s="9">
        <v>3100.0</v>
      </c>
      <c r="S806" s="9">
        <v>0.0</v>
      </c>
      <c r="T806" s="9">
        <v>0.0</v>
      </c>
      <c r="U806" s="9">
        <v>14.0</v>
      </c>
      <c r="V806" s="9" t="s">
        <v>1975</v>
      </c>
      <c r="W806" s="23" t="s">
        <v>3857</v>
      </c>
      <c r="X806" s="9" t="s">
        <v>3858</v>
      </c>
      <c r="Y806" s="9" t="s">
        <v>268</v>
      </c>
      <c r="Z806" s="9" t="s">
        <v>90</v>
      </c>
      <c r="AA806" s="9" t="s">
        <v>61</v>
      </c>
      <c r="AC806" s="9">
        <v>6.0</v>
      </c>
      <c r="AD806" s="9">
        <v>1.0</v>
      </c>
      <c r="AE806" s="9">
        <v>0.0</v>
      </c>
      <c r="AF806" s="9">
        <v>2800.0</v>
      </c>
      <c r="AG806" s="9" t="s">
        <v>3054</v>
      </c>
    </row>
    <row r="807">
      <c r="A807" s="7">
        <v>44833.974717199075</v>
      </c>
      <c r="B807" s="9" t="s">
        <v>49</v>
      </c>
      <c r="C807" s="9">
        <v>30.0</v>
      </c>
      <c r="D807" s="9" t="s">
        <v>35</v>
      </c>
      <c r="E807" s="9" t="s">
        <v>36</v>
      </c>
      <c r="F807" s="9" t="s">
        <v>50</v>
      </c>
      <c r="G807" s="9" t="s">
        <v>106</v>
      </c>
      <c r="H807" s="9" t="s">
        <v>38</v>
      </c>
      <c r="I807" s="9" t="s">
        <v>3859</v>
      </c>
      <c r="J807" s="9" t="s">
        <v>723</v>
      </c>
      <c r="K807" s="9" t="s">
        <v>40</v>
      </c>
      <c r="L807" s="9" t="s">
        <v>40</v>
      </c>
      <c r="M807" s="9" t="s">
        <v>40</v>
      </c>
      <c r="P807" s="9" t="s">
        <v>3860</v>
      </c>
      <c r="Q807" s="9" t="s">
        <v>42</v>
      </c>
      <c r="R807" s="9">
        <v>5500.0</v>
      </c>
      <c r="S807" s="9">
        <v>0.0</v>
      </c>
      <c r="T807" s="9">
        <v>0.0</v>
      </c>
      <c r="U807" s="9">
        <v>14.0</v>
      </c>
      <c r="V807" s="9" t="s">
        <v>3861</v>
      </c>
      <c r="W807" s="9" t="s">
        <v>740</v>
      </c>
      <c r="X807" s="9" t="s">
        <v>122</v>
      </c>
      <c r="Y807" s="9" t="s">
        <v>185</v>
      </c>
      <c r="Z807" s="9" t="s">
        <v>132</v>
      </c>
      <c r="AA807" s="9" t="s">
        <v>91</v>
      </c>
      <c r="AC807" s="9">
        <v>7.0</v>
      </c>
      <c r="AD807" s="9">
        <v>4.0</v>
      </c>
      <c r="AE807" s="9">
        <v>2.0</v>
      </c>
      <c r="AF807" s="9">
        <v>5500.0</v>
      </c>
      <c r="AG807" s="9" t="s">
        <v>42</v>
      </c>
    </row>
    <row r="808">
      <c r="A808" s="7">
        <v>44837.54618491898</v>
      </c>
      <c r="B808" s="9" t="s">
        <v>49</v>
      </c>
      <c r="C808" s="9">
        <v>33.0</v>
      </c>
      <c r="D808" s="9" t="s">
        <v>35</v>
      </c>
      <c r="E808" s="9" t="s">
        <v>36</v>
      </c>
      <c r="F808" s="9" t="s">
        <v>349</v>
      </c>
      <c r="G808" s="9" t="s">
        <v>349</v>
      </c>
      <c r="H808" s="9" t="s">
        <v>38</v>
      </c>
      <c r="I808" s="9" t="s">
        <v>2368</v>
      </c>
      <c r="J808" s="9" t="s">
        <v>3259</v>
      </c>
      <c r="K808" s="9" t="s">
        <v>39</v>
      </c>
      <c r="L808" s="9" t="s">
        <v>40</v>
      </c>
      <c r="M808" s="9" t="s">
        <v>40</v>
      </c>
      <c r="P808" s="9" t="s">
        <v>3862</v>
      </c>
      <c r="Q808" s="9" t="s">
        <v>42</v>
      </c>
      <c r="R808" s="9">
        <v>32000.0</v>
      </c>
      <c r="S808" s="9">
        <v>64000.0</v>
      </c>
      <c r="T808" s="9">
        <v>96000.0</v>
      </c>
      <c r="U808" s="9">
        <v>22.0</v>
      </c>
      <c r="V808" s="9" t="s">
        <v>3863</v>
      </c>
      <c r="W808" s="9" t="s">
        <v>3864</v>
      </c>
      <c r="X808" s="9" t="s">
        <v>58</v>
      </c>
      <c r="Y808" s="9" t="s">
        <v>59</v>
      </c>
      <c r="Z808" s="9" t="s">
        <v>60</v>
      </c>
      <c r="AA808" s="9" t="s">
        <v>91</v>
      </c>
      <c r="AC808" s="9">
        <v>8.0</v>
      </c>
      <c r="AD808" s="9">
        <v>9.0</v>
      </c>
      <c r="AE808" s="9">
        <v>6.0</v>
      </c>
      <c r="AF808" s="9">
        <v>3000.0</v>
      </c>
      <c r="AG808" s="9" t="s">
        <v>42</v>
      </c>
    </row>
    <row r="809">
      <c r="A809" s="7">
        <v>44838.40790283565</v>
      </c>
      <c r="B809" s="9" t="s">
        <v>73</v>
      </c>
      <c r="C809" s="9">
        <v>27.0</v>
      </c>
      <c r="D809" s="9" t="s">
        <v>35</v>
      </c>
      <c r="E809" s="9" t="s">
        <v>36</v>
      </c>
      <c r="F809" s="9" t="s">
        <v>349</v>
      </c>
      <c r="H809" s="9" t="s">
        <v>38</v>
      </c>
      <c r="K809" s="9" t="s">
        <v>39</v>
      </c>
      <c r="L809" s="9" t="s">
        <v>40</v>
      </c>
      <c r="M809" s="9" t="s">
        <v>40</v>
      </c>
      <c r="P809" s="9" t="s">
        <v>2486</v>
      </c>
      <c r="Q809" s="9" t="s">
        <v>42</v>
      </c>
      <c r="R809" s="9">
        <v>5000.0</v>
      </c>
      <c r="U809" s="9">
        <v>18.0</v>
      </c>
      <c r="V809" s="9" t="s">
        <v>3865</v>
      </c>
      <c r="W809" s="9" t="s">
        <v>3866</v>
      </c>
      <c r="X809" s="9" t="s">
        <v>58</v>
      </c>
      <c r="Y809" s="9" t="s">
        <v>3867</v>
      </c>
      <c r="Z809" s="9" t="s">
        <v>90</v>
      </c>
      <c r="AA809" s="9" t="s">
        <v>91</v>
      </c>
      <c r="AC809" s="9">
        <v>8.0</v>
      </c>
      <c r="AD809" s="9">
        <v>4.0</v>
      </c>
      <c r="AE809" s="9">
        <v>2.0</v>
      </c>
      <c r="AF809" s="9">
        <v>2100.0</v>
      </c>
      <c r="AG809" s="9" t="s">
        <v>42</v>
      </c>
    </row>
    <row r="810">
      <c r="A810" s="7">
        <v>44838.91571392361</v>
      </c>
      <c r="B810" s="9" t="s">
        <v>49</v>
      </c>
      <c r="C810" s="9">
        <v>37.0</v>
      </c>
      <c r="D810" s="9" t="s">
        <v>35</v>
      </c>
      <c r="E810" s="9" t="s">
        <v>36</v>
      </c>
      <c r="F810" s="9" t="s">
        <v>50</v>
      </c>
      <c r="G810" s="9" t="s">
        <v>1302</v>
      </c>
      <c r="H810" s="9" t="s">
        <v>38</v>
      </c>
      <c r="I810" s="9" t="s">
        <v>2368</v>
      </c>
      <c r="J810" s="9" t="s">
        <v>2490</v>
      </c>
      <c r="K810" s="9" t="s">
        <v>39</v>
      </c>
      <c r="L810" s="9" t="s">
        <v>40</v>
      </c>
      <c r="M810" s="9" t="s">
        <v>40</v>
      </c>
      <c r="P810" s="9" t="s">
        <v>589</v>
      </c>
      <c r="Q810" s="9" t="s">
        <v>42</v>
      </c>
      <c r="R810" s="9">
        <v>11500.0</v>
      </c>
      <c r="S810" s="9">
        <v>11500.0</v>
      </c>
      <c r="T810" s="9">
        <v>0.0</v>
      </c>
      <c r="U810" s="9">
        <v>20.0</v>
      </c>
      <c r="V810" s="9" t="s">
        <v>3868</v>
      </c>
      <c r="W810" s="9" t="s">
        <v>3869</v>
      </c>
      <c r="X810" s="9" t="s">
        <v>58</v>
      </c>
      <c r="Y810" s="9" t="s">
        <v>228</v>
      </c>
      <c r="Z810" s="9" t="s">
        <v>81</v>
      </c>
      <c r="AA810" s="9" t="s">
        <v>133</v>
      </c>
      <c r="AC810" s="9">
        <v>9.0</v>
      </c>
      <c r="AD810" s="9">
        <v>13.0</v>
      </c>
      <c r="AE810" s="9">
        <v>4.0</v>
      </c>
      <c r="AF810" s="9">
        <v>11000.0</v>
      </c>
      <c r="AG810" s="9">
        <v>2500.0</v>
      </c>
    </row>
    <row r="811">
      <c r="A811" s="7">
        <v>44845.57988996527</v>
      </c>
      <c r="B811" s="9" t="s">
        <v>49</v>
      </c>
      <c r="C811" s="9">
        <v>25.0</v>
      </c>
      <c r="D811" s="9" t="s">
        <v>35</v>
      </c>
      <c r="E811" s="9" t="s">
        <v>36</v>
      </c>
      <c r="F811" s="9" t="s">
        <v>50</v>
      </c>
      <c r="G811" s="9" t="s">
        <v>106</v>
      </c>
      <c r="H811" s="9" t="s">
        <v>38</v>
      </c>
      <c r="I811" s="9" t="s">
        <v>3870</v>
      </c>
      <c r="J811" s="9" t="s">
        <v>3871</v>
      </c>
      <c r="K811" s="9" t="s">
        <v>39</v>
      </c>
      <c r="L811" s="9" t="s">
        <v>40</v>
      </c>
      <c r="M811" s="9" t="s">
        <v>40</v>
      </c>
      <c r="P811" s="9" t="s">
        <v>2438</v>
      </c>
      <c r="Q811" s="9" t="s">
        <v>42</v>
      </c>
      <c r="R811" s="9">
        <v>3200.0</v>
      </c>
      <c r="S811" s="9">
        <v>0.0</v>
      </c>
      <c r="T811" s="9">
        <v>0.0</v>
      </c>
      <c r="U811" s="9">
        <v>21.0</v>
      </c>
      <c r="V811" s="9" t="s">
        <v>884</v>
      </c>
      <c r="W811" s="9" t="s">
        <v>87</v>
      </c>
      <c r="X811" s="9" t="s">
        <v>58</v>
      </c>
      <c r="Y811" s="9" t="s">
        <v>3872</v>
      </c>
      <c r="Z811" s="9" t="s">
        <v>47</v>
      </c>
      <c r="AA811" s="9" t="s">
        <v>61</v>
      </c>
      <c r="AC811" s="9">
        <v>8.0</v>
      </c>
      <c r="AD811" s="9">
        <v>1.0</v>
      </c>
      <c r="AE811" s="9">
        <v>1.0</v>
      </c>
      <c r="AF811" s="9">
        <v>3000.0</v>
      </c>
      <c r="AG811" s="9" t="s">
        <v>42</v>
      </c>
    </row>
    <row r="812">
      <c r="A812" s="7">
        <v>44854.0697650463</v>
      </c>
      <c r="B812" s="9" t="s">
        <v>49</v>
      </c>
      <c r="C812" s="9">
        <v>22.0</v>
      </c>
      <c r="D812" s="9" t="s">
        <v>35</v>
      </c>
      <c r="E812" s="9" t="s">
        <v>36</v>
      </c>
      <c r="F812" s="9" t="s">
        <v>69</v>
      </c>
      <c r="G812" s="9" t="s">
        <v>2430</v>
      </c>
      <c r="H812" s="9" t="s">
        <v>38</v>
      </c>
      <c r="I812" s="9" t="s">
        <v>3873</v>
      </c>
      <c r="J812" s="9" t="s">
        <v>2389</v>
      </c>
      <c r="K812" s="9" t="s">
        <v>39</v>
      </c>
      <c r="L812" s="9" t="s">
        <v>40</v>
      </c>
      <c r="M812" s="9" t="s">
        <v>40</v>
      </c>
      <c r="P812" s="9" t="s">
        <v>3874</v>
      </c>
      <c r="Q812" s="9" t="s">
        <v>42</v>
      </c>
      <c r="R812" s="9">
        <v>3500.0</v>
      </c>
      <c r="S812" s="9">
        <v>3500.0</v>
      </c>
      <c r="T812" s="9">
        <v>0.0</v>
      </c>
      <c r="U812" s="9">
        <v>25.0</v>
      </c>
      <c r="V812" s="9" t="s">
        <v>1051</v>
      </c>
      <c r="W812" s="9" t="s">
        <v>498</v>
      </c>
      <c r="X812" s="9" t="s">
        <v>3623</v>
      </c>
      <c r="Y812" s="9" t="s">
        <v>3875</v>
      </c>
      <c r="Z812" s="9" t="s">
        <v>71</v>
      </c>
      <c r="AA812" s="9" t="s">
        <v>91</v>
      </c>
      <c r="AC812" s="9">
        <v>7.0</v>
      </c>
      <c r="AD812" s="9">
        <v>0.3</v>
      </c>
      <c r="AE812" s="9">
        <v>0.0</v>
      </c>
      <c r="AF812" s="9">
        <v>3500.0</v>
      </c>
      <c r="AG812" s="9" t="s">
        <v>42</v>
      </c>
    </row>
    <row r="813">
      <c r="A813" s="7">
        <v>44855.73840501157</v>
      </c>
      <c r="B813" s="9" t="s">
        <v>49</v>
      </c>
      <c r="C813" s="9">
        <v>25.0</v>
      </c>
      <c r="D813" s="9" t="s">
        <v>35</v>
      </c>
      <c r="E813" s="9" t="s">
        <v>36</v>
      </c>
      <c r="F813" s="9" t="s">
        <v>124</v>
      </c>
      <c r="G813" s="9" t="s">
        <v>3876</v>
      </c>
      <c r="H813" s="9" t="s">
        <v>38</v>
      </c>
      <c r="I813" s="9" t="s">
        <v>3877</v>
      </c>
      <c r="J813" s="9" t="s">
        <v>161</v>
      </c>
      <c r="K813" s="9" t="s">
        <v>39</v>
      </c>
      <c r="L813" s="9" t="s">
        <v>40</v>
      </c>
      <c r="M813" s="9" t="s">
        <v>40</v>
      </c>
      <c r="P813" s="9" t="s">
        <v>746</v>
      </c>
      <c r="Q813" s="9" t="s">
        <v>42</v>
      </c>
      <c r="R813" s="9">
        <v>4550.0</v>
      </c>
      <c r="S813" s="9">
        <v>8000.0</v>
      </c>
      <c r="T813" s="9">
        <v>0.0</v>
      </c>
      <c r="U813" s="9">
        <v>20.0</v>
      </c>
      <c r="V813" s="9" t="s">
        <v>3878</v>
      </c>
      <c r="W813" s="9" t="s">
        <v>3879</v>
      </c>
      <c r="X813" s="9" t="s">
        <v>124</v>
      </c>
      <c r="Y813" s="9" t="s">
        <v>59</v>
      </c>
      <c r="Z813" s="9" t="s">
        <v>81</v>
      </c>
      <c r="AA813" s="9" t="s">
        <v>61</v>
      </c>
      <c r="AC813" s="9">
        <v>6.0</v>
      </c>
      <c r="AD813" s="9">
        <v>0.5</v>
      </c>
      <c r="AE813" s="9">
        <v>1.0</v>
      </c>
      <c r="AF813" s="9">
        <v>3700.0</v>
      </c>
      <c r="AG813" s="9" t="s">
        <v>42</v>
      </c>
    </row>
    <row r="814">
      <c r="A814" s="7">
        <v>44859.87090688657</v>
      </c>
      <c r="B814" s="9" t="s">
        <v>73</v>
      </c>
      <c r="C814" s="9">
        <v>25.0</v>
      </c>
      <c r="D814" s="9" t="s">
        <v>3880</v>
      </c>
      <c r="E814" s="9" t="s">
        <v>36</v>
      </c>
      <c r="F814" s="9" t="s">
        <v>172</v>
      </c>
      <c r="G814" s="9" t="s">
        <v>3881</v>
      </c>
      <c r="H814" s="9" t="s">
        <v>38</v>
      </c>
      <c r="I814" s="9" t="s">
        <v>72</v>
      </c>
      <c r="J814" s="9" t="s">
        <v>72</v>
      </c>
      <c r="K814" s="9" t="s">
        <v>39</v>
      </c>
      <c r="L814" s="9" t="s">
        <v>40</v>
      </c>
      <c r="M814" s="9" t="s">
        <v>40</v>
      </c>
      <c r="P814" s="9" t="s">
        <v>146</v>
      </c>
      <c r="Q814" s="9" t="s">
        <v>42</v>
      </c>
      <c r="R814" s="9">
        <v>3000.0</v>
      </c>
      <c r="S814" s="9">
        <v>0.0</v>
      </c>
      <c r="T814" s="9">
        <v>0.0</v>
      </c>
      <c r="U814" s="9">
        <v>12.0</v>
      </c>
      <c r="V814" s="9" t="s">
        <v>463</v>
      </c>
      <c r="W814" s="9" t="s">
        <v>72</v>
      </c>
      <c r="X814" s="9" t="s">
        <v>178</v>
      </c>
      <c r="Y814" s="9" t="s">
        <v>185</v>
      </c>
      <c r="Z814" s="9" t="s">
        <v>132</v>
      </c>
      <c r="AA814" s="9" t="s">
        <v>91</v>
      </c>
      <c r="AB814" s="9" t="s">
        <v>3882</v>
      </c>
      <c r="AC814" s="9">
        <v>2.0</v>
      </c>
      <c r="AD814" s="9">
        <v>2.0</v>
      </c>
      <c r="AE814" s="9">
        <v>2.0</v>
      </c>
      <c r="AF814" s="9">
        <v>2000.0</v>
      </c>
      <c r="AG814" s="9" t="s">
        <v>3883</v>
      </c>
    </row>
    <row r="815">
      <c r="A815" s="7">
        <v>44866.046406724534</v>
      </c>
      <c r="B815" s="9" t="s">
        <v>49</v>
      </c>
      <c r="C815" s="9">
        <v>29.0</v>
      </c>
      <c r="D815" s="9" t="s">
        <v>35</v>
      </c>
      <c r="E815" s="9" t="s">
        <v>36</v>
      </c>
      <c r="F815" s="9" t="s">
        <v>50</v>
      </c>
      <c r="G815" s="9" t="s">
        <v>1704</v>
      </c>
      <c r="H815" s="9" t="s">
        <v>38</v>
      </c>
      <c r="I815" s="9" t="s">
        <v>2592</v>
      </c>
      <c r="J815" s="9" t="s">
        <v>944</v>
      </c>
      <c r="K815" s="9" t="s">
        <v>39</v>
      </c>
      <c r="L815" s="9" t="s">
        <v>40</v>
      </c>
      <c r="M815" s="9" t="s">
        <v>40</v>
      </c>
      <c r="P815" s="9" t="s">
        <v>128</v>
      </c>
      <c r="Q815" s="9" t="s">
        <v>42</v>
      </c>
      <c r="R815" s="9">
        <v>4300.0</v>
      </c>
      <c r="S815" s="9">
        <v>0.0</v>
      </c>
      <c r="T815" s="9">
        <v>0.0</v>
      </c>
      <c r="U815" s="9">
        <v>14.0</v>
      </c>
      <c r="V815" s="9" t="s">
        <v>3884</v>
      </c>
      <c r="W815" s="9" t="s">
        <v>3885</v>
      </c>
      <c r="X815" s="9" t="s">
        <v>58</v>
      </c>
      <c r="Y815" s="9" t="s">
        <v>59</v>
      </c>
      <c r="Z815" s="9" t="s">
        <v>132</v>
      </c>
      <c r="AA815" s="9" t="s">
        <v>61</v>
      </c>
      <c r="AC815" s="9">
        <v>8.0</v>
      </c>
      <c r="AD815" s="9">
        <v>3.0</v>
      </c>
      <c r="AE815" s="9">
        <v>2.0</v>
      </c>
      <c r="AF815" s="9">
        <v>4300.0</v>
      </c>
      <c r="AG815" s="9" t="s">
        <v>42</v>
      </c>
    </row>
    <row r="816">
      <c r="A816" s="7">
        <v>44873.37570193287</v>
      </c>
      <c r="B816" s="9" t="s">
        <v>49</v>
      </c>
      <c r="C816" s="9">
        <v>24.0</v>
      </c>
      <c r="D816" s="9" t="s">
        <v>35</v>
      </c>
      <c r="E816" s="9" t="s">
        <v>36</v>
      </c>
      <c r="G816" s="9" t="s">
        <v>186</v>
      </c>
      <c r="H816" s="9" t="s">
        <v>93</v>
      </c>
      <c r="I816" s="9" t="s">
        <v>3886</v>
      </c>
      <c r="J816" s="9" t="s">
        <v>3887</v>
      </c>
      <c r="K816" s="9" t="s">
        <v>39</v>
      </c>
      <c r="L816" s="9" t="s">
        <v>40</v>
      </c>
      <c r="M816" s="9" t="s">
        <v>40</v>
      </c>
      <c r="P816" s="9" t="s">
        <v>3888</v>
      </c>
      <c r="Q816" s="9" t="s">
        <v>2934</v>
      </c>
      <c r="R816" s="9">
        <v>2300.0</v>
      </c>
      <c r="S816" s="9">
        <v>0.0</v>
      </c>
      <c r="T816" s="9">
        <v>0.0</v>
      </c>
      <c r="U816" s="9">
        <v>10.0</v>
      </c>
      <c r="V816" s="9" t="s">
        <v>223</v>
      </c>
      <c r="W816" s="9" t="s">
        <v>103</v>
      </c>
      <c r="X816" s="9" t="s">
        <v>99</v>
      </c>
      <c r="Y816" s="9" t="s">
        <v>651</v>
      </c>
      <c r="Z816" s="9" t="s">
        <v>71</v>
      </c>
      <c r="AA816" s="9" t="s">
        <v>61</v>
      </c>
      <c r="AC816" s="9">
        <v>4.0</v>
      </c>
      <c r="AD816" s="9">
        <v>1.0</v>
      </c>
      <c r="AE816" s="9">
        <v>2.0</v>
      </c>
      <c r="AF816" s="9">
        <v>2000.0</v>
      </c>
      <c r="AG816" s="9" t="s">
        <v>2934</v>
      </c>
    </row>
    <row r="817">
      <c r="A817" s="7">
        <v>44875.28608828704</v>
      </c>
      <c r="B817" s="9" t="s">
        <v>49</v>
      </c>
      <c r="C817" s="9">
        <v>27.0</v>
      </c>
      <c r="D817" s="9" t="s">
        <v>35</v>
      </c>
      <c r="E817" s="9" t="s">
        <v>36</v>
      </c>
      <c r="F817" s="9" t="s">
        <v>50</v>
      </c>
      <c r="G817" s="9" t="s">
        <v>82</v>
      </c>
      <c r="H817" s="9" t="s">
        <v>38</v>
      </c>
      <c r="I817" s="9" t="s">
        <v>3889</v>
      </c>
      <c r="J817" s="9" t="s">
        <v>134</v>
      </c>
      <c r="K817" s="9" t="s">
        <v>39</v>
      </c>
      <c r="L817" s="9" t="s">
        <v>40</v>
      </c>
      <c r="M817" s="9" t="s">
        <v>40</v>
      </c>
      <c r="P817" s="9" t="s">
        <v>3890</v>
      </c>
      <c r="Q817" s="9" t="s">
        <v>42</v>
      </c>
      <c r="R817" s="9">
        <v>3975.0</v>
      </c>
      <c r="U817" s="9">
        <v>16.0</v>
      </c>
      <c r="V817" s="9" t="s">
        <v>3891</v>
      </c>
      <c r="W817" s="9" t="s">
        <v>3892</v>
      </c>
      <c r="X817" s="9" t="s">
        <v>749</v>
      </c>
      <c r="Y817" s="9" t="s">
        <v>3025</v>
      </c>
      <c r="Z817" s="9" t="s">
        <v>81</v>
      </c>
      <c r="AA817" s="9" t="s">
        <v>61</v>
      </c>
      <c r="AC817" s="9">
        <v>5.0</v>
      </c>
      <c r="AD817" s="9">
        <v>3.0</v>
      </c>
      <c r="AE817" s="9" t="s">
        <v>3890</v>
      </c>
      <c r="AF817" s="9">
        <v>3080.0</v>
      </c>
      <c r="AG817" s="9" t="s">
        <v>42</v>
      </c>
    </row>
    <row r="818">
      <c r="A818" s="7">
        <v>44880.66197858796</v>
      </c>
      <c r="B818" s="9" t="s">
        <v>49</v>
      </c>
      <c r="C818" s="9">
        <v>23.0</v>
      </c>
      <c r="D818" s="9" t="s">
        <v>35</v>
      </c>
      <c r="E818" s="9" t="s">
        <v>36</v>
      </c>
      <c r="F818" s="9" t="s">
        <v>50</v>
      </c>
      <c r="G818" s="9" t="s">
        <v>106</v>
      </c>
      <c r="H818" s="9" t="s">
        <v>38</v>
      </c>
      <c r="I818" s="9" t="s">
        <v>3893</v>
      </c>
      <c r="J818" s="9" t="s">
        <v>2421</v>
      </c>
      <c r="K818" s="9" t="s">
        <v>39</v>
      </c>
      <c r="L818" s="9" t="s">
        <v>40</v>
      </c>
      <c r="M818" s="9" t="s">
        <v>40</v>
      </c>
      <c r="P818" s="9" t="s">
        <v>3894</v>
      </c>
      <c r="Q818" s="9" t="s">
        <v>42</v>
      </c>
      <c r="R818" s="9">
        <v>6000.0</v>
      </c>
      <c r="S818" s="9">
        <v>0.0</v>
      </c>
      <c r="T818" s="9">
        <v>0.0</v>
      </c>
      <c r="U818" s="9">
        <v>14.0</v>
      </c>
      <c r="V818" s="9" t="s">
        <v>393</v>
      </c>
      <c r="W818" s="9" t="s">
        <v>3895</v>
      </c>
      <c r="X818" s="9" t="s">
        <v>88</v>
      </c>
      <c r="Y818" s="9" t="s">
        <v>228</v>
      </c>
      <c r="Z818" s="9" t="s">
        <v>71</v>
      </c>
      <c r="AA818" s="9" t="s">
        <v>61</v>
      </c>
      <c r="AC818" s="9">
        <v>6.0</v>
      </c>
      <c r="AD818" s="9" t="s">
        <v>3896</v>
      </c>
      <c r="AE818" s="9">
        <v>0.0</v>
      </c>
      <c r="AF818" s="9">
        <v>3000.0</v>
      </c>
      <c r="AG818" s="9" t="s">
        <v>42</v>
      </c>
    </row>
    <row r="819">
      <c r="A819" s="7">
        <v>44885.3144957176</v>
      </c>
      <c r="B819" s="9" t="s">
        <v>49</v>
      </c>
      <c r="C819" s="9">
        <v>23.0</v>
      </c>
      <c r="D819" s="9" t="s">
        <v>35</v>
      </c>
      <c r="E819" s="9" t="s">
        <v>36</v>
      </c>
      <c r="F819" s="9" t="s">
        <v>50</v>
      </c>
      <c r="G819" s="9" t="s">
        <v>82</v>
      </c>
      <c r="H819" s="9" t="s">
        <v>38</v>
      </c>
      <c r="I819" s="9" t="s">
        <v>2368</v>
      </c>
      <c r="J819" s="9" t="s">
        <v>2627</v>
      </c>
      <c r="K819" s="9" t="s">
        <v>39</v>
      </c>
      <c r="L819" s="9" t="s">
        <v>40</v>
      </c>
      <c r="M819" s="9" t="s">
        <v>39</v>
      </c>
      <c r="O819" s="9" t="s">
        <v>3897</v>
      </c>
      <c r="P819" s="9" t="s">
        <v>477</v>
      </c>
      <c r="Q819" s="9" t="s">
        <v>42</v>
      </c>
      <c r="R819" s="9">
        <v>4400.0</v>
      </c>
      <c r="S819" s="9">
        <v>0.0</v>
      </c>
      <c r="T819" s="9">
        <v>0.0</v>
      </c>
      <c r="U819" s="9">
        <v>15.0</v>
      </c>
      <c r="V819" s="9" t="s">
        <v>3898</v>
      </c>
      <c r="W819" s="9" t="s">
        <v>3899</v>
      </c>
      <c r="X819" s="9" t="s">
        <v>3900</v>
      </c>
      <c r="Y819" s="9" t="s">
        <v>3901</v>
      </c>
      <c r="Z819" s="9" t="s">
        <v>132</v>
      </c>
      <c r="AA819" s="9" t="s">
        <v>61</v>
      </c>
      <c r="AC819" s="9">
        <v>8.0</v>
      </c>
      <c r="AD819" s="9">
        <v>1.0</v>
      </c>
      <c r="AE819" s="9">
        <v>1.0</v>
      </c>
      <c r="AF819" s="9">
        <v>2800.0</v>
      </c>
      <c r="AG819" s="9" t="s">
        <v>42</v>
      </c>
    </row>
    <row r="820">
      <c r="A820" s="7">
        <v>44887.86586329861</v>
      </c>
      <c r="B820" s="9" t="s">
        <v>49</v>
      </c>
      <c r="C820" s="9">
        <v>22.0</v>
      </c>
      <c r="D820" s="9" t="s">
        <v>35</v>
      </c>
      <c r="E820" s="9" t="s">
        <v>36</v>
      </c>
      <c r="F820" s="9" t="s">
        <v>50</v>
      </c>
      <c r="G820" s="9" t="s">
        <v>106</v>
      </c>
      <c r="H820" s="9" t="s">
        <v>38</v>
      </c>
      <c r="I820" s="9" t="s">
        <v>2368</v>
      </c>
      <c r="J820" s="9" t="s">
        <v>534</v>
      </c>
      <c r="K820" s="9" t="s">
        <v>39</v>
      </c>
      <c r="L820" s="9" t="s">
        <v>40</v>
      </c>
      <c r="M820" s="9" t="s">
        <v>39</v>
      </c>
      <c r="O820" s="9" t="s">
        <v>3902</v>
      </c>
      <c r="P820" s="9" t="s">
        <v>2792</v>
      </c>
      <c r="Q820" s="9" t="s">
        <v>42</v>
      </c>
      <c r="R820" s="9">
        <v>1500.0</v>
      </c>
      <c r="S820" s="9">
        <v>0.0</v>
      </c>
      <c r="T820" s="9">
        <v>0.0</v>
      </c>
      <c r="U820" s="9">
        <v>20.0</v>
      </c>
      <c r="V820" s="9" t="s">
        <v>369</v>
      </c>
      <c r="W820" s="9" t="s">
        <v>3903</v>
      </c>
      <c r="X820" s="9" t="s">
        <v>58</v>
      </c>
      <c r="Y820" s="9" t="s">
        <v>155</v>
      </c>
      <c r="Z820" s="9" t="s">
        <v>132</v>
      </c>
      <c r="AA820" s="9" t="s">
        <v>91</v>
      </c>
      <c r="AC820" s="9">
        <v>7.0</v>
      </c>
      <c r="AD820" s="9">
        <v>1.0</v>
      </c>
      <c r="AE820" s="9">
        <v>0.0</v>
      </c>
      <c r="AF820" s="9">
        <v>1500.0</v>
      </c>
      <c r="AG820" s="9" t="s">
        <v>42</v>
      </c>
    </row>
    <row r="821">
      <c r="A821" s="7">
        <v>44890.93316361112</v>
      </c>
      <c r="B821" s="9" t="s">
        <v>49</v>
      </c>
      <c r="C821" s="9">
        <v>28.0</v>
      </c>
      <c r="D821" s="9" t="s">
        <v>35</v>
      </c>
      <c r="E821" s="9" t="s">
        <v>36</v>
      </c>
      <c r="F821" s="9" t="s">
        <v>124</v>
      </c>
      <c r="G821" s="9" t="s">
        <v>124</v>
      </c>
      <c r="H821" s="9" t="s">
        <v>38</v>
      </c>
      <c r="I821" s="9" t="s">
        <v>2467</v>
      </c>
      <c r="J821" s="9" t="s">
        <v>2627</v>
      </c>
      <c r="K821" s="9" t="s">
        <v>39</v>
      </c>
      <c r="L821" s="9" t="s">
        <v>40</v>
      </c>
      <c r="M821" s="9" t="s">
        <v>40</v>
      </c>
      <c r="P821" s="9" t="s">
        <v>128</v>
      </c>
      <c r="Q821" s="9" t="s">
        <v>42</v>
      </c>
      <c r="R821" s="9">
        <v>5000.0</v>
      </c>
      <c r="S821" s="9" t="s">
        <v>3904</v>
      </c>
      <c r="U821" s="9">
        <v>15.0</v>
      </c>
      <c r="V821" s="9" t="s">
        <v>3905</v>
      </c>
      <c r="W821" s="9" t="s">
        <v>224</v>
      </c>
      <c r="X821" s="9" t="s">
        <v>122</v>
      </c>
      <c r="Y821" s="9" t="s">
        <v>59</v>
      </c>
      <c r="Z821" s="9" t="s">
        <v>132</v>
      </c>
      <c r="AA821" s="9" t="s">
        <v>61</v>
      </c>
      <c r="AC821" s="9">
        <v>6.0</v>
      </c>
      <c r="AD821" s="9">
        <v>5.0</v>
      </c>
      <c r="AE821" s="9">
        <v>1.0</v>
      </c>
      <c r="AF821" s="9">
        <v>3000.0</v>
      </c>
      <c r="AG821" s="9" t="s">
        <v>42</v>
      </c>
    </row>
    <row r="822">
      <c r="A822" s="7">
        <v>44896.6253078588</v>
      </c>
      <c r="B822" s="9" t="s">
        <v>49</v>
      </c>
      <c r="C822" s="9">
        <v>29.0</v>
      </c>
      <c r="D822" s="9" t="s">
        <v>35</v>
      </c>
      <c r="E822" s="9" t="s">
        <v>36</v>
      </c>
      <c r="F822" s="9" t="s">
        <v>2544</v>
      </c>
      <c r="G822" s="9" t="s">
        <v>2544</v>
      </c>
      <c r="H822" s="9" t="s">
        <v>38</v>
      </c>
      <c r="I822" s="9" t="s">
        <v>2758</v>
      </c>
      <c r="J822" s="9" t="s">
        <v>3906</v>
      </c>
      <c r="K822" s="9" t="s">
        <v>39</v>
      </c>
      <c r="L822" s="9" t="s">
        <v>40</v>
      </c>
      <c r="M822" s="9" t="s">
        <v>39</v>
      </c>
      <c r="O822" s="9" t="s">
        <v>3907</v>
      </c>
      <c r="P822" s="9" t="s">
        <v>3908</v>
      </c>
      <c r="Q822" s="9" t="s">
        <v>42</v>
      </c>
      <c r="R822" s="9">
        <v>13050.0</v>
      </c>
      <c r="S822" s="9">
        <v>0.0</v>
      </c>
      <c r="U822" s="9">
        <v>15.0</v>
      </c>
      <c r="V822" s="9" t="s">
        <v>3909</v>
      </c>
      <c r="W822" s="9" t="s">
        <v>3910</v>
      </c>
      <c r="X822" s="9" t="s">
        <v>3301</v>
      </c>
      <c r="Y822" s="9" t="s">
        <v>89</v>
      </c>
      <c r="Z822" s="9" t="s">
        <v>90</v>
      </c>
      <c r="AA822" s="9" t="s">
        <v>61</v>
      </c>
      <c r="AC822" s="9">
        <v>5.0</v>
      </c>
      <c r="AD822" s="9">
        <v>6.0</v>
      </c>
      <c r="AE822" s="9">
        <v>5.0</v>
      </c>
      <c r="AF822" s="9">
        <v>2800.0</v>
      </c>
      <c r="AG822" s="9" t="s">
        <v>42</v>
      </c>
    </row>
    <row r="823">
      <c r="A823" s="7">
        <v>44896.95116243056</v>
      </c>
      <c r="B823" s="9" t="s">
        <v>49</v>
      </c>
      <c r="C823" s="9">
        <v>30.0</v>
      </c>
      <c r="D823" s="9" t="s">
        <v>35</v>
      </c>
      <c r="E823" s="9" t="s">
        <v>36</v>
      </c>
      <c r="H823" s="9" t="s">
        <v>38</v>
      </c>
      <c r="I823" s="9" t="s">
        <v>3911</v>
      </c>
      <c r="J823" s="9" t="s">
        <v>3912</v>
      </c>
      <c r="K823" s="9" t="s">
        <v>40</v>
      </c>
      <c r="L823" s="9" t="s">
        <v>39</v>
      </c>
      <c r="M823" s="9" t="s">
        <v>40</v>
      </c>
      <c r="P823" s="9" t="s">
        <v>3913</v>
      </c>
      <c r="Q823" s="9" t="s">
        <v>42</v>
      </c>
      <c r="R823" s="9">
        <v>5500.0</v>
      </c>
      <c r="S823" s="9">
        <v>0.0</v>
      </c>
      <c r="T823" s="9">
        <v>0.0</v>
      </c>
      <c r="U823" s="9">
        <v>20.0</v>
      </c>
      <c r="V823" s="9" t="s">
        <v>720</v>
      </c>
      <c r="W823" s="9" t="s">
        <v>507</v>
      </c>
      <c r="X823" s="9" t="s">
        <v>58</v>
      </c>
      <c r="Y823" s="9" t="s">
        <v>651</v>
      </c>
      <c r="Z823" s="9" t="s">
        <v>71</v>
      </c>
      <c r="AA823" s="9" t="s">
        <v>61</v>
      </c>
      <c r="AC823" s="9">
        <v>3.0</v>
      </c>
      <c r="AD823" s="9">
        <v>5.0</v>
      </c>
      <c r="AE823" s="9">
        <v>1.0</v>
      </c>
      <c r="AF823" s="9">
        <v>3000.0</v>
      </c>
      <c r="AG823" s="9" t="s">
        <v>42</v>
      </c>
    </row>
    <row r="824">
      <c r="A824" s="7">
        <v>44902.363766678245</v>
      </c>
      <c r="B824" s="9" t="s">
        <v>49</v>
      </c>
      <c r="C824" s="9">
        <v>28.0</v>
      </c>
      <c r="D824" s="9" t="s">
        <v>35</v>
      </c>
      <c r="E824" s="9" t="s">
        <v>36</v>
      </c>
      <c r="F824" s="9" t="s">
        <v>3914</v>
      </c>
      <c r="G824" s="9" t="s">
        <v>2544</v>
      </c>
      <c r="H824" s="9" t="s">
        <v>38</v>
      </c>
      <c r="I824" s="9" t="s">
        <v>3915</v>
      </c>
      <c r="J824" s="9" t="s">
        <v>2563</v>
      </c>
      <c r="K824" s="9" t="s">
        <v>39</v>
      </c>
      <c r="L824" s="9" t="s">
        <v>40</v>
      </c>
      <c r="M824" s="9" t="s">
        <v>40</v>
      </c>
      <c r="P824" s="9" t="s">
        <v>3916</v>
      </c>
      <c r="Q824" s="9" t="s">
        <v>42</v>
      </c>
      <c r="R824" s="9">
        <v>7000.0</v>
      </c>
      <c r="S824" s="9">
        <v>0.0</v>
      </c>
      <c r="T824" s="9">
        <v>0.0</v>
      </c>
      <c r="U824" s="9">
        <v>18.0</v>
      </c>
      <c r="V824" s="9" t="s">
        <v>320</v>
      </c>
      <c r="W824" s="9" t="s">
        <v>3917</v>
      </c>
      <c r="X824" s="9" t="s">
        <v>3918</v>
      </c>
      <c r="Y824" s="9" t="s">
        <v>59</v>
      </c>
      <c r="Z824" s="9" t="s">
        <v>47</v>
      </c>
      <c r="AA824" s="9" t="s">
        <v>61</v>
      </c>
      <c r="AC824" s="9">
        <v>6.0</v>
      </c>
      <c r="AD824" s="9">
        <v>4.0</v>
      </c>
      <c r="AE824" s="9">
        <v>2.0</v>
      </c>
      <c r="AF824" s="9">
        <v>3000.0</v>
      </c>
      <c r="AG824" s="9" t="s">
        <v>42</v>
      </c>
    </row>
    <row r="825">
      <c r="A825" s="7">
        <v>44903.00314980324</v>
      </c>
      <c r="B825" s="9" t="s">
        <v>49</v>
      </c>
      <c r="C825" s="9">
        <v>35.0</v>
      </c>
      <c r="D825" s="9" t="s">
        <v>35</v>
      </c>
      <c r="E825" s="9" t="s">
        <v>36</v>
      </c>
      <c r="F825" s="9" t="s">
        <v>2417</v>
      </c>
      <c r="G825" s="9" t="s">
        <v>2417</v>
      </c>
      <c r="H825" s="9" t="s">
        <v>38</v>
      </c>
      <c r="I825" s="9" t="s">
        <v>3919</v>
      </c>
      <c r="J825" s="9" t="s">
        <v>2566</v>
      </c>
      <c r="K825" s="9" t="s">
        <v>39</v>
      </c>
      <c r="L825" s="9" t="s">
        <v>39</v>
      </c>
      <c r="M825" s="9" t="s">
        <v>40</v>
      </c>
      <c r="N825" s="9" t="s">
        <v>3920</v>
      </c>
      <c r="O825" s="9" t="s">
        <v>3921</v>
      </c>
      <c r="P825" s="9" t="s">
        <v>3922</v>
      </c>
      <c r="Q825" s="9" t="s">
        <v>42</v>
      </c>
      <c r="R825" s="9">
        <v>9100.0</v>
      </c>
      <c r="S825" s="9">
        <v>1.0</v>
      </c>
      <c r="T825" s="9" t="s">
        <v>113</v>
      </c>
      <c r="U825" s="9">
        <v>14.0</v>
      </c>
      <c r="V825" s="9" t="s">
        <v>3923</v>
      </c>
      <c r="W825" s="9" t="s">
        <v>3924</v>
      </c>
      <c r="X825" s="9" t="s">
        <v>88</v>
      </c>
      <c r="Y825" s="9" t="s">
        <v>155</v>
      </c>
      <c r="Z825" s="9" t="s">
        <v>90</v>
      </c>
      <c r="AA825" s="9" t="s">
        <v>61</v>
      </c>
      <c r="AC825" s="9">
        <v>3.0</v>
      </c>
      <c r="AD825" s="9">
        <v>10.0</v>
      </c>
      <c r="AE825" s="9">
        <v>4.0</v>
      </c>
      <c r="AF825" s="9">
        <v>2200.0</v>
      </c>
      <c r="AG825" s="9" t="s">
        <v>42</v>
      </c>
    </row>
    <row r="826">
      <c r="A826" s="7">
        <v>44907.58078074074</v>
      </c>
      <c r="B826" s="9" t="s">
        <v>49</v>
      </c>
      <c r="C826" s="9">
        <v>46.0</v>
      </c>
      <c r="D826" s="9" t="s">
        <v>35</v>
      </c>
      <c r="E826" s="9" t="s">
        <v>36</v>
      </c>
      <c r="F826" s="9" t="s">
        <v>3925</v>
      </c>
      <c r="G826" s="9" t="s">
        <v>106</v>
      </c>
      <c r="H826" s="9" t="s">
        <v>38</v>
      </c>
      <c r="I826" s="9" t="s">
        <v>3926</v>
      </c>
      <c r="J826" s="9" t="s">
        <v>3927</v>
      </c>
      <c r="K826" s="9" t="s">
        <v>40</v>
      </c>
      <c r="L826" s="9" t="s">
        <v>40</v>
      </c>
      <c r="M826" s="9" t="s">
        <v>40</v>
      </c>
      <c r="P826" s="9" t="s">
        <v>3087</v>
      </c>
      <c r="Q826" s="9" t="s">
        <v>42</v>
      </c>
      <c r="R826" s="9">
        <v>11000.0</v>
      </c>
      <c r="S826" s="9">
        <v>0.0</v>
      </c>
      <c r="T826" s="9">
        <v>0.0</v>
      </c>
      <c r="U826" s="9">
        <v>18.0</v>
      </c>
      <c r="V826" s="9" t="s">
        <v>3928</v>
      </c>
      <c r="W826" s="9" t="s">
        <v>224</v>
      </c>
      <c r="X826" s="9" t="s">
        <v>58</v>
      </c>
      <c r="Y826" s="9" t="s">
        <v>268</v>
      </c>
      <c r="Z826" s="9" t="s">
        <v>71</v>
      </c>
      <c r="AA826" s="9" t="s">
        <v>61</v>
      </c>
      <c r="AC826" s="9">
        <v>8.0</v>
      </c>
      <c r="AD826" s="9">
        <v>20.0</v>
      </c>
      <c r="AE826" s="9">
        <v>3.0</v>
      </c>
      <c r="AF826" s="9">
        <v>11000.0</v>
      </c>
      <c r="AG826" s="9" t="s">
        <v>42</v>
      </c>
    </row>
    <row r="827">
      <c r="A827" s="7">
        <v>44907.90648196759</v>
      </c>
      <c r="B827" s="9" t="s">
        <v>49</v>
      </c>
      <c r="C827" s="9">
        <v>29.0</v>
      </c>
      <c r="D827" s="9" t="s">
        <v>35</v>
      </c>
      <c r="E827" s="9" t="s">
        <v>36</v>
      </c>
      <c r="F827" s="9" t="s">
        <v>50</v>
      </c>
      <c r="G827" s="9" t="s">
        <v>106</v>
      </c>
      <c r="H827" s="9" t="s">
        <v>38</v>
      </c>
      <c r="I827" s="9" t="s">
        <v>2368</v>
      </c>
      <c r="J827" s="9" t="s">
        <v>1530</v>
      </c>
      <c r="K827" s="9" t="s">
        <v>39</v>
      </c>
      <c r="L827" s="9" t="s">
        <v>40</v>
      </c>
      <c r="M827" s="9" t="s">
        <v>40</v>
      </c>
      <c r="P827" s="9" t="s">
        <v>466</v>
      </c>
      <c r="Q827" s="9" t="s">
        <v>42</v>
      </c>
      <c r="R827" s="9">
        <v>8000.0</v>
      </c>
      <c r="S827" s="9">
        <v>0.0</v>
      </c>
      <c r="T827" s="9">
        <v>0.0</v>
      </c>
      <c r="U827" s="9">
        <v>14.0</v>
      </c>
      <c r="V827" s="9" t="s">
        <v>3929</v>
      </c>
      <c r="W827" s="9" t="s">
        <v>3930</v>
      </c>
      <c r="X827" s="9" t="s">
        <v>58</v>
      </c>
      <c r="Y827" s="9" t="s">
        <v>423</v>
      </c>
      <c r="Z827" s="9" t="s">
        <v>132</v>
      </c>
      <c r="AA827" s="9" t="s">
        <v>91</v>
      </c>
      <c r="AB827" s="9" t="s">
        <v>3931</v>
      </c>
      <c r="AC827" s="9">
        <v>8.0</v>
      </c>
      <c r="AD827" s="9">
        <v>6.0</v>
      </c>
      <c r="AE827" s="9">
        <v>3.0</v>
      </c>
      <c r="AF827" s="9">
        <v>2700.0</v>
      </c>
      <c r="AG827" s="9" t="s">
        <v>42</v>
      </c>
    </row>
    <row r="828">
      <c r="A828" s="7">
        <v>44913.89995015046</v>
      </c>
      <c r="B828" s="9" t="s">
        <v>49</v>
      </c>
      <c r="C828" s="9">
        <v>99.0</v>
      </c>
      <c r="D828" s="9" t="s">
        <v>35</v>
      </c>
      <c r="E828" s="9" t="s">
        <v>3932</v>
      </c>
      <c r="F828" s="9">
        <v>99.0</v>
      </c>
      <c r="G828" s="9">
        <v>99.0</v>
      </c>
      <c r="H828" s="9" t="s">
        <v>2300</v>
      </c>
      <c r="I828" s="9">
        <v>999.0</v>
      </c>
      <c r="J828" s="9">
        <v>999.0</v>
      </c>
      <c r="K828" s="9" t="s">
        <v>890</v>
      </c>
      <c r="L828" s="9" t="s">
        <v>40</v>
      </c>
      <c r="M828" s="9" t="s">
        <v>40</v>
      </c>
      <c r="N828" s="9">
        <v>999.0</v>
      </c>
      <c r="O828" s="9">
        <v>999.0</v>
      </c>
      <c r="P828" s="9">
        <v>999.0</v>
      </c>
      <c r="Q828" s="9">
        <v>999.0</v>
      </c>
      <c r="R828" s="9">
        <v>999.0</v>
      </c>
      <c r="S828" s="9">
        <v>99.0</v>
      </c>
      <c r="T828" s="9">
        <v>999.0</v>
      </c>
      <c r="U828" s="9">
        <v>999.0</v>
      </c>
      <c r="V828" s="9" t="s">
        <v>732</v>
      </c>
      <c r="W828" s="9">
        <v>99.0</v>
      </c>
      <c r="X828" s="9">
        <v>99.0</v>
      </c>
      <c r="Y828" s="9" t="s">
        <v>1763</v>
      </c>
      <c r="Z828" s="9" t="s">
        <v>90</v>
      </c>
      <c r="AA828" s="9" t="s">
        <v>611</v>
      </c>
      <c r="AC828" s="9">
        <v>3.0</v>
      </c>
      <c r="AD828" s="9">
        <v>999.0</v>
      </c>
      <c r="AE828" s="9">
        <v>999.0</v>
      </c>
      <c r="AF828" s="9">
        <v>999.0</v>
      </c>
      <c r="AG828" s="9">
        <v>999.0</v>
      </c>
    </row>
    <row r="829">
      <c r="A829" s="7">
        <v>44926.96177440972</v>
      </c>
      <c r="B829" s="9" t="s">
        <v>73</v>
      </c>
      <c r="C829" s="9">
        <v>41.0</v>
      </c>
      <c r="D829" s="9" t="s">
        <v>35</v>
      </c>
      <c r="E829" s="9" t="s">
        <v>36</v>
      </c>
      <c r="F829" s="9" t="s">
        <v>50</v>
      </c>
      <c r="G829" s="9" t="s">
        <v>565</v>
      </c>
      <c r="H829" s="9" t="s">
        <v>38</v>
      </c>
      <c r="I829" s="9" t="s">
        <v>2467</v>
      </c>
      <c r="J829" s="9" t="s">
        <v>3303</v>
      </c>
      <c r="K829" s="9" t="s">
        <v>39</v>
      </c>
      <c r="L829" s="9" t="s">
        <v>40</v>
      </c>
      <c r="M829" s="9" t="s">
        <v>40</v>
      </c>
      <c r="P829" s="9" t="s">
        <v>308</v>
      </c>
      <c r="Q829" s="9" t="s">
        <v>42</v>
      </c>
      <c r="R829" s="9">
        <v>8000.0</v>
      </c>
      <c r="S829" s="9">
        <v>0.0</v>
      </c>
      <c r="T829" s="9">
        <v>0.0</v>
      </c>
      <c r="U829" s="9">
        <v>18.0</v>
      </c>
      <c r="V829" s="9" t="s">
        <v>3933</v>
      </c>
      <c r="W829" s="9" t="s">
        <v>3934</v>
      </c>
      <c r="X829" s="9" t="s">
        <v>2085</v>
      </c>
      <c r="Y829" s="9" t="s">
        <v>481</v>
      </c>
      <c r="Z829" s="9" t="s">
        <v>132</v>
      </c>
      <c r="AA829" s="9" t="s">
        <v>91</v>
      </c>
      <c r="AC829" s="9">
        <v>7.0</v>
      </c>
      <c r="AD829" s="9">
        <v>19.0</v>
      </c>
      <c r="AE829" s="9">
        <v>4.0</v>
      </c>
      <c r="AF829" s="9">
        <v>1600.0</v>
      </c>
      <c r="AG829" s="9" t="s">
        <v>42</v>
      </c>
    </row>
    <row r="830">
      <c r="A830" s="7">
        <v>44998.91966775463</v>
      </c>
      <c r="B830" s="9" t="s">
        <v>49</v>
      </c>
      <c r="C830" s="9">
        <v>21.0</v>
      </c>
      <c r="D830" s="9" t="s">
        <v>35</v>
      </c>
      <c r="E830" s="9" t="s">
        <v>36</v>
      </c>
      <c r="F830" s="9" t="s">
        <v>363</v>
      </c>
      <c r="G830" s="9" t="s">
        <v>1061</v>
      </c>
      <c r="H830" s="9" t="s">
        <v>302</v>
      </c>
      <c r="J830" s="9" t="s">
        <v>2666</v>
      </c>
      <c r="K830" s="9" t="s">
        <v>39</v>
      </c>
      <c r="L830" s="9" t="s">
        <v>40</v>
      </c>
      <c r="M830" s="9" t="s">
        <v>40</v>
      </c>
      <c r="P830" s="9" t="s">
        <v>3935</v>
      </c>
      <c r="Q830" s="9" t="s">
        <v>42</v>
      </c>
      <c r="R830" s="9">
        <v>600.0</v>
      </c>
      <c r="S830" s="9">
        <v>0.0</v>
      </c>
      <c r="T830" s="9">
        <v>0.0</v>
      </c>
      <c r="U830" s="9">
        <v>6.0</v>
      </c>
      <c r="V830" s="9" t="s">
        <v>367</v>
      </c>
      <c r="W830" s="9" t="s">
        <v>3936</v>
      </c>
      <c r="X830" s="9" t="s">
        <v>79</v>
      </c>
      <c r="Y830" s="9" t="s">
        <v>80</v>
      </c>
      <c r="Z830" s="9" t="s">
        <v>71</v>
      </c>
      <c r="AA830" s="9" t="s">
        <v>48</v>
      </c>
      <c r="AC830" s="9">
        <v>6.0</v>
      </c>
      <c r="AD830" s="9">
        <v>0.0</v>
      </c>
      <c r="AE830" s="9">
        <v>0.0</v>
      </c>
      <c r="AF830" s="9">
        <v>600.0</v>
      </c>
      <c r="AG830" s="9" t="s">
        <v>42</v>
      </c>
    </row>
    <row r="831">
      <c r="A831" s="7">
        <v>45012.024502002314</v>
      </c>
      <c r="B831" s="9" t="s">
        <v>49</v>
      </c>
      <c r="C831" s="9">
        <v>26.0</v>
      </c>
      <c r="D831" s="9" t="s">
        <v>2001</v>
      </c>
      <c r="E831" s="9" t="s">
        <v>36</v>
      </c>
      <c r="F831" s="9" t="s">
        <v>50</v>
      </c>
      <c r="G831" s="9" t="s">
        <v>106</v>
      </c>
      <c r="H831" s="9" t="s">
        <v>118</v>
      </c>
      <c r="K831" s="9" t="s">
        <v>890</v>
      </c>
      <c r="L831" s="9" t="s">
        <v>40</v>
      </c>
      <c r="M831" s="9" t="s">
        <v>40</v>
      </c>
      <c r="P831" s="9" t="s">
        <v>101</v>
      </c>
      <c r="Q831" s="9" t="s">
        <v>42</v>
      </c>
      <c r="R831" s="9">
        <v>8000.0</v>
      </c>
      <c r="S831" s="9">
        <v>0.0</v>
      </c>
      <c r="T831" s="9">
        <v>0.0</v>
      </c>
      <c r="U831" s="9">
        <v>11.0</v>
      </c>
      <c r="V831" s="9" t="s">
        <v>393</v>
      </c>
      <c r="W831" s="9" t="s">
        <v>3937</v>
      </c>
      <c r="X831" s="9" t="s">
        <v>58</v>
      </c>
      <c r="Y831" s="9" t="s">
        <v>228</v>
      </c>
      <c r="Z831" s="9" t="s">
        <v>71</v>
      </c>
      <c r="AA831" s="9" t="s">
        <v>61</v>
      </c>
      <c r="AC831" s="9">
        <v>6.0</v>
      </c>
      <c r="AD831" s="9">
        <v>2.0</v>
      </c>
      <c r="AE831" s="9">
        <v>1.0</v>
      </c>
      <c r="AF831" s="9">
        <v>4000.0</v>
      </c>
      <c r="AG831" s="9" t="s">
        <v>42</v>
      </c>
    </row>
    <row r="832">
      <c r="A832" s="7">
        <v>45023.69560206019</v>
      </c>
      <c r="B832" s="9" t="s">
        <v>49</v>
      </c>
      <c r="C832" s="9">
        <v>28.0</v>
      </c>
      <c r="D832" s="9" t="s">
        <v>35</v>
      </c>
      <c r="E832" s="9" t="s">
        <v>36</v>
      </c>
      <c r="F832" s="9" t="s">
        <v>124</v>
      </c>
      <c r="G832" s="9" t="s">
        <v>124</v>
      </c>
      <c r="H832" s="9" t="s">
        <v>38</v>
      </c>
      <c r="I832" s="9" t="s">
        <v>3938</v>
      </c>
      <c r="J832" s="9" t="s">
        <v>944</v>
      </c>
      <c r="K832" s="9" t="s">
        <v>40</v>
      </c>
      <c r="L832" s="9" t="s">
        <v>39</v>
      </c>
      <c r="M832" s="9" t="s">
        <v>40</v>
      </c>
      <c r="N832" s="9" t="s">
        <v>3939</v>
      </c>
      <c r="P832" s="9" t="s">
        <v>3940</v>
      </c>
      <c r="Q832" s="9" t="s">
        <v>42</v>
      </c>
      <c r="R832" s="9">
        <v>8700.0</v>
      </c>
      <c r="S832" s="9">
        <v>10000.0</v>
      </c>
      <c r="T832" s="9">
        <v>10000.0</v>
      </c>
      <c r="U832" s="9">
        <v>14.0</v>
      </c>
      <c r="V832" s="9" t="s">
        <v>3941</v>
      </c>
      <c r="W832" s="9" t="s">
        <v>2094</v>
      </c>
      <c r="X832" s="9" t="s">
        <v>122</v>
      </c>
      <c r="Y832" s="9" t="s">
        <v>70</v>
      </c>
      <c r="Z832" s="9" t="s">
        <v>90</v>
      </c>
      <c r="AA832" s="9" t="s">
        <v>91</v>
      </c>
      <c r="AB832" s="9" t="s">
        <v>3942</v>
      </c>
      <c r="AC832" s="9">
        <v>7.0</v>
      </c>
      <c r="AD832" s="9">
        <v>5.0</v>
      </c>
      <c r="AE832" s="9">
        <v>3.0</v>
      </c>
      <c r="AF832" s="9">
        <v>3000.0</v>
      </c>
      <c r="AG832" s="9" t="s">
        <v>42</v>
      </c>
    </row>
    <row r="833">
      <c r="A833" s="7">
        <v>45056.75667094908</v>
      </c>
      <c r="B833" s="9" t="s">
        <v>49</v>
      </c>
      <c r="C833" s="9">
        <v>37.0</v>
      </c>
      <c r="D833" s="9" t="s">
        <v>35</v>
      </c>
      <c r="E833" s="9" t="s">
        <v>36</v>
      </c>
      <c r="F833" s="9" t="s">
        <v>50</v>
      </c>
      <c r="G833" s="9" t="s">
        <v>3099</v>
      </c>
      <c r="H833" s="9" t="s">
        <v>38</v>
      </c>
      <c r="I833" s="9" t="s">
        <v>2678</v>
      </c>
      <c r="J833" s="9" t="s">
        <v>3943</v>
      </c>
      <c r="K833" s="9" t="s">
        <v>39</v>
      </c>
      <c r="L833" s="9" t="s">
        <v>40</v>
      </c>
      <c r="M833" s="9" t="s">
        <v>40</v>
      </c>
      <c r="P833" s="9" t="s">
        <v>3944</v>
      </c>
      <c r="Q833" s="9" t="s">
        <v>42</v>
      </c>
      <c r="R833" s="9">
        <v>16000.0</v>
      </c>
      <c r="S833" s="9">
        <v>4000.0</v>
      </c>
      <c r="U833" s="9">
        <v>11.0</v>
      </c>
      <c r="V833" s="9" t="s">
        <v>2284</v>
      </c>
      <c r="W833" s="9" t="s">
        <v>3945</v>
      </c>
      <c r="X833" s="9" t="s">
        <v>58</v>
      </c>
      <c r="Y833" s="9" t="s">
        <v>70</v>
      </c>
      <c r="Z833" s="9" t="s">
        <v>60</v>
      </c>
      <c r="AA833" s="9" t="s">
        <v>48</v>
      </c>
      <c r="AC833" s="9">
        <v>10.0</v>
      </c>
      <c r="AD833" s="9">
        <v>21.0</v>
      </c>
      <c r="AE833" s="9">
        <v>5.0</v>
      </c>
      <c r="AF833" s="9">
        <v>1800.0</v>
      </c>
      <c r="AG833" s="9" t="s">
        <v>42</v>
      </c>
    </row>
    <row r="834">
      <c r="A834" s="7">
        <v>45085.04072958333</v>
      </c>
      <c r="B834" s="9" t="s">
        <v>49</v>
      </c>
      <c r="C834" s="9">
        <v>24.0</v>
      </c>
      <c r="D834" s="9" t="s">
        <v>35</v>
      </c>
      <c r="E834" s="9" t="s">
        <v>36</v>
      </c>
      <c r="F834" s="9" t="s">
        <v>186</v>
      </c>
      <c r="G834" s="9" t="s">
        <v>187</v>
      </c>
      <c r="H834" s="9" t="s">
        <v>93</v>
      </c>
      <c r="I834" s="9" t="s">
        <v>2658</v>
      </c>
      <c r="J834" s="9" t="s">
        <v>3946</v>
      </c>
      <c r="K834" s="9" t="s">
        <v>39</v>
      </c>
      <c r="L834" s="9" t="s">
        <v>40</v>
      </c>
      <c r="M834" s="9" t="s">
        <v>40</v>
      </c>
      <c r="P834" s="9" t="s">
        <v>3071</v>
      </c>
      <c r="Q834" s="9" t="s">
        <v>42</v>
      </c>
      <c r="R834" s="9">
        <v>3000.0</v>
      </c>
      <c r="S834" s="9">
        <v>0.0</v>
      </c>
      <c r="T834" s="9">
        <v>0.0</v>
      </c>
      <c r="U834" s="9">
        <v>12.0</v>
      </c>
      <c r="V834" s="9" t="s">
        <v>157</v>
      </c>
      <c r="W834" s="9" t="s">
        <v>3947</v>
      </c>
      <c r="X834" s="9" t="s">
        <v>3948</v>
      </c>
      <c r="Y834" s="9" t="s">
        <v>159</v>
      </c>
      <c r="Z834" s="9" t="s">
        <v>47</v>
      </c>
      <c r="AA834" s="9" t="s">
        <v>61</v>
      </c>
      <c r="AB834" s="9" t="s">
        <v>3949</v>
      </c>
      <c r="AC834" s="9">
        <v>3.0</v>
      </c>
      <c r="AD834" s="9">
        <v>3.75</v>
      </c>
      <c r="AE834" s="9">
        <v>0.0</v>
      </c>
      <c r="AF834" s="9">
        <v>2000.0</v>
      </c>
      <c r="AG834" s="9" t="s">
        <v>42</v>
      </c>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row>
  </sheetData>
  <hyperlinks>
    <hyperlink r:id="rId1" ref="AB21"/>
    <hyperlink r:id="rId2" ref="AB28"/>
    <hyperlink r:id="rId3" ref="W57"/>
    <hyperlink r:id="rId4" ref="AB74"/>
    <hyperlink r:id="rId5" ref="W415"/>
    <hyperlink r:id="rId6" ref="W483"/>
    <hyperlink r:id="rId7" ref="W714"/>
    <hyperlink r:id="rId8" ref="W80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4.38"/>
    <col customWidth="1" min="2" max="2" width="33.38"/>
    <col customWidth="1" min="3" max="3" width="23.88"/>
    <col customWidth="1" min="4" max="4" width="24.63"/>
    <col customWidth="1" min="5" max="5" width="15.63"/>
    <col customWidth="1" min="15" max="15" width="19.38"/>
    <col customWidth="1" min="16" max="16" width="18.5"/>
    <col customWidth="1" min="30" max="30" width="5.75"/>
  </cols>
  <sheetData>
    <row r="1">
      <c r="A1" s="34" t="str">
        <f>IFERROR(__xludf.DUMMYFUNCTION("IMPORTRANGE(""https://docs.google.com/spreadsheets/d/11OrbJjxKWXm9qZUmLi0zuWvOAhW4CSflWZYb5EVgve4/edit?resourcekey#gid=1373486160"",""'Form responses 1'!W:W"")"),"What technologies do you use for work on a regular basis?")</f>
        <v>What technologies do you use for work on a regular basis?</v>
      </c>
      <c r="B1" s="35" t="s">
        <v>3950</v>
      </c>
      <c r="C1" s="36"/>
      <c r="D1" s="36"/>
      <c r="E1" s="37"/>
      <c r="F1" s="37"/>
      <c r="G1" s="37"/>
      <c r="H1" s="37"/>
      <c r="I1" s="37"/>
      <c r="J1" s="37"/>
      <c r="N1" s="38"/>
      <c r="O1" s="39" t="s">
        <v>3951</v>
      </c>
      <c r="Q1" s="37"/>
      <c r="R1" s="37"/>
      <c r="S1" s="37"/>
      <c r="T1" s="37"/>
      <c r="U1" s="37"/>
      <c r="V1" s="37"/>
      <c r="W1" s="37"/>
      <c r="X1" s="37"/>
      <c r="Y1" s="37"/>
      <c r="Z1" s="37"/>
      <c r="AA1" s="37"/>
      <c r="AB1" s="40"/>
      <c r="AL1" s="34" t="s">
        <v>3952</v>
      </c>
      <c r="AM1" s="34" t="s">
        <v>3953</v>
      </c>
    </row>
    <row r="2">
      <c r="A2" s="41" t="str">
        <f>IFERROR(__xludf.DUMMYFUNCTION("""COMPUTED_VALUE"""),"The Internet")</f>
        <v>The Internet</v>
      </c>
      <c r="B2" s="42" t="s">
        <v>253</v>
      </c>
      <c r="N2" s="38"/>
      <c r="O2" s="43" t="s">
        <v>3954</v>
      </c>
      <c r="P2" s="44" t="str">
        <f>IFERROR(__xludf.DUMMYFUNCTION("ARRAYFORMULA({B2:N2; TRANSPOSE(LOWER(SPLIT(TRANSPOSE(QUERY(B2:N50500,,999^99)), "" "")))})
"),"The Internet")</f>
        <v>The Internet</v>
      </c>
      <c r="Q2" s="41"/>
      <c r="R2" s="41"/>
      <c r="S2" s="41"/>
      <c r="T2" s="41"/>
      <c r="U2" s="41"/>
      <c r="V2" s="41"/>
      <c r="W2" s="41"/>
      <c r="X2" s="41"/>
      <c r="Y2" s="41"/>
      <c r="Z2" s="41"/>
      <c r="AA2" s="41"/>
      <c r="AB2" s="38"/>
      <c r="AM2" s="9" t="s">
        <v>3955</v>
      </c>
    </row>
    <row r="3">
      <c r="A3" s="41" t="str">
        <f>IFERROR(__xludf.DUMMYFUNCTION("""COMPUTED_VALUE"""),"Angular, NestJS, Laravel, WordPress, NextJS")</f>
        <v>Angular, NestJS, Laravel, WordPress, NextJS</v>
      </c>
      <c r="B3" s="42" t="s">
        <v>704</v>
      </c>
      <c r="C3" s="41" t="s">
        <v>3956</v>
      </c>
      <c r="D3" s="41" t="s">
        <v>3957</v>
      </c>
      <c r="E3" s="41" t="s">
        <v>3958</v>
      </c>
      <c r="F3" s="41" t="s">
        <v>3959</v>
      </c>
      <c r="N3" s="38"/>
      <c r="P3" s="42" t="str">
        <f>IFERROR(__xludf.DUMMYFUNCTION("""COMPUTED_VALUE"""),"the")</f>
        <v>the</v>
      </c>
      <c r="Q3" s="41" t="str">
        <f>IFERROR(__xludf.DUMMYFUNCTION("""COMPUTED_VALUE"""),"nestjs")</f>
        <v>nestjs</v>
      </c>
      <c r="R3" s="41" t="str">
        <f>IFERROR(__xludf.DUMMYFUNCTION("""COMPUTED_VALUE"""),"laravel")</f>
        <v>laravel</v>
      </c>
      <c r="S3" s="41" t="str">
        <f>IFERROR(__xludf.DUMMYFUNCTION("""COMPUTED_VALUE"""),"wordpress")</f>
        <v>wordpress</v>
      </c>
      <c r="T3" s="41" t="str">
        <f>IFERROR(__xludf.DUMMYFUNCTION("""COMPUTED_VALUE"""),"nextjs")</f>
        <v>nextjs</v>
      </c>
      <c r="U3" s="41" t="str">
        <f>IFERROR(__xludf.DUMMYFUNCTION("""COMPUTED_VALUE"""),"message")</f>
        <v>message</v>
      </c>
      <c r="V3" s="41" t="str">
        <f>IFERROR(__xludf.DUMMYFUNCTION("""COMPUTED_VALUE"""),"wifi")</f>
        <v>wifi</v>
      </c>
      <c r="W3" s="41" t="str">
        <f>IFERROR(__xludf.DUMMYFUNCTION("""COMPUTED_VALUE"""),"gitlab")</f>
        <v>gitlab</v>
      </c>
      <c r="X3" s="41" t="str">
        <f>IFERROR(__xludf.DUMMYFUNCTION("""COMPUTED_VALUE"""),"hexagonal")</f>
        <v>hexagonal</v>
      </c>
      <c r="Y3" s="41" t="str">
        <f>IFERROR(__xludf.DUMMYFUNCTION("""COMPUTED_VALUE"""),"jenkins")</f>
        <v>jenkins</v>
      </c>
      <c r="Z3" s="41" t="str">
        <f>IFERROR(__xludf.DUMMYFUNCTION("""COMPUTED_VALUE"""),"jira")</f>
        <v>jira</v>
      </c>
      <c r="AA3" s="41" t="str">
        <f>IFERROR(__xludf.DUMMYFUNCTION("""COMPUTED_VALUE"""),"git")</f>
        <v>git</v>
      </c>
      <c r="AB3" s="38" t="str">
        <f>IFERROR(__xludf.DUMMYFUNCTION("""COMPUTED_VALUE"""),"aws")</f>
        <v>aws</v>
      </c>
      <c r="AM3" s="9" t="s">
        <v>498</v>
      </c>
    </row>
    <row r="4">
      <c r="A4" s="41" t="str">
        <f>IFERROR(__xludf.DUMMYFUNCTION("""COMPUTED_VALUE"""),"Configura Magic")</f>
        <v>Configura Magic</v>
      </c>
      <c r="B4" s="42" t="s">
        <v>2183</v>
      </c>
      <c r="N4" s="38"/>
      <c r="P4" s="42" t="str">
        <f>IFERROR(__xludf.DUMMYFUNCTION("""COMPUTED_VALUE"""),"internet")</f>
        <v>internet</v>
      </c>
      <c r="Q4" s="41" t="str">
        <f>IFERROR(__xludf.DUMMYFUNCTION("""COMPUTED_VALUE"""),"zendesk")</f>
        <v>zendesk</v>
      </c>
      <c r="R4" s="41" t="str">
        <f>IFERROR(__xludf.DUMMYFUNCTION("""COMPUTED_VALUE"""),"slack")</f>
        <v>slack</v>
      </c>
      <c r="S4" s="41" t="str">
        <f>IFERROR(__xludf.DUMMYFUNCTION("""COMPUTED_VALUE"""),"machine")</f>
        <v>machine</v>
      </c>
      <c r="T4" s="41" t="str">
        <f>IFERROR(__xludf.DUMMYFUNCTION("""COMPUTED_VALUE"""),"nosql")</f>
        <v>nosql</v>
      </c>
      <c r="U4" s="41" t="str">
        <f>IFERROR(__xludf.DUMMYFUNCTION("""COMPUTED_VALUE"""),"queue")</f>
        <v>queue</v>
      </c>
      <c r="V4" s="41" t="str">
        <f>IFERROR(__xludf.DUMMYFUNCTION("""COMPUTED_VALUE"""),"6")</f>
        <v>6</v>
      </c>
      <c r="W4" s="41" t="str">
        <f>IFERROR(__xludf.DUMMYFUNCTION("""COMPUTED_VALUE"""),"docker")</f>
        <v>docker</v>
      </c>
      <c r="X4" s="41" t="str">
        <f>IFERROR(__xludf.DUMMYFUNCTION("""COMPUTED_VALUE"""),"architecture(more")</f>
        <v>architecture(more</v>
      </c>
      <c r="Y4" s="41" t="str">
        <f>IFERROR(__xludf.DUMMYFUNCTION("""COMPUTED_VALUE"""),"zeplin")</f>
        <v>zeplin</v>
      </c>
      <c r="Z4" s="41" t="str">
        <f>IFERROR(__xludf.DUMMYFUNCTION("""COMPUTED_VALUE"""),"jira")</f>
        <v>jira</v>
      </c>
      <c r="AA4" s="41" t="str">
        <f>IFERROR(__xludf.DUMMYFUNCTION("""COMPUTED_VALUE"""),"")</f>
        <v/>
      </c>
      <c r="AB4" s="38" t="str">
        <f>IFERROR(__xludf.DUMMYFUNCTION("""COMPUTED_VALUE"""),"secrets")</f>
        <v>secrets</v>
      </c>
      <c r="AM4" s="9" t="s">
        <v>3960</v>
      </c>
    </row>
    <row r="5">
      <c r="A5" s="41" t="str">
        <f>IFERROR(__xludf.DUMMYFUNCTION("""COMPUTED_VALUE"""),"Terminal, Zendesk, slack")</f>
        <v>Terminal, Zendesk, slack</v>
      </c>
      <c r="B5" s="42" t="s">
        <v>3961</v>
      </c>
      <c r="C5" s="41" t="s">
        <v>3962</v>
      </c>
      <c r="D5" s="41" t="s">
        <v>3963</v>
      </c>
      <c r="N5" s="38"/>
      <c r="P5" s="42" t="str">
        <f>IFERROR(__xludf.DUMMYFUNCTION("""COMPUTED_VALUE"""),"angular")</f>
        <v>angular</v>
      </c>
      <c r="Q5" s="41" t="str">
        <f>IFERROR(__xludf.DUMMYFUNCTION("""COMPUTED_VALUE"""),"js")</f>
        <v>js</v>
      </c>
      <c r="R5" s="41" t="str">
        <f>IFERROR(__xludf.DUMMYFUNCTION("""COMPUTED_VALUE"""),"redux")</f>
        <v>redux</v>
      </c>
      <c r="S5" s="41" t="str">
        <f>IFERROR(__xludf.DUMMYFUNCTION("""COMPUTED_VALUE"""),"learning")</f>
        <v>learning</v>
      </c>
      <c r="T5" s="41" t="str">
        <f>IFERROR(__xludf.DUMMYFUNCTION("""COMPUTED_VALUE"""),"azure")</f>
        <v>azure</v>
      </c>
      <c r="U5" s="41" t="str">
        <f>IFERROR(__xludf.DUMMYFUNCTION("""COMPUTED_VALUE"""),"wifi")</f>
        <v>wifi</v>
      </c>
      <c r="V5" s="41" t="str">
        <f>IFERROR(__xludf.DUMMYFUNCTION("""COMPUTED_VALUE"""),"team")</f>
        <v>team</v>
      </c>
      <c r="W5" s="41" t="str">
        <f>IFERROR(__xludf.DUMMYFUNCTION("""COMPUTED_VALUE"""),"windows")</f>
        <v>windows</v>
      </c>
      <c r="X5" s="41" t="str">
        <f>IFERROR(__xludf.DUMMYFUNCTION("""COMPUTED_VALUE"""),"like")</f>
        <v>like</v>
      </c>
      <c r="Y5" s="41" t="str">
        <f>IFERROR(__xludf.DUMMYFUNCTION("""COMPUTED_VALUE"""),"k8s")</f>
        <v>k8s</v>
      </c>
      <c r="Z5" s="41" t="str">
        <f>IFERROR(__xludf.DUMMYFUNCTION("""COMPUTED_VALUE"""),"")</f>
        <v/>
      </c>
      <c r="AA5" s="41" t="str">
        <f>IFERROR(__xludf.DUMMYFUNCTION("""COMPUTED_VALUE"""),"")</f>
        <v/>
      </c>
      <c r="AB5" s="38" t="str">
        <f>IFERROR(__xludf.DUMMYFUNCTION("""COMPUTED_VALUE"""),"")</f>
        <v/>
      </c>
    </row>
    <row r="6">
      <c r="A6" s="41" t="str">
        <f>IFERROR(__xludf.DUMMYFUNCTION("""COMPUTED_VALUE"""),".NET ")</f>
        <v>.NET </v>
      </c>
      <c r="B6" s="42" t="s">
        <v>2375</v>
      </c>
      <c r="N6" s="38"/>
      <c r="P6" s="42" t="str">
        <f>IFERROR(__xludf.DUMMYFUNCTION("""COMPUTED_VALUE"""),"configura")</f>
        <v>configura</v>
      </c>
      <c r="Q6" s="41" t="str">
        <f>IFERROR(__xludf.DUMMYFUNCTION("""COMPUTED_VALUE"""),".net")</f>
        <v>.net</v>
      </c>
      <c r="R6" s="41" t="str">
        <f>IFERROR(__xludf.DUMMYFUNCTION("""COMPUTED_VALUE"""),"deep")</f>
        <v>deep</v>
      </c>
      <c r="S6" s="41" t="str">
        <f>IFERROR(__xludf.DUMMYFUNCTION("""COMPUTED_VALUE"""),"clickup")</f>
        <v>clickup</v>
      </c>
      <c r="T6" s="41" t="str">
        <f>IFERROR(__xludf.DUMMYFUNCTION("""COMPUTED_VALUE"""),"devops")</f>
        <v>devops</v>
      </c>
      <c r="U6" s="41" t="str">
        <f>IFERROR(__xludf.DUMMYFUNCTION("""COMPUTED_VALUE"""),"5")</f>
        <v>5</v>
      </c>
      <c r="V6" s="41" t="str">
        <f>IFERROR(__xludf.DUMMYFUNCTION("""COMPUTED_VALUE"""),"foundation")</f>
        <v>foundation</v>
      </c>
      <c r="W6" s="41" t="str">
        <f>IFERROR(__xludf.DUMMYFUNCTION("""COMPUTED_VALUE"""),"api")</f>
        <v>api</v>
      </c>
      <c r="X6" s="41" t="str">
        <f>IFERROR(__xludf.DUMMYFUNCTION("""COMPUTED_VALUE"""),"how")</f>
        <v>how</v>
      </c>
      <c r="Y6" s="41" t="str">
        <f>IFERROR(__xludf.DUMMYFUNCTION("""COMPUTED_VALUE"""),"embrace")</f>
        <v>embrace</v>
      </c>
      <c r="Z6" s="41" t="str">
        <f>IFERROR(__xludf.DUMMYFUNCTION("""COMPUTED_VALUE"""),"")</f>
        <v/>
      </c>
      <c r="AA6" s="41" t="str">
        <f>IFERROR(__xludf.DUMMYFUNCTION("""COMPUTED_VALUE"""),"")</f>
        <v/>
      </c>
      <c r="AB6" s="38" t="str">
        <f>IFERROR(__xludf.DUMMYFUNCTION("""COMPUTED_VALUE"""),"")</f>
        <v/>
      </c>
    </row>
    <row r="7">
      <c r="A7" s="41" t="str">
        <f>IFERROR(__xludf.DUMMYFUNCTION("""COMPUTED_VALUE"""),"Laravel")</f>
        <v>Laravel</v>
      </c>
      <c r="B7" s="42" t="s">
        <v>103</v>
      </c>
      <c r="N7" s="38"/>
      <c r="P7" s="42" t="str">
        <f>IFERROR(__xludf.DUMMYFUNCTION("""COMPUTED_VALUE"""),"magic")</f>
        <v>magic</v>
      </c>
      <c r="Q7" s="41" t="str">
        <f>IFERROR(__xludf.DUMMYFUNCTION("""COMPUTED_VALUE"""),"google")</f>
        <v>google</v>
      </c>
      <c r="R7" s="41" t="str">
        <f>IFERROR(__xludf.DUMMYFUNCTION("""COMPUTED_VALUE"""),"learning")</f>
        <v>learning</v>
      </c>
      <c r="S7" s="41" t="str">
        <f>IFERROR(__xludf.DUMMYFUNCTION("""COMPUTED_VALUE"""),"java")</f>
        <v>java</v>
      </c>
      <c r="T7" s="41" t="str">
        <f>IFERROR(__xludf.DUMMYFUNCTION("""COMPUTED_VALUE"""),"postman")</f>
        <v>postman</v>
      </c>
      <c r="U7" s="41" t="str">
        <f>IFERROR(__xludf.DUMMYFUNCTION("""COMPUTED_VALUE"""),"mongodb")</f>
        <v>mongodb</v>
      </c>
      <c r="V7" s="41" t="str">
        <f>IFERROR(__xludf.DUMMYFUNCTION("""COMPUTED_VALUE"""),"server")</f>
        <v>server</v>
      </c>
      <c r="W7" s="41" t="str">
        <f>IFERROR(__xludf.DUMMYFUNCTION("""COMPUTED_VALUE"""),"gateway")</f>
        <v>gateway</v>
      </c>
      <c r="X7" s="41" t="str">
        <f>IFERROR(__xludf.DUMMYFUNCTION("""COMPUTED_VALUE"""),"we")</f>
        <v>we</v>
      </c>
      <c r="Y7" s="41" t="str">
        <f>IFERROR(__xludf.DUMMYFUNCTION("""COMPUTED_VALUE"""),"sqs")</f>
        <v>sqs</v>
      </c>
      <c r="Z7" s="41" t="str">
        <f>IFERROR(__xludf.DUMMYFUNCTION("""COMPUTED_VALUE"""),"")</f>
        <v/>
      </c>
      <c r="AA7" s="41" t="str">
        <f>IFERROR(__xludf.DUMMYFUNCTION("""COMPUTED_VALUE"""),"")</f>
        <v/>
      </c>
      <c r="AB7" s="38" t="str">
        <f>IFERROR(__xludf.DUMMYFUNCTION("""COMPUTED_VALUE"""),"")</f>
        <v/>
      </c>
    </row>
    <row r="8">
      <c r="A8" s="41" t="str">
        <f>IFERROR(__xludf.DUMMYFUNCTION("""COMPUTED_VALUE"""),"react, js, redux")</f>
        <v>react, js, redux</v>
      </c>
      <c r="B8" s="42" t="s">
        <v>1066</v>
      </c>
      <c r="C8" s="41" t="s">
        <v>3964</v>
      </c>
      <c r="D8" s="41" t="s">
        <v>3965</v>
      </c>
      <c r="N8" s="38"/>
      <c r="P8" s="42" t="str">
        <f>IFERROR(__xludf.DUMMYFUNCTION("""COMPUTED_VALUE"""),"terminal")</f>
        <v>terminal</v>
      </c>
      <c r="Q8" s="41" t="str">
        <f>IFERROR(__xludf.DUMMYFUNCTION("""COMPUTED_VALUE"""),"cloud")</f>
        <v>cloud</v>
      </c>
      <c r="R8" s="41" t="str">
        <f>IFERROR(__xludf.DUMMYFUNCTION("""COMPUTED_VALUE"""),"slack")</f>
        <v>slack</v>
      </c>
      <c r="S8" s="41" t="str">
        <f>IFERROR(__xludf.DUMMYFUNCTION("""COMPUTED_VALUE"""),"powershell")</f>
        <v>powershell</v>
      </c>
      <c r="T8" s="41" t="str">
        <f>IFERROR(__xludf.DUMMYFUNCTION("""COMPUTED_VALUE"""),"elastic")</f>
        <v>elastic</v>
      </c>
      <c r="U8" s="41" t="str">
        <f>IFERROR(__xludf.DUMMYFUNCTION("""COMPUTED_VALUE"""),"windows")</f>
        <v>windows</v>
      </c>
      <c r="V8" s="41" t="str">
        <f>IFERROR(__xludf.DUMMYFUNCTION("""COMPUTED_VALUE"""),"confluence")</f>
        <v>confluence</v>
      </c>
      <c r="W8" s="41" t="str">
        <f>IFERROR(__xludf.DUMMYFUNCTION("""COMPUTED_VALUE"""),"lambda")</f>
        <v>lambda</v>
      </c>
      <c r="X8" s="41" t="str">
        <f>IFERROR(__xludf.DUMMYFUNCTION("""COMPUTED_VALUE"""),"build")</f>
        <v>build</v>
      </c>
      <c r="Y8" s="41" t="str">
        <f>IFERROR(__xludf.DUMMYFUNCTION("""COMPUTED_VALUE"""),"")</f>
        <v/>
      </c>
      <c r="Z8" s="41" t="str">
        <f>IFERROR(__xludf.DUMMYFUNCTION("""COMPUTED_VALUE"""),"")</f>
        <v/>
      </c>
      <c r="AA8" s="41" t="str">
        <f>IFERROR(__xludf.DUMMYFUNCTION("""COMPUTED_VALUE"""),"")</f>
        <v/>
      </c>
      <c r="AB8" s="38" t="str">
        <f>IFERROR(__xludf.DUMMYFUNCTION("""COMPUTED_VALUE"""),"")</f>
        <v/>
      </c>
    </row>
    <row r="9">
      <c r="A9" s="41" t="str">
        <f>IFERROR(__xludf.DUMMYFUNCTION("""COMPUTED_VALUE"""),"Computer Vision,  .Net, Deep learning,  machine learning")</f>
        <v>Computer Vision,  .Net, Deep learning,  machine learning</v>
      </c>
      <c r="B9" s="42" t="s">
        <v>3966</v>
      </c>
      <c r="C9" s="41" t="s">
        <v>3967</v>
      </c>
      <c r="D9" s="41" t="s">
        <v>3968</v>
      </c>
      <c r="E9" s="41" t="s">
        <v>3969</v>
      </c>
      <c r="N9" s="38"/>
      <c r="P9" s="42" t="str">
        <f>IFERROR(__xludf.DUMMYFUNCTION("""COMPUTED_VALUE"""),".net")</f>
        <v>.net</v>
      </c>
      <c r="Q9" s="41" t="str">
        <f>IFERROR(__xludf.DUMMYFUNCTION("""COMPUTED_VALUE"""),"platform")</f>
        <v>platform</v>
      </c>
      <c r="R9" s="41" t="str">
        <f>IFERROR(__xludf.DUMMYFUNCTION("""COMPUTED_VALUE"""),"c#")</f>
        <v>c#</v>
      </c>
      <c r="S9" s="41" t="str">
        <f>IFERROR(__xludf.DUMMYFUNCTION("""COMPUTED_VALUE"""),"git")</f>
        <v>git</v>
      </c>
      <c r="T9" s="41" t="str">
        <f>IFERROR(__xludf.DUMMYFUNCTION("""COMPUTED_VALUE"""),"search")</f>
        <v>search</v>
      </c>
      <c r="U9" s="41" t="str">
        <f>IFERROR(__xludf.DUMMYFUNCTION("""COMPUTED_VALUE"""),"server")</f>
        <v>server</v>
      </c>
      <c r="V9" s="41" t="str">
        <f>IFERROR(__xludf.DUMMYFUNCTION("""COMPUTED_VALUE"""),"selenium")</f>
        <v>selenium</v>
      </c>
      <c r="W9" s="41" t="str">
        <f>IFERROR(__xludf.DUMMYFUNCTION("""COMPUTED_VALUE"""),"mongodb")</f>
        <v>mongodb</v>
      </c>
      <c r="X9" s="41" t="str">
        <f>IFERROR(__xludf.DUMMYFUNCTION("""COMPUTED_VALUE"""),"those)")</f>
        <v>those)</v>
      </c>
      <c r="Y9" s="41" t="str">
        <f>IFERROR(__xludf.DUMMYFUNCTION("""COMPUTED_VALUE"""),"")</f>
        <v/>
      </c>
      <c r="Z9" s="41" t="str">
        <f>IFERROR(__xludf.DUMMYFUNCTION("""COMPUTED_VALUE"""),"")</f>
        <v/>
      </c>
      <c r="AA9" s="41" t="str">
        <f>IFERROR(__xludf.DUMMYFUNCTION("""COMPUTED_VALUE"""),"")</f>
        <v/>
      </c>
      <c r="AB9" s="38" t="str">
        <f>IFERROR(__xludf.DUMMYFUNCTION("""COMPUTED_VALUE"""),"")</f>
        <v/>
      </c>
    </row>
    <row r="10">
      <c r="A10" s="41" t="str">
        <f>IFERROR(__xludf.DUMMYFUNCTION("""COMPUTED_VALUE"""),"python")</f>
        <v>python</v>
      </c>
      <c r="B10" s="42" t="s">
        <v>508</v>
      </c>
      <c r="N10" s="38"/>
      <c r="P10" s="42" t="str">
        <f>IFERROR(__xludf.DUMMYFUNCTION("""COMPUTED_VALUE"""),"laravel")</f>
        <v>laravel</v>
      </c>
      <c r="Q10" s="41" t="str">
        <f>IFERROR(__xludf.DUMMYFUNCTION("""COMPUTED_VALUE"""),"android")</f>
        <v>android</v>
      </c>
      <c r="R10" s="41" t="str">
        <f>IFERROR(__xludf.DUMMYFUNCTION("""COMPUTED_VALUE"""),"mysql")</f>
        <v>mysql</v>
      </c>
      <c r="S10" s="41" t="str">
        <f>IFERROR(__xludf.DUMMYFUNCTION("""COMPUTED_VALUE"""),"jquery")</f>
        <v>jquery</v>
      </c>
      <c r="T10" s="41" t="str">
        <f>IFERROR(__xludf.DUMMYFUNCTION("""COMPUTED_VALUE"""),"docker")</f>
        <v>docker</v>
      </c>
      <c r="U10" s="41" t="str">
        <f>IFERROR(__xludf.DUMMYFUNCTION("""COMPUTED_VALUE"""),"aws")</f>
        <v>aws</v>
      </c>
      <c r="V10" s="41" t="str">
        <f>IFERROR(__xludf.DUMMYFUNCTION("""COMPUTED_VALUE"""),"angular")</f>
        <v>angular</v>
      </c>
      <c r="W10" s="41" t="str">
        <f>IFERROR(__xludf.DUMMYFUNCTION("""COMPUTED_VALUE"""),"three.js")</f>
        <v>three.js</v>
      </c>
      <c r="X10" s="41" t="str">
        <f>IFERROR(__xludf.DUMMYFUNCTION("""COMPUTED_VALUE"""),"terraform")</f>
        <v>terraform</v>
      </c>
      <c r="Y10" s="41" t="str">
        <f>IFERROR(__xludf.DUMMYFUNCTION("""COMPUTED_VALUE"""),"")</f>
        <v/>
      </c>
      <c r="Z10" s="41" t="str">
        <f>IFERROR(__xludf.DUMMYFUNCTION("""COMPUTED_VALUE"""),"")</f>
        <v/>
      </c>
      <c r="AA10" s="41" t="str">
        <f>IFERROR(__xludf.DUMMYFUNCTION("""COMPUTED_VALUE"""),"")</f>
        <v/>
      </c>
      <c r="AB10" s="38" t="str">
        <f>IFERROR(__xludf.DUMMYFUNCTION("""COMPUTED_VALUE"""),"")</f>
        <v/>
      </c>
    </row>
    <row r="11">
      <c r="A11" s="41" t="str">
        <f>IFERROR(__xludf.DUMMYFUNCTION("""COMPUTED_VALUE"""),"Python, Google Cloud platform")</f>
        <v>Python, Google Cloud platform</v>
      </c>
      <c r="B11" s="42" t="s">
        <v>78</v>
      </c>
      <c r="C11" s="41" t="s">
        <v>3970</v>
      </c>
      <c r="N11" s="38"/>
      <c r="P11" s="42" t="str">
        <f>IFERROR(__xludf.DUMMYFUNCTION("""COMPUTED_VALUE"""),"react")</f>
        <v>react</v>
      </c>
      <c r="Q11" s="41" t="str">
        <f>IFERROR(__xludf.DUMMYFUNCTION("""COMPUTED_VALUE"""),"studio")</f>
        <v>studio</v>
      </c>
      <c r="R11" s="41" t="str">
        <f>IFERROR(__xludf.DUMMYFUNCTION("""COMPUTED_VALUE"""),"microsoft")</f>
        <v>microsoft</v>
      </c>
      <c r="S11" s="41" t="str">
        <f>IFERROR(__xludf.DUMMYFUNCTION("""COMPUTED_VALUE"""),"linux")</f>
        <v>linux</v>
      </c>
      <c r="T11" s="41" t="str">
        <f>IFERROR(__xludf.DUMMYFUNCTION("""COMPUTED_VALUE"""),"postgres")</f>
        <v>postgres</v>
      </c>
      <c r="U11" s="41" t="str">
        <f>IFERROR(__xludf.DUMMYFUNCTION("""COMPUTED_VALUE"""),"jira")</f>
        <v>jira</v>
      </c>
      <c r="V11" s="41" t="str">
        <f>IFERROR(__xludf.DUMMYFUNCTION("""COMPUTED_VALUE"""),"sql")</f>
        <v>sql</v>
      </c>
      <c r="W11" s="41" t="str">
        <f>IFERROR(__xludf.DUMMYFUNCTION("""COMPUTED_VALUE"""),"kotlin")</f>
        <v>kotlin</v>
      </c>
      <c r="X11" s="41" t="str">
        <f>IFERROR(__xludf.DUMMYFUNCTION("""COMPUTED_VALUE"""),"electronjs")</f>
        <v>electronjs</v>
      </c>
      <c r="Y11" s="41" t="str">
        <f>IFERROR(__xludf.DUMMYFUNCTION("""COMPUTED_VALUE"""),"")</f>
        <v/>
      </c>
      <c r="Z11" s="41" t="str">
        <f>IFERROR(__xludf.DUMMYFUNCTION("""COMPUTED_VALUE"""),"")</f>
        <v/>
      </c>
      <c r="AA11" s="41" t="str">
        <f>IFERROR(__xludf.DUMMYFUNCTION("""COMPUTED_VALUE"""),"")</f>
        <v/>
      </c>
      <c r="AB11" s="38" t="str">
        <f>IFERROR(__xludf.DUMMYFUNCTION("""COMPUTED_VALUE"""),"")</f>
        <v/>
      </c>
    </row>
    <row r="12">
      <c r="A12" s="41" t="str">
        <f>IFERROR(__xludf.DUMMYFUNCTION("""COMPUTED_VALUE"""),"Php")</f>
        <v>Php</v>
      </c>
      <c r="B12" s="42" t="s">
        <v>154</v>
      </c>
      <c r="N12" s="38"/>
      <c r="P12" s="42" t="str">
        <f>IFERROR(__xludf.DUMMYFUNCTION("""COMPUTED_VALUE"""),"computer")</f>
        <v>computer</v>
      </c>
      <c r="Q12" s="41" t="str">
        <f>IFERROR(__xludf.DUMMYFUNCTION("""COMPUTED_VALUE"""),"c#")</f>
        <v>c#</v>
      </c>
      <c r="R12" s="41" t="str">
        <f>IFERROR(__xludf.DUMMYFUNCTION("""COMPUTED_VALUE"""),"azure")</f>
        <v>azure</v>
      </c>
      <c r="S12" s="41" t="str">
        <f>IFERROR(__xludf.DUMMYFUNCTION("""COMPUTED_VALUE"""),"mysql")</f>
        <v>mysql</v>
      </c>
      <c r="T12" s="41" t="str">
        <f>IFERROR(__xludf.DUMMYFUNCTION("""COMPUTED_VALUE"""),"buildkite")</f>
        <v>buildkite</v>
      </c>
      <c r="U12" s="41" t="str">
        <f>IFERROR(__xludf.DUMMYFUNCTION("""COMPUTED_VALUE"""),"nodejs")</f>
        <v>nodejs</v>
      </c>
      <c r="V12" s="41" t="str">
        <f>IFERROR(__xludf.DUMMYFUNCTION("""COMPUTED_VALUE"""),"nodejs")</f>
        <v>nodejs</v>
      </c>
      <c r="W12" s="41" t="str">
        <f>IFERROR(__xludf.DUMMYFUNCTION("""COMPUTED_VALUE"""),"react")</f>
        <v>react</v>
      </c>
      <c r="X12" s="41" t="str">
        <f>IFERROR(__xludf.DUMMYFUNCTION("""COMPUTED_VALUE"""),"bitrise")</f>
        <v>bitrise</v>
      </c>
      <c r="Y12" s="41" t="str">
        <f>IFERROR(__xludf.DUMMYFUNCTION("""COMPUTED_VALUE"""),"")</f>
        <v/>
      </c>
      <c r="Z12" s="41" t="str">
        <f>IFERROR(__xludf.DUMMYFUNCTION("""COMPUTED_VALUE"""),"")</f>
        <v/>
      </c>
      <c r="AA12" s="41" t="str">
        <f>IFERROR(__xludf.DUMMYFUNCTION("""COMPUTED_VALUE"""),"")</f>
        <v/>
      </c>
      <c r="AB12" s="38" t="str">
        <f>IFERROR(__xludf.DUMMYFUNCTION("""COMPUTED_VALUE"""),"")</f>
        <v/>
      </c>
    </row>
    <row r="13">
      <c r="A13" s="41" t="str">
        <f>IFERROR(__xludf.DUMMYFUNCTION("""COMPUTED_VALUE"""),"Kotlin, Android Studio, Slack, ClickUp")</f>
        <v>Kotlin, Android Studio, Slack, ClickUp</v>
      </c>
      <c r="B13" s="42" t="s">
        <v>170</v>
      </c>
      <c r="C13" s="41" t="s">
        <v>3971</v>
      </c>
      <c r="D13" s="41" t="s">
        <v>3972</v>
      </c>
      <c r="E13" s="41" t="s">
        <v>3973</v>
      </c>
      <c r="N13" s="38"/>
      <c r="P13" s="42" t="str">
        <f>IFERROR(__xludf.DUMMYFUNCTION("""COMPUTED_VALUE"""),"vision")</f>
        <v>vision</v>
      </c>
      <c r="Q13" s="41" t="str">
        <f>IFERROR(__xludf.DUMMYFUNCTION("""COMPUTED_VALUE"""),"flutter")</f>
        <v>flutter</v>
      </c>
      <c r="R13" s="41" t="str">
        <f>IFERROR(__xludf.DUMMYFUNCTION("""COMPUTED_VALUE"""),"visual")</f>
        <v>visual</v>
      </c>
      <c r="S13" s="41" t="str">
        <f>IFERROR(__xludf.DUMMYFUNCTION("""COMPUTED_VALUE"""),"php")</f>
        <v>php</v>
      </c>
      <c r="T13" s="41" t="str">
        <f>IFERROR(__xludf.DUMMYFUNCTION("""COMPUTED_VALUE"""),"swift.")</f>
        <v>swift.</v>
      </c>
      <c r="U13" s="41" t="str">
        <f>IFERROR(__xludf.DUMMYFUNCTION("""COMPUTED_VALUE"""),"svn")</f>
        <v>svn</v>
      </c>
      <c r="V13" s="41" t="str">
        <f>IFERROR(__xludf.DUMMYFUNCTION("""COMPUTED_VALUE"""),"linux")</f>
        <v>linux</v>
      </c>
      <c r="W13" s="41" t="str">
        <f>IFERROR(__xludf.DUMMYFUNCTION("""COMPUTED_VALUE"""),"native")</f>
        <v>native</v>
      </c>
      <c r="X13" s="41" t="str">
        <f>IFERROR(__xludf.DUMMYFUNCTION("""COMPUTED_VALUE"""),"springboot")</f>
        <v>springboot</v>
      </c>
      <c r="Y13" s="41" t="str">
        <f>IFERROR(__xludf.DUMMYFUNCTION("""COMPUTED_VALUE"""),"")</f>
        <v/>
      </c>
      <c r="Z13" s="41" t="str">
        <f>IFERROR(__xludf.DUMMYFUNCTION("""COMPUTED_VALUE"""),"")</f>
        <v/>
      </c>
      <c r="AA13" s="41" t="str">
        <f>IFERROR(__xludf.DUMMYFUNCTION("""COMPUTED_VALUE"""),"")</f>
        <v/>
      </c>
      <c r="AB13" s="38" t="str">
        <f>IFERROR(__xludf.DUMMYFUNCTION("""COMPUTED_VALUE"""),"")</f>
        <v/>
      </c>
    </row>
    <row r="14">
      <c r="A14" s="41" t="str">
        <f>IFERROR(__xludf.DUMMYFUNCTION("""COMPUTED_VALUE"""),"ASP.NET 4.5, C#")</f>
        <v>ASP.NET 4.5, C#</v>
      </c>
      <c r="B14" s="42" t="s">
        <v>3974</v>
      </c>
      <c r="C14" s="41" t="s">
        <v>3975</v>
      </c>
      <c r="N14" s="38"/>
      <c r="P14" s="42" t="str">
        <f>IFERROR(__xludf.DUMMYFUNCTION("""COMPUTED_VALUE"""),"python")</f>
        <v>python</v>
      </c>
      <c r="Q14" s="41" t="str">
        <f>IFERROR(__xludf.DUMMYFUNCTION("""COMPUTED_VALUE"""),"javascript")</f>
        <v>javascript</v>
      </c>
      <c r="R14" s="41" t="str">
        <f>IFERROR(__xludf.DUMMYFUNCTION("""COMPUTED_VALUE"""),"studio")</f>
        <v>studio</v>
      </c>
      <c r="S14" s="41" t="str">
        <f>IFERROR(__xludf.DUMMYFUNCTION("""COMPUTED_VALUE"""),"elasticsearch")</f>
        <v>elasticsearch</v>
      </c>
      <c r="T14" s="41" t="str">
        <f>IFERROR(__xludf.DUMMYFUNCTION("""COMPUTED_VALUE"""),"angular")</f>
        <v>angular</v>
      </c>
      <c r="U14" s="41" t="str">
        <f>IFERROR(__xludf.DUMMYFUNCTION("""COMPUTED_VALUE"""),"css")</f>
        <v>css</v>
      </c>
      <c r="V14" s="41" t="str">
        <f>IFERROR(__xludf.DUMMYFUNCTION("""COMPUTED_VALUE"""),"scss")</f>
        <v>scss</v>
      </c>
      <c r="W14" s="41" t="str">
        <f>IFERROR(__xludf.DUMMYFUNCTION("""COMPUTED_VALUE"""),"alibaba")</f>
        <v>alibaba</v>
      </c>
      <c r="X14" s="41" t="str">
        <f>IFERROR(__xludf.DUMMYFUNCTION("""COMPUTED_VALUE"""),"jenkins")</f>
        <v>jenkins</v>
      </c>
      <c r="Y14" s="41" t="str">
        <f>IFERROR(__xludf.DUMMYFUNCTION("""COMPUTED_VALUE"""),"")</f>
        <v/>
      </c>
      <c r="Z14" s="41" t="str">
        <f>IFERROR(__xludf.DUMMYFUNCTION("""COMPUTED_VALUE"""),"")</f>
        <v/>
      </c>
      <c r="AA14" s="41" t="str">
        <f>IFERROR(__xludf.DUMMYFUNCTION("""COMPUTED_VALUE"""),"")</f>
        <v/>
      </c>
      <c r="AB14" s="38" t="str">
        <f>IFERROR(__xludf.DUMMYFUNCTION("""COMPUTED_VALUE"""),"")</f>
        <v/>
      </c>
    </row>
    <row r="15">
      <c r="A15" s="41" t="str">
        <f>IFERROR(__xludf.DUMMYFUNCTION("""COMPUTED_VALUE"""),"Python, flutter, c#, java, NoSql")</f>
        <v>Python, flutter, c#, java, NoSql</v>
      </c>
      <c r="B15" s="42" t="s">
        <v>78</v>
      </c>
      <c r="C15" s="41" t="s">
        <v>3976</v>
      </c>
      <c r="D15" s="41" t="s">
        <v>3977</v>
      </c>
      <c r="E15" s="41" t="s">
        <v>3978</v>
      </c>
      <c r="F15" s="41" t="s">
        <v>3979</v>
      </c>
      <c r="N15" s="38"/>
      <c r="P15" s="42" t="str">
        <f>IFERROR(__xludf.DUMMYFUNCTION("""COMPUTED_VALUE"""),"python")</f>
        <v>python</v>
      </c>
      <c r="Q15" s="41" t="str">
        <f>IFERROR(__xludf.DUMMYFUNCTION("""COMPUTED_VALUE"""),"vs")</f>
        <v>vs</v>
      </c>
      <c r="R15" s="41" t="str">
        <f>IFERROR(__xludf.DUMMYFUNCTION("""COMPUTED_VALUE"""),"bitbucket")</f>
        <v>bitbucket</v>
      </c>
      <c r="S15" s="41" t="str">
        <f>IFERROR(__xludf.DUMMYFUNCTION("""COMPUTED_VALUE"""),"superset")</f>
        <v>superset</v>
      </c>
      <c r="T15" s="41" t="str">
        <f>IFERROR(__xludf.DUMMYFUNCTION("""COMPUTED_VALUE"""),"mongo")</f>
        <v>mongo</v>
      </c>
      <c r="U15" s="41" t="str">
        <f>IFERROR(__xludf.DUMMYFUNCTION("""COMPUTED_VALUE"""),"vuejs")</f>
        <v>vuejs</v>
      </c>
      <c r="V15" s="45" t="str">
        <f>IFERROR(__xludf.DUMMYFUNCTION("""COMPUTED_VALUE"""),"arize.ai")</f>
        <v>arize.ai</v>
      </c>
      <c r="W15" s="41" t="str">
        <f>IFERROR(__xludf.DUMMYFUNCTION("""COMPUTED_VALUE"""),"cloud")</f>
        <v>cloud</v>
      </c>
      <c r="X15" s="41" t="str">
        <f>IFERROR(__xludf.DUMMYFUNCTION("""COMPUTED_VALUE"""),"pusher")</f>
        <v>pusher</v>
      </c>
      <c r="Y15" s="41" t="str">
        <f>IFERROR(__xludf.DUMMYFUNCTION("""COMPUTED_VALUE"""),"")</f>
        <v/>
      </c>
      <c r="Z15" s="41" t="str">
        <f>IFERROR(__xludf.DUMMYFUNCTION("""COMPUTED_VALUE"""),"")</f>
        <v/>
      </c>
      <c r="AA15" s="41" t="str">
        <f>IFERROR(__xludf.DUMMYFUNCTION("""COMPUTED_VALUE"""),"")</f>
        <v/>
      </c>
      <c r="AB15" s="38" t="str">
        <f>IFERROR(__xludf.DUMMYFUNCTION("""COMPUTED_VALUE"""),"")</f>
        <v/>
      </c>
    </row>
    <row r="16">
      <c r="A16" s="41" t="str">
        <f>IFERROR(__xludf.DUMMYFUNCTION("""COMPUTED_VALUE"""),".Net")</f>
        <v>.Net</v>
      </c>
      <c r="B16" s="42" t="s">
        <v>321</v>
      </c>
      <c r="N16" s="38"/>
      <c r="P16" s="42" t="str">
        <f>IFERROR(__xludf.DUMMYFUNCTION("""COMPUTED_VALUE"""),"php")</f>
        <v>php</v>
      </c>
      <c r="Q16" s="41" t="str">
        <f>IFERROR(__xludf.DUMMYFUNCTION("""COMPUTED_VALUE"""),"code")</f>
        <v>code</v>
      </c>
      <c r="R16" s="41" t="str">
        <f>IFERROR(__xludf.DUMMYFUNCTION("""COMPUTED_VALUE"""),"swift")</f>
        <v>swift</v>
      </c>
      <c r="S16" s="41" t="str">
        <f>IFERROR(__xludf.DUMMYFUNCTION("""COMPUTED_VALUE"""),"github")</f>
        <v>github</v>
      </c>
      <c r="T16" s="41" t="str">
        <f>IFERROR(__xludf.DUMMYFUNCTION("""COMPUTED_VALUE"""),"db")</f>
        <v>db</v>
      </c>
      <c r="U16" s="41" t="str">
        <f>IFERROR(__xludf.DUMMYFUNCTION("""COMPUTED_VALUE"""),"javascript")</f>
        <v>javascript</v>
      </c>
      <c r="V16" s="41" t="str">
        <f>IFERROR(__xludf.DUMMYFUNCTION("""COMPUTED_VALUE"""),"sns")</f>
        <v>sns</v>
      </c>
      <c r="W16" s="41" t="str">
        <f>IFERROR(__xludf.DUMMYFUNCTION("""COMPUTED_VALUE"""),"angularjs")</f>
        <v>angularjs</v>
      </c>
      <c r="X16" s="41" t="str">
        <f>IFERROR(__xludf.DUMMYFUNCTION("""COMPUTED_VALUE"""),"kafka")</f>
        <v>kafka</v>
      </c>
      <c r="Y16" s="41" t="str">
        <f>IFERROR(__xludf.DUMMYFUNCTION("""COMPUTED_VALUE"""),"")</f>
        <v/>
      </c>
      <c r="Z16" s="41" t="str">
        <f>IFERROR(__xludf.DUMMYFUNCTION("""COMPUTED_VALUE"""),"")</f>
        <v/>
      </c>
      <c r="AA16" s="41" t="str">
        <f>IFERROR(__xludf.DUMMYFUNCTION("""COMPUTED_VALUE"""),"")</f>
        <v/>
      </c>
      <c r="AB16" s="38" t="str">
        <f>IFERROR(__xludf.DUMMYFUNCTION("""COMPUTED_VALUE"""),"")</f>
        <v/>
      </c>
    </row>
    <row r="17">
      <c r="A17" s="41" t="str">
        <f>IFERROR(__xludf.DUMMYFUNCTION("""COMPUTED_VALUE"""),"Php, javascript, mysql")</f>
        <v>Php, javascript, mysql</v>
      </c>
      <c r="B17" s="42" t="s">
        <v>154</v>
      </c>
      <c r="C17" s="41" t="s">
        <v>3980</v>
      </c>
      <c r="D17" s="41" t="s">
        <v>3981</v>
      </c>
      <c r="N17" s="38"/>
      <c r="P17" s="42" t="str">
        <f>IFERROR(__xludf.DUMMYFUNCTION("""COMPUTED_VALUE"""),"kotlin")</f>
        <v>kotlin</v>
      </c>
      <c r="Q17" s="41" t="str">
        <f>IFERROR(__xludf.DUMMYFUNCTION("""COMPUTED_VALUE"""),"angular")</f>
        <v>angular</v>
      </c>
      <c r="R17" s="41" t="str">
        <f>IFERROR(__xludf.DUMMYFUNCTION("""COMPUTED_VALUE"""),"(ios)")</f>
        <v>(ios)</v>
      </c>
      <c r="S17" s="41" t="str">
        <f>IFERROR(__xludf.DUMMYFUNCTION("""COMPUTED_VALUE"""),"obj-c")</f>
        <v>obj-c</v>
      </c>
      <c r="T17" s="41" t="str">
        <f>IFERROR(__xludf.DUMMYFUNCTION("""COMPUTED_VALUE"""),"routing")</f>
        <v>routing</v>
      </c>
      <c r="U17" s="41" t="str">
        <f>IFERROR(__xludf.DUMMYFUNCTION("""COMPUTED_VALUE"""),"mongodb")</f>
        <v>mongodb</v>
      </c>
      <c r="V17" s="41" t="str">
        <f>IFERROR(__xludf.DUMMYFUNCTION("""COMPUTED_VALUE"""),"ec2")</f>
        <v>ec2</v>
      </c>
      <c r="W17" s="45" t="str">
        <f>IFERROR(__xludf.DUMMYFUNCTION("""COMPUTED_VALUE"""),"asp.net")</f>
        <v>asp.net</v>
      </c>
      <c r="X17" s="41" t="str">
        <f>IFERROR(__xludf.DUMMYFUNCTION("""COMPUTED_VALUE"""),"mysql")</f>
        <v>mysql</v>
      </c>
      <c r="Y17" s="41" t="str">
        <f>IFERROR(__xludf.DUMMYFUNCTION("""COMPUTED_VALUE"""),"")</f>
        <v/>
      </c>
      <c r="Z17" s="41" t="str">
        <f>IFERROR(__xludf.DUMMYFUNCTION("""COMPUTED_VALUE"""),"")</f>
        <v/>
      </c>
      <c r="AA17" s="41" t="str">
        <f>IFERROR(__xludf.DUMMYFUNCTION("""COMPUTED_VALUE"""),"")</f>
        <v/>
      </c>
      <c r="AB17" s="38" t="str">
        <f>IFERROR(__xludf.DUMMYFUNCTION("""COMPUTED_VALUE"""),"")</f>
        <v/>
      </c>
    </row>
    <row r="18">
      <c r="A18" s="41" t="str">
        <f>IFERROR(__xludf.DUMMYFUNCTION("""COMPUTED_VALUE"""),"Slack, VS Code, Microsoft Azure, PowerShell, Azure DevOps")</f>
        <v>Slack, VS Code, Microsoft Azure, PowerShell, Azure DevOps</v>
      </c>
      <c r="B18" s="42" t="s">
        <v>3982</v>
      </c>
      <c r="C18" s="41" t="s">
        <v>3983</v>
      </c>
      <c r="D18" s="41" t="s">
        <v>3984</v>
      </c>
      <c r="E18" s="41" t="s">
        <v>3985</v>
      </c>
      <c r="F18" s="41" t="s">
        <v>3986</v>
      </c>
      <c r="N18" s="38"/>
      <c r="P18" s="46" t="str">
        <f>IFERROR(__xludf.DUMMYFUNCTION("""COMPUTED_VALUE"""),"asp.net")</f>
        <v>asp.net</v>
      </c>
      <c r="Q18" s="41" t="str">
        <f>IFERROR(__xludf.DUMMYFUNCTION("""COMPUTED_VALUE"""),"sql")</f>
        <v>sql</v>
      </c>
      <c r="R18" s="41" t="str">
        <f>IFERROR(__xludf.DUMMYFUNCTION("""COMPUTED_VALUE"""),"c++")</f>
        <v>c++</v>
      </c>
      <c r="S18" s="41" t="str">
        <f>IFERROR(__xludf.DUMMYFUNCTION("""COMPUTED_VALUE"""),"react")</f>
        <v>react</v>
      </c>
      <c r="T18" s="41" t="str">
        <f>IFERROR(__xludf.DUMMYFUNCTION("""COMPUTED_VALUE"""),"&amp;")</f>
        <v>&amp;</v>
      </c>
      <c r="U18" s="41" t="str">
        <f>IFERROR(__xludf.DUMMYFUNCTION("""COMPUTED_VALUE"""),"expressjs")</f>
        <v>expressjs</v>
      </c>
      <c r="V18" s="41" t="str">
        <f>IFERROR(__xludf.DUMMYFUNCTION("""COMPUTED_VALUE"""),"firebase")</f>
        <v>firebase</v>
      </c>
      <c r="W18" s="41" t="str">
        <f>IFERROR(__xludf.DUMMYFUNCTION("""COMPUTED_VALUE"""),"core")</f>
        <v>core</v>
      </c>
      <c r="X18" s="41" t="str">
        <f>IFERROR(__xludf.DUMMYFUNCTION("""COMPUTED_VALUE"""),"and")</f>
        <v>and</v>
      </c>
      <c r="Y18" s="41" t="str">
        <f>IFERROR(__xludf.DUMMYFUNCTION("""COMPUTED_VALUE"""),"")</f>
        <v/>
      </c>
      <c r="Z18" s="41" t="str">
        <f>IFERROR(__xludf.DUMMYFUNCTION("""COMPUTED_VALUE"""),"")</f>
        <v/>
      </c>
      <c r="AA18" s="41" t="str">
        <f>IFERROR(__xludf.DUMMYFUNCTION("""COMPUTED_VALUE"""),"")</f>
        <v/>
      </c>
      <c r="AB18" s="38" t="str">
        <f>IFERROR(__xludf.DUMMYFUNCTION("""COMPUTED_VALUE"""),"")</f>
        <v/>
      </c>
    </row>
    <row r="19">
      <c r="A19" s="41" t="str">
        <f>IFERROR(__xludf.DUMMYFUNCTION("""COMPUTED_VALUE"""),"C#,Angular")</f>
        <v>C#,Angular</v>
      </c>
      <c r="B19" s="42" t="s">
        <v>809</v>
      </c>
      <c r="C19" s="41" t="s">
        <v>704</v>
      </c>
      <c r="N19" s="38"/>
      <c r="P19" s="42" t="str">
        <f>IFERROR(__xludf.DUMMYFUNCTION("""COMPUTED_VALUE"""),"4.5")</f>
        <v>4.5</v>
      </c>
      <c r="Q19" s="41" t="str">
        <f>IFERROR(__xludf.DUMMYFUNCTION("""COMPUTED_VALUE"""),"server")</f>
        <v>server</v>
      </c>
      <c r="R19" s="41" t="str">
        <f>IFERROR(__xludf.DUMMYFUNCTION("""COMPUTED_VALUE"""),"javascript")</f>
        <v>javascript</v>
      </c>
      <c r="S19" s="41" t="str">
        <f>IFERROR(__xludf.DUMMYFUNCTION("""COMPUTED_VALUE"""),"flutter")</f>
        <v>flutter</v>
      </c>
      <c r="T19" s="41" t="str">
        <f>IFERROR(__xludf.DUMMYFUNCTION("""COMPUTED_VALUE"""),"switching")</f>
        <v>switching</v>
      </c>
      <c r="U19" s="41" t="str">
        <f>IFERROR(__xludf.DUMMYFUNCTION("""COMPUTED_VALUE"""),"css")</f>
        <v>css</v>
      </c>
      <c r="V19" s="41" t="str">
        <f>IFERROR(__xludf.DUMMYFUNCTION("""COMPUTED_VALUE"""),"mongodb")</f>
        <v>mongodb</v>
      </c>
      <c r="W19" s="41" t="str">
        <f>IFERROR(__xludf.DUMMYFUNCTION("""COMPUTED_VALUE"""),"segmentio")</f>
        <v>segmentio</v>
      </c>
      <c r="X19" s="41" t="str">
        <f>IFERROR(__xludf.DUMMYFUNCTION("""COMPUTED_VALUE"""),"more")</f>
        <v>more</v>
      </c>
      <c r="Y19" s="41" t="str">
        <f>IFERROR(__xludf.DUMMYFUNCTION("""COMPUTED_VALUE"""),"")</f>
        <v/>
      </c>
      <c r="Z19" s="41" t="str">
        <f>IFERROR(__xludf.DUMMYFUNCTION("""COMPUTED_VALUE"""),"")</f>
        <v/>
      </c>
      <c r="AA19" s="41" t="str">
        <f>IFERROR(__xludf.DUMMYFUNCTION("""COMPUTED_VALUE"""),"")</f>
        <v/>
      </c>
      <c r="AB19" s="38" t="str">
        <f>IFERROR(__xludf.DUMMYFUNCTION("""COMPUTED_VALUE"""),"")</f>
        <v/>
      </c>
    </row>
    <row r="20">
      <c r="A20" s="41" t="str">
        <f>IFERROR(__xludf.DUMMYFUNCTION("""COMPUTED_VALUE"""),"Microsoft Dynamics ERP, SQL Server, Visual Studio")</f>
        <v>Microsoft Dynamics ERP, SQL Server, Visual Studio</v>
      </c>
      <c r="B20" s="42" t="s">
        <v>3987</v>
      </c>
      <c r="C20" s="41" t="s">
        <v>3988</v>
      </c>
      <c r="D20" s="41" t="s">
        <v>3989</v>
      </c>
      <c r="N20" s="38"/>
      <c r="P20" s="42" t="str">
        <f>IFERROR(__xludf.DUMMYFUNCTION("""COMPUTED_VALUE"""),"python")</f>
        <v>python</v>
      </c>
      <c r="Q20" s="41" t="str">
        <f>IFERROR(__xludf.DUMMYFUNCTION("""COMPUTED_VALUE"""),"phpstorm")</f>
        <v>phpstorm</v>
      </c>
      <c r="R20" s="41" t="str">
        <f>IFERROR(__xludf.DUMMYFUNCTION("""COMPUTED_VALUE"""),"reactjs")</f>
        <v>reactjs</v>
      </c>
      <c r="S20" s="41" t="str">
        <f>IFERROR(__xludf.DUMMYFUNCTION("""COMPUTED_VALUE"""),"hci")</f>
        <v>hci</v>
      </c>
      <c r="T20" s="41" t="str">
        <f>IFERROR(__xludf.DUMMYFUNCTION("""COMPUTED_VALUE"""),"golang")</f>
        <v>golang</v>
      </c>
      <c r="U20" s="41" t="str">
        <f>IFERROR(__xludf.DUMMYFUNCTION("""COMPUTED_VALUE"""),"ssis")</f>
        <v>ssis</v>
      </c>
      <c r="V20" s="41" t="str">
        <f>IFERROR(__xludf.DUMMYFUNCTION("""COMPUTED_VALUE"""),"mongodb")</f>
        <v>mongodb</v>
      </c>
      <c r="W20" s="41" t="str">
        <f>IFERROR(__xludf.DUMMYFUNCTION("""COMPUTED_VALUE"""),"desktop")</f>
        <v>desktop</v>
      </c>
      <c r="X20" s="41" t="str">
        <f>IFERROR(__xludf.DUMMYFUNCTION("""COMPUTED_VALUE"""),"")</f>
        <v/>
      </c>
      <c r="Y20" s="41" t="str">
        <f>IFERROR(__xludf.DUMMYFUNCTION("""COMPUTED_VALUE"""),"")</f>
        <v/>
      </c>
      <c r="Z20" s="41" t="str">
        <f>IFERROR(__xludf.DUMMYFUNCTION("""COMPUTED_VALUE"""),"")</f>
        <v/>
      </c>
      <c r="AA20" s="41" t="str">
        <f>IFERROR(__xludf.DUMMYFUNCTION("""COMPUTED_VALUE"""),"")</f>
        <v/>
      </c>
      <c r="AB20" s="38" t="str">
        <f>IFERROR(__xludf.DUMMYFUNCTION("""COMPUTED_VALUE"""),"")</f>
        <v/>
      </c>
    </row>
    <row r="21">
      <c r="A21" s="41" t="str">
        <f>IFERROR(__xludf.DUMMYFUNCTION("""COMPUTED_VALUE"""),"XAMPP, PHPStorm, Bitbucket, Git, Postman")</f>
        <v>XAMPP, PHPStorm, Bitbucket, Git, Postman</v>
      </c>
      <c r="B21" s="42" t="s">
        <v>3990</v>
      </c>
      <c r="C21" s="41" t="s">
        <v>3991</v>
      </c>
      <c r="D21" s="41" t="s">
        <v>3992</v>
      </c>
      <c r="E21" s="41" t="s">
        <v>3993</v>
      </c>
      <c r="F21" s="41" t="s">
        <v>3994</v>
      </c>
      <c r="N21" s="38"/>
      <c r="P21" s="42" t="str">
        <f>IFERROR(__xludf.DUMMYFUNCTION("""COMPUTED_VALUE"""),".net")</f>
        <v>.net</v>
      </c>
      <c r="Q21" s="41" t="str">
        <f>IFERROR(__xludf.DUMMYFUNCTION("""COMPUTED_VALUE"""),"android")</f>
        <v>android</v>
      </c>
      <c r="R21" s="41" t="str">
        <f>IFERROR(__xludf.DUMMYFUNCTION("""COMPUTED_VALUE"""),"metatrader")</f>
        <v>metatrader</v>
      </c>
      <c r="S21" s="41" t="str">
        <f>IFERROR(__xludf.DUMMYFUNCTION("""COMPUTED_VALUE"""),"react")</f>
        <v>react</v>
      </c>
      <c r="T21" s="41" t="str">
        <f>IFERROR(__xludf.DUMMYFUNCTION("""COMPUTED_VALUE"""),"aws")</f>
        <v>aws</v>
      </c>
      <c r="U21" s="41" t="str">
        <f>IFERROR(__xludf.DUMMYFUNCTION("""COMPUTED_VALUE"""),"dvc")</f>
        <v>dvc</v>
      </c>
      <c r="V21" s="41" t="str">
        <f>IFERROR(__xludf.DUMMYFUNCTION("""COMPUTED_VALUE"""),"golang")</f>
        <v>golang</v>
      </c>
      <c r="W21" s="41" t="str">
        <f>IFERROR(__xludf.DUMMYFUNCTION("""COMPUTED_VALUE"""),"app")</f>
        <v>app</v>
      </c>
      <c r="X21" s="41" t="str">
        <f>IFERROR(__xludf.DUMMYFUNCTION("""COMPUTED_VALUE"""),"")</f>
        <v/>
      </c>
      <c r="Y21" s="41" t="str">
        <f>IFERROR(__xludf.DUMMYFUNCTION("""COMPUTED_VALUE"""),"")</f>
        <v/>
      </c>
      <c r="Z21" s="41" t="str">
        <f>IFERROR(__xludf.DUMMYFUNCTION("""COMPUTED_VALUE"""),"")</f>
        <v/>
      </c>
      <c r="AA21" s="41" t="str">
        <f>IFERROR(__xludf.DUMMYFUNCTION("""COMPUTED_VALUE"""),"")</f>
        <v/>
      </c>
      <c r="AB21" s="38" t="str">
        <f>IFERROR(__xludf.DUMMYFUNCTION("""COMPUTED_VALUE"""),"")</f>
        <v/>
      </c>
    </row>
    <row r="22">
      <c r="A22" s="41" t="str">
        <f>IFERROR(__xludf.DUMMYFUNCTION("""COMPUTED_VALUE"""),"Flutter , Android Java/kotlin, Swift (ios)")</f>
        <v>Flutter , Android Java/kotlin, Swift (ios)</v>
      </c>
      <c r="B22" s="42" t="s">
        <v>3995</v>
      </c>
      <c r="C22" s="41" t="s">
        <v>3996</v>
      </c>
      <c r="D22" s="41" t="s">
        <v>3997</v>
      </c>
      <c r="N22" s="38"/>
      <c r="P22" s="42" t="str">
        <f>IFERROR(__xludf.DUMMYFUNCTION("""COMPUTED_VALUE"""),"php")</f>
        <v>php</v>
      </c>
      <c r="Q22" s="41" t="str">
        <f>IFERROR(__xludf.DUMMYFUNCTION("""COMPUTED_VALUE"""),"java/kotlin")</f>
        <v>java/kotlin</v>
      </c>
      <c r="R22" s="41" t="str">
        <f>IFERROR(__xludf.DUMMYFUNCTION("""COMPUTED_VALUE"""),"react")</f>
        <v>react</v>
      </c>
      <c r="S22" s="41" t="str">
        <f>IFERROR(__xludf.DUMMYFUNCTION("""COMPUTED_VALUE"""),"firebase")</f>
        <v>firebase</v>
      </c>
      <c r="T22" s="41" t="str">
        <f>IFERROR(__xludf.DUMMYFUNCTION("""COMPUTED_VALUE"""),"quasar")</f>
        <v>quasar</v>
      </c>
      <c r="U22" s="41" t="str">
        <f>IFERROR(__xludf.DUMMYFUNCTION("""COMPUTED_VALUE"""),"azure")</f>
        <v>azure</v>
      </c>
      <c r="V22" s="41" t="str">
        <f>IFERROR(__xludf.DUMMYFUNCTION("""COMPUTED_VALUE"""),"react")</f>
        <v>react</v>
      </c>
      <c r="W22" s="41" t="str">
        <f>IFERROR(__xludf.DUMMYFUNCTION("""COMPUTED_VALUE"""),"dev")</f>
        <v>dev</v>
      </c>
      <c r="X22" s="41" t="str">
        <f>IFERROR(__xludf.DUMMYFUNCTION("""COMPUTED_VALUE"""),"")</f>
        <v/>
      </c>
      <c r="Y22" s="41" t="str">
        <f>IFERROR(__xludf.DUMMYFUNCTION("""COMPUTED_VALUE"""),"")</f>
        <v/>
      </c>
      <c r="Z22" s="41" t="str">
        <f>IFERROR(__xludf.DUMMYFUNCTION("""COMPUTED_VALUE"""),"")</f>
        <v/>
      </c>
      <c r="AA22" s="41" t="str">
        <f>IFERROR(__xludf.DUMMYFUNCTION("""COMPUTED_VALUE"""),"")</f>
        <v/>
      </c>
      <c r="AB22" s="38" t="str">
        <f>IFERROR(__xludf.DUMMYFUNCTION("""COMPUTED_VALUE"""),"")</f>
        <v/>
      </c>
    </row>
    <row r="23">
      <c r="A23" s="41" t="str">
        <f>IFERROR(__xludf.DUMMYFUNCTION("""COMPUTED_VALUE"""),"php")</f>
        <v>php</v>
      </c>
      <c r="B23" s="42" t="s">
        <v>196</v>
      </c>
      <c r="N23" s="38"/>
      <c r="P23" s="42" t="str">
        <f>IFERROR(__xludf.DUMMYFUNCTION("""COMPUTED_VALUE"""),"slack")</f>
        <v>slack</v>
      </c>
      <c r="Q23" s="41" t="str">
        <f>IFERROR(__xludf.DUMMYFUNCTION("""COMPUTED_VALUE"""),"angular")</f>
        <v>angular</v>
      </c>
      <c r="R23" s="41" t="str">
        <f>IFERROR(__xludf.DUMMYFUNCTION("""COMPUTED_VALUE"""),"nodejs")</f>
        <v>nodejs</v>
      </c>
      <c r="S23" s="41" t="str">
        <f>IFERROR(__xludf.DUMMYFUNCTION("""COMPUTED_VALUE"""),"dl")</f>
        <v>dl</v>
      </c>
      <c r="T23" s="41" t="str">
        <f>IFERROR(__xludf.DUMMYFUNCTION("""COMPUTED_VALUE"""),"python")</f>
        <v>python</v>
      </c>
      <c r="U23" s="41" t="str">
        <f>IFERROR(__xludf.DUMMYFUNCTION("""COMPUTED_VALUE"""),"devops")</f>
        <v>devops</v>
      </c>
      <c r="V23" s="41" t="str">
        <f>IFERROR(__xludf.DUMMYFUNCTION("""COMPUTED_VALUE"""),"native")</f>
        <v>native</v>
      </c>
      <c r="W23" s="41" t="str">
        <f>IFERROR(__xludf.DUMMYFUNCTION("""COMPUTED_VALUE"""),"mongodb")</f>
        <v>mongodb</v>
      </c>
      <c r="X23" s="41" t="str">
        <f>IFERROR(__xludf.DUMMYFUNCTION("""COMPUTED_VALUE"""),"")</f>
        <v/>
      </c>
      <c r="Y23" s="41" t="str">
        <f>IFERROR(__xludf.DUMMYFUNCTION("""COMPUTED_VALUE"""),"")</f>
        <v/>
      </c>
      <c r="Z23" s="41" t="str">
        <f>IFERROR(__xludf.DUMMYFUNCTION("""COMPUTED_VALUE"""),"")</f>
        <v/>
      </c>
      <c r="AA23" s="41" t="str">
        <f>IFERROR(__xludf.DUMMYFUNCTION("""COMPUTED_VALUE"""),"")</f>
        <v/>
      </c>
      <c r="AB23" s="38" t="str">
        <f>IFERROR(__xludf.DUMMYFUNCTION("""COMPUTED_VALUE"""),"")</f>
        <v/>
      </c>
    </row>
    <row r="24">
      <c r="A24" s="41" t="str">
        <f>IFERROR(__xludf.DUMMYFUNCTION("""COMPUTED_VALUE"""),"C#, Angular, C++")</f>
        <v>C#, Angular, C++</v>
      </c>
      <c r="B24" s="42" t="s">
        <v>809</v>
      </c>
      <c r="C24" s="41" t="s">
        <v>3998</v>
      </c>
      <c r="D24" s="41" t="s">
        <v>3999</v>
      </c>
      <c r="N24" s="38"/>
      <c r="P24" s="42" t="str">
        <f>IFERROR(__xludf.DUMMYFUNCTION("""COMPUTED_VALUE"""),"c#")</f>
        <v>c#</v>
      </c>
      <c r="Q24" s="41" t="str">
        <f>IFERROR(__xludf.DUMMYFUNCTION("""COMPUTED_VALUE"""),".net")</f>
        <v>.net</v>
      </c>
      <c r="R24" s="41" t="str">
        <f>IFERROR(__xludf.DUMMYFUNCTION("""COMPUTED_VALUE"""),"postgresql")</f>
        <v>postgresql</v>
      </c>
      <c r="S24" s="41" t="str">
        <f>IFERROR(__xludf.DUMMYFUNCTION("""COMPUTED_VALUE"""),"vue")</f>
        <v>vue</v>
      </c>
      <c r="T24" s="41" t="str">
        <f>IFERROR(__xludf.DUMMYFUNCTION("""COMPUTED_VALUE"""),"excel")</f>
        <v>excel</v>
      </c>
      <c r="U24" s="41" t="str">
        <f>IFERROR(__xludf.DUMMYFUNCTION("""COMPUTED_VALUE"""),"sqs")</f>
        <v>sqs</v>
      </c>
      <c r="V24" s="41" t="str">
        <f>IFERROR(__xludf.DUMMYFUNCTION("""COMPUTED_VALUE"""),"redis")</f>
        <v>redis</v>
      </c>
      <c r="W24" s="41" t="str">
        <f>IFERROR(__xludf.DUMMYFUNCTION("""COMPUTED_VALUE"""),"nosql")</f>
        <v>nosql</v>
      </c>
      <c r="X24" s="41" t="str">
        <f>IFERROR(__xludf.DUMMYFUNCTION("""COMPUTED_VALUE"""),"")</f>
        <v/>
      </c>
      <c r="Y24" s="41" t="str">
        <f>IFERROR(__xludf.DUMMYFUNCTION("""COMPUTED_VALUE"""),"")</f>
        <v/>
      </c>
      <c r="Z24" s="41" t="str">
        <f>IFERROR(__xludf.DUMMYFUNCTION("""COMPUTED_VALUE"""),"")</f>
        <v/>
      </c>
      <c r="AA24" s="41" t="str">
        <f>IFERROR(__xludf.DUMMYFUNCTION("""COMPUTED_VALUE"""),"")</f>
        <v/>
      </c>
      <c r="AB24" s="38" t="str">
        <f>IFERROR(__xludf.DUMMYFUNCTION("""COMPUTED_VALUE"""),"")</f>
        <v/>
      </c>
    </row>
    <row r="25">
      <c r="A25" s="41" t="str">
        <f>IFERROR(__xludf.DUMMYFUNCTION("""COMPUTED_VALUE"""),"java")</f>
        <v>java</v>
      </c>
      <c r="B25" s="42" t="s">
        <v>1483</v>
      </c>
      <c r="N25" s="38"/>
      <c r="P25" s="42" t="str">
        <f>IFERROR(__xludf.DUMMYFUNCTION("""COMPUTED_VALUE"""),"microsoft")</f>
        <v>microsoft</v>
      </c>
      <c r="Q25" s="41" t="str">
        <f>IFERROR(__xludf.DUMMYFUNCTION("""COMPUTED_VALUE"""),"nodejs")</f>
        <v>nodejs</v>
      </c>
      <c r="R25" s="41" t="str">
        <f>IFERROR(__xludf.DUMMYFUNCTION("""COMPUTED_VALUE"""),"airflow")</f>
        <v>airflow</v>
      </c>
      <c r="S25" s="41" t="str">
        <f>IFERROR(__xludf.DUMMYFUNCTION("""COMPUTED_VALUE"""),"postgresql")</f>
        <v>postgresql</v>
      </c>
      <c r="T25" s="41" t="str">
        <f>IFERROR(__xludf.DUMMYFUNCTION("""COMPUTED_VALUE"""),"gcp")</f>
        <v>gcp</v>
      </c>
      <c r="U25" s="41" t="str">
        <f>IFERROR(__xludf.DUMMYFUNCTION("""COMPUTED_VALUE"""),"redis")</f>
        <v>redis</v>
      </c>
      <c r="V25" s="41" t="str">
        <f>IFERROR(__xludf.DUMMYFUNCTION("""COMPUTED_VALUE"""),"react")</f>
        <v>react</v>
      </c>
      <c r="W25" s="41" t="str">
        <f>IFERROR(__xludf.DUMMYFUNCTION("""COMPUTED_VALUE"""),"opencv")</f>
        <v>opencv</v>
      </c>
      <c r="X25" s="41" t="str">
        <f>IFERROR(__xludf.DUMMYFUNCTION("""COMPUTED_VALUE"""),"")</f>
        <v/>
      </c>
      <c r="Y25" s="41" t="str">
        <f>IFERROR(__xludf.DUMMYFUNCTION("""COMPUTED_VALUE"""),"")</f>
        <v/>
      </c>
      <c r="Z25" s="41" t="str">
        <f>IFERROR(__xludf.DUMMYFUNCTION("""COMPUTED_VALUE"""),"")</f>
        <v/>
      </c>
      <c r="AA25" s="41" t="str">
        <f>IFERROR(__xludf.DUMMYFUNCTION("""COMPUTED_VALUE"""),"")</f>
        <v/>
      </c>
      <c r="AB25" s="38" t="str">
        <f>IFERROR(__xludf.DUMMYFUNCTION("""COMPUTED_VALUE"""),"")</f>
        <v/>
      </c>
    </row>
    <row r="26">
      <c r="A26" s="41" t="str">
        <f>IFERROR(__xludf.DUMMYFUNCTION("""COMPUTED_VALUE"""),"C#, .NET, Javascript, JQuery")</f>
        <v>C#, .NET, Javascript, JQuery</v>
      </c>
      <c r="B26" s="42" t="s">
        <v>809</v>
      </c>
      <c r="C26" s="41" t="s">
        <v>4000</v>
      </c>
      <c r="D26" s="41" t="s">
        <v>4001</v>
      </c>
      <c r="E26" s="41" t="s">
        <v>4002</v>
      </c>
      <c r="N26" s="38"/>
      <c r="P26" s="42" t="str">
        <f>IFERROR(__xludf.DUMMYFUNCTION("""COMPUTED_VALUE"""),"dynamics")</f>
        <v>dynamics</v>
      </c>
      <c r="Q26" s="41" t="str">
        <f>IFERROR(__xludf.DUMMYFUNCTION("""COMPUTED_VALUE"""),"gcp")</f>
        <v>gcp</v>
      </c>
      <c r="R26" s="41" t="str">
        <f>IFERROR(__xludf.DUMMYFUNCTION("""COMPUTED_VALUE"""),"python")</f>
        <v>python</v>
      </c>
      <c r="S26" s="41" t="str">
        <f>IFERROR(__xludf.DUMMYFUNCTION("""COMPUTED_VALUE"""),"jupyter")</f>
        <v>jupyter</v>
      </c>
      <c r="T26" s="41" t="str">
        <f>IFERROR(__xludf.DUMMYFUNCTION("""COMPUTED_VALUE"""),"ms")</f>
        <v>ms</v>
      </c>
      <c r="U26" s="41" t="str">
        <f>IFERROR(__xludf.DUMMYFUNCTION("""COMPUTED_VALUE"""),"aws")</f>
        <v>aws</v>
      </c>
      <c r="V26" s="41" t="str">
        <f>IFERROR(__xludf.DUMMYFUNCTION("""COMPUTED_VALUE"""),"aws")</f>
        <v>aws</v>
      </c>
      <c r="W26" s="41" t="str">
        <f>IFERROR(__xludf.DUMMYFUNCTION("""COMPUTED_VALUE"""),"")</f>
        <v/>
      </c>
      <c r="X26" s="41" t="str">
        <f>IFERROR(__xludf.DUMMYFUNCTION("""COMPUTED_VALUE"""),"")</f>
        <v/>
      </c>
      <c r="Y26" s="41" t="str">
        <f>IFERROR(__xludf.DUMMYFUNCTION("""COMPUTED_VALUE"""),"")</f>
        <v/>
      </c>
      <c r="Z26" s="41" t="str">
        <f>IFERROR(__xludf.DUMMYFUNCTION("""COMPUTED_VALUE"""),"")</f>
        <v/>
      </c>
      <c r="AA26" s="41" t="str">
        <f>IFERROR(__xludf.DUMMYFUNCTION("""COMPUTED_VALUE"""),"")</f>
        <v/>
      </c>
      <c r="AB26" s="38" t="str">
        <f>IFERROR(__xludf.DUMMYFUNCTION("""COMPUTED_VALUE"""),"")</f>
        <v/>
      </c>
    </row>
    <row r="27">
      <c r="A27" s="41" t="str">
        <f>IFERROR(__xludf.DUMMYFUNCTION("""COMPUTED_VALUE"""),"AWS Serverless stack, Nodejs, Reactjs")</f>
        <v>AWS Serverless stack, Nodejs, Reactjs</v>
      </c>
      <c r="B27" s="42" t="s">
        <v>4003</v>
      </c>
      <c r="C27" s="41" t="s">
        <v>4004</v>
      </c>
      <c r="D27" s="41" t="s">
        <v>4005</v>
      </c>
      <c r="N27" s="38"/>
      <c r="P27" s="42" t="str">
        <f>IFERROR(__xludf.DUMMYFUNCTION("""COMPUTED_VALUE"""),"erp")</f>
        <v>erp</v>
      </c>
      <c r="Q27" s="45" t="str">
        <f>IFERROR(__xludf.DUMMYFUNCTION("""COMPUTED_VALUE"""),"asp.net")</f>
        <v>asp.net</v>
      </c>
      <c r="R27" s="41" t="str">
        <f>IFERROR(__xludf.DUMMYFUNCTION("""COMPUTED_VALUE"""),"angular")</f>
        <v>angular</v>
      </c>
      <c r="S27" s="41" t="str">
        <f>IFERROR(__xludf.DUMMYFUNCTION("""COMPUTED_VALUE"""),"python")</f>
        <v>python</v>
      </c>
      <c r="T27" s="41" t="str">
        <f>IFERROR(__xludf.DUMMYFUNCTION("""COMPUTED_VALUE"""),"sql")</f>
        <v>sql</v>
      </c>
      <c r="U27" s="41" t="str">
        <f>IFERROR(__xludf.DUMMYFUNCTION("""COMPUTED_VALUE"""),"aws")</f>
        <v>aws</v>
      </c>
      <c r="V27" s="41" t="str">
        <f>IFERROR(__xludf.DUMMYFUNCTION("""COMPUTED_VALUE"""),"git")</f>
        <v>git</v>
      </c>
      <c r="W27" s="41" t="str">
        <f>IFERROR(__xludf.DUMMYFUNCTION("""COMPUTED_VALUE"""),"")</f>
        <v/>
      </c>
      <c r="X27" s="41" t="str">
        <f>IFERROR(__xludf.DUMMYFUNCTION("""COMPUTED_VALUE"""),"")</f>
        <v/>
      </c>
      <c r="Y27" s="41" t="str">
        <f>IFERROR(__xludf.DUMMYFUNCTION("""COMPUTED_VALUE"""),"")</f>
        <v/>
      </c>
      <c r="Z27" s="41" t="str">
        <f>IFERROR(__xludf.DUMMYFUNCTION("""COMPUTED_VALUE"""),"")</f>
        <v/>
      </c>
      <c r="AA27" s="41" t="str">
        <f>IFERROR(__xludf.DUMMYFUNCTION("""COMPUTED_VALUE"""),"")</f>
        <v/>
      </c>
      <c r="AB27" s="38" t="str">
        <f>IFERROR(__xludf.DUMMYFUNCTION("""COMPUTED_VALUE"""),"")</f>
        <v/>
      </c>
    </row>
    <row r="28">
      <c r="A28" s="41" t="str">
        <f>IFERROR(__xludf.DUMMYFUNCTION("""COMPUTED_VALUE"""),"Aws, gcp, metatrader, Linux ")</f>
        <v>Aws, gcp, metatrader, Linux </v>
      </c>
      <c r="B28" s="42" t="s">
        <v>4006</v>
      </c>
      <c r="C28" s="41" t="s">
        <v>4007</v>
      </c>
      <c r="D28" s="41" t="s">
        <v>4008</v>
      </c>
      <c r="E28" s="41" t="s">
        <v>4009</v>
      </c>
      <c r="N28" s="38"/>
      <c r="P28" s="42" t="str">
        <f>IFERROR(__xludf.DUMMYFUNCTION("""COMPUTED_VALUE"""),"xampp")</f>
        <v>xampp</v>
      </c>
      <c r="Q28" s="41" t="str">
        <f>IFERROR(__xludf.DUMMYFUNCTION("""COMPUTED_VALUE"""),"javascript")</f>
        <v>javascript</v>
      </c>
      <c r="R28" s="41" t="str">
        <f>IFERROR(__xludf.DUMMYFUNCTION("""COMPUTED_VALUE"""),"js")</f>
        <v>js</v>
      </c>
      <c r="S28" s="41" t="str">
        <f>IFERROR(__xludf.DUMMYFUNCTION("""COMPUTED_VALUE"""),"mongodb")</f>
        <v>mongodb</v>
      </c>
      <c r="T28" s="41" t="str">
        <f>IFERROR(__xludf.DUMMYFUNCTION("""COMPUTED_VALUE"""),"html")</f>
        <v>html</v>
      </c>
      <c r="U28" s="41" t="str">
        <f>IFERROR(__xludf.DUMMYFUNCTION("""COMPUTED_VALUE"""),"docker")</f>
        <v>docker</v>
      </c>
      <c r="V28" s="41" t="str">
        <f>IFERROR(__xludf.DUMMYFUNCTION("""COMPUTED_VALUE"""),"kubenetes")</f>
        <v>kubenetes</v>
      </c>
      <c r="W28" s="41" t="str">
        <f>IFERROR(__xludf.DUMMYFUNCTION("""COMPUTED_VALUE"""),"")</f>
        <v/>
      </c>
      <c r="X28" s="41" t="str">
        <f>IFERROR(__xludf.DUMMYFUNCTION("""COMPUTED_VALUE"""),"")</f>
        <v/>
      </c>
      <c r="Y28" s="41" t="str">
        <f>IFERROR(__xludf.DUMMYFUNCTION("""COMPUTED_VALUE"""),"")</f>
        <v/>
      </c>
      <c r="Z28" s="41" t="str">
        <f>IFERROR(__xludf.DUMMYFUNCTION("""COMPUTED_VALUE"""),"")</f>
        <v/>
      </c>
      <c r="AA28" s="41" t="str">
        <f>IFERROR(__xludf.DUMMYFUNCTION("""COMPUTED_VALUE"""),"")</f>
        <v/>
      </c>
      <c r="AB28" s="38" t="str">
        <f>IFERROR(__xludf.DUMMYFUNCTION("""COMPUTED_VALUE"""),"")</f>
        <v/>
      </c>
    </row>
    <row r="29">
      <c r="A29" s="41" t="str">
        <f>IFERROR(__xludf.DUMMYFUNCTION("""COMPUTED_VALUE"""),"JSON, ASP.NET")</f>
        <v>JSON, ASP.NET</v>
      </c>
      <c r="B29" s="42" t="s">
        <v>4010</v>
      </c>
      <c r="C29" s="41" t="s">
        <v>4011</v>
      </c>
      <c r="N29" s="38"/>
      <c r="P29" s="42" t="str">
        <f>IFERROR(__xludf.DUMMYFUNCTION("""COMPUTED_VALUE"""),"flutter")</f>
        <v>flutter</v>
      </c>
      <c r="Q29" s="41" t="str">
        <f>IFERROR(__xludf.DUMMYFUNCTION("""COMPUTED_VALUE"""),".net")</f>
        <v>.net</v>
      </c>
      <c r="R29" s="41" t="str">
        <f>IFERROR(__xludf.DUMMYFUNCTION("""COMPUTED_VALUE"""),"retool")</f>
        <v>retool</v>
      </c>
      <c r="S29" s="41" t="str">
        <f>IFERROR(__xludf.DUMMYFUNCTION("""COMPUTED_VALUE"""),"spring")</f>
        <v>spring</v>
      </c>
      <c r="T29" s="41" t="str">
        <f>IFERROR(__xludf.DUMMYFUNCTION("""COMPUTED_VALUE"""),"backbone")</f>
        <v>backbone</v>
      </c>
      <c r="U29" s="41" t="str">
        <f>IFERROR(__xludf.DUMMYFUNCTION("""COMPUTED_VALUE"""),"slack")</f>
        <v>slack</v>
      </c>
      <c r="V29" s="41" t="str">
        <f>IFERROR(__xludf.DUMMYFUNCTION("""COMPUTED_VALUE"""),"kotlin")</f>
        <v>kotlin</v>
      </c>
      <c r="W29" s="41" t="str">
        <f>IFERROR(__xludf.DUMMYFUNCTION("""COMPUTED_VALUE"""),"")</f>
        <v/>
      </c>
      <c r="X29" s="41" t="str">
        <f>IFERROR(__xludf.DUMMYFUNCTION("""COMPUTED_VALUE"""),"")</f>
        <v/>
      </c>
      <c r="Y29" s="41" t="str">
        <f>IFERROR(__xludf.DUMMYFUNCTION("""COMPUTED_VALUE"""),"")</f>
        <v/>
      </c>
      <c r="Z29" s="41" t="str">
        <f>IFERROR(__xludf.DUMMYFUNCTION("""COMPUTED_VALUE"""),"")</f>
        <v/>
      </c>
      <c r="AA29" s="41" t="str">
        <f>IFERROR(__xludf.DUMMYFUNCTION("""COMPUTED_VALUE"""),"")</f>
        <v/>
      </c>
      <c r="AB29" s="38" t="str">
        <f>IFERROR(__xludf.DUMMYFUNCTION("""COMPUTED_VALUE"""),"")</f>
        <v/>
      </c>
    </row>
    <row r="30">
      <c r="A30" s="41" t="str">
        <f>IFERROR(__xludf.DUMMYFUNCTION("""COMPUTED_VALUE"""),"Golang, javascript, React, Mysql, elastic search")</f>
        <v>Golang, javascript, React, Mysql, elastic search</v>
      </c>
      <c r="B30" s="42" t="s">
        <v>1949</v>
      </c>
      <c r="C30" s="41" t="s">
        <v>3980</v>
      </c>
      <c r="D30" s="41" t="s">
        <v>4012</v>
      </c>
      <c r="E30" s="41" t="s">
        <v>4013</v>
      </c>
      <c r="F30" s="41" t="s">
        <v>4014</v>
      </c>
      <c r="N30" s="38"/>
      <c r="P30" s="42" t="str">
        <f>IFERROR(__xludf.DUMMYFUNCTION("""COMPUTED_VALUE"""),"php")</f>
        <v>php</v>
      </c>
      <c r="Q30" s="41" t="str">
        <f>IFERROR(__xludf.DUMMYFUNCTION("""COMPUTED_VALUE"""),"mysql")</f>
        <v>mysql</v>
      </c>
      <c r="R30" s="41" t="str">
        <f>IFERROR(__xludf.DUMMYFUNCTION("""COMPUTED_VALUE"""),"aws")</f>
        <v>aws</v>
      </c>
      <c r="S30" s="41" t="str">
        <f>IFERROR(__xludf.DUMMYFUNCTION("""COMPUTED_VALUE"""),"boot")</f>
        <v>boot</v>
      </c>
      <c r="T30" s="41" t="str">
        <f>IFERROR(__xludf.DUMMYFUNCTION("""COMPUTED_VALUE"""),"mariadb")</f>
        <v>mariadb</v>
      </c>
      <c r="U30" s="41" t="str">
        <f>IFERROR(__xludf.DUMMYFUNCTION("""COMPUTED_VALUE"""),"aws")</f>
        <v>aws</v>
      </c>
      <c r="V30" s="41" t="str">
        <f>IFERROR(__xludf.DUMMYFUNCTION("""COMPUTED_VALUE"""),"firebase")</f>
        <v>firebase</v>
      </c>
      <c r="W30" s="41" t="str">
        <f>IFERROR(__xludf.DUMMYFUNCTION("""COMPUTED_VALUE"""),"")</f>
        <v/>
      </c>
      <c r="X30" s="41" t="str">
        <f>IFERROR(__xludf.DUMMYFUNCTION("""COMPUTED_VALUE"""),"")</f>
        <v/>
      </c>
      <c r="Y30" s="41" t="str">
        <f>IFERROR(__xludf.DUMMYFUNCTION("""COMPUTED_VALUE"""),"")</f>
        <v/>
      </c>
      <c r="Z30" s="41" t="str">
        <f>IFERROR(__xludf.DUMMYFUNCTION("""COMPUTED_VALUE"""),"")</f>
        <v/>
      </c>
      <c r="AA30" s="41" t="str">
        <f>IFERROR(__xludf.DUMMYFUNCTION("""COMPUTED_VALUE"""),"")</f>
        <v/>
      </c>
      <c r="AB30" s="38" t="str">
        <f>IFERROR(__xludf.DUMMYFUNCTION("""COMPUTED_VALUE"""),"")</f>
        <v/>
      </c>
    </row>
    <row r="31">
      <c r="A31" s="41" t="str">
        <f>IFERROR(__xludf.DUMMYFUNCTION("""COMPUTED_VALUE"""),"Delphi,.net,nodejs,php")</f>
        <v>Delphi,.net,nodejs,php</v>
      </c>
      <c r="B31" s="42" t="s">
        <v>4015</v>
      </c>
      <c r="C31" s="41" t="s">
        <v>384</v>
      </c>
      <c r="D31" s="41" t="s">
        <v>4016</v>
      </c>
      <c r="E31" s="41" t="s">
        <v>196</v>
      </c>
      <c r="N31" s="38"/>
      <c r="P31" s="42" t="str">
        <f>IFERROR(__xludf.DUMMYFUNCTION("""COMPUTED_VALUE"""),"c#")</f>
        <v>c#</v>
      </c>
      <c r="Q31" s="41" t="str">
        <f>IFERROR(__xludf.DUMMYFUNCTION("""COMPUTED_VALUE"""),"aliyun")</f>
        <v>aliyun</v>
      </c>
      <c r="R31" s="41" t="str">
        <f>IFERROR(__xludf.DUMMYFUNCTION("""COMPUTED_VALUE"""),"hibernate")</f>
        <v>hibernate</v>
      </c>
      <c r="S31" s="41" t="str">
        <f>IFERROR(__xludf.DUMMYFUNCTION("""COMPUTED_VALUE"""),"bootstrap")</f>
        <v>bootstrap</v>
      </c>
      <c r="T31" s="41" t="str">
        <f>IFERROR(__xludf.DUMMYFUNCTION("""COMPUTED_VALUE"""),"typescript")</f>
        <v>typescript</v>
      </c>
      <c r="U31" s="41" t="str">
        <f>IFERROR(__xludf.DUMMYFUNCTION("""COMPUTED_VALUE"""),"oracle")</f>
        <v>oracle</v>
      </c>
      <c r="V31" s="41" t="str">
        <f>IFERROR(__xludf.DUMMYFUNCTION("""COMPUTED_VALUE"""),"linux")</f>
        <v>linux</v>
      </c>
      <c r="W31" s="41" t="str">
        <f>IFERROR(__xludf.DUMMYFUNCTION("""COMPUTED_VALUE"""),"")</f>
        <v/>
      </c>
      <c r="X31" s="41" t="str">
        <f>IFERROR(__xludf.DUMMYFUNCTION("""COMPUTED_VALUE"""),"")</f>
        <v/>
      </c>
      <c r="Y31" s="41" t="str">
        <f>IFERROR(__xludf.DUMMYFUNCTION("""COMPUTED_VALUE"""),"")</f>
        <v/>
      </c>
      <c r="Z31" s="41" t="str">
        <f>IFERROR(__xludf.DUMMYFUNCTION("""COMPUTED_VALUE"""),"")</f>
        <v/>
      </c>
      <c r="AA31" s="41" t="str">
        <f>IFERROR(__xludf.DUMMYFUNCTION("""COMPUTED_VALUE"""),"")</f>
        <v/>
      </c>
      <c r="AB31" s="38" t="str">
        <f>IFERROR(__xludf.DUMMYFUNCTION("""COMPUTED_VALUE"""),"")</f>
        <v/>
      </c>
    </row>
    <row r="32">
      <c r="A32" s="41" t="str">
        <f>IFERROR(__xludf.DUMMYFUNCTION("""COMPUTED_VALUE"""),".")</f>
        <v>.</v>
      </c>
      <c r="B32" s="42" t="s">
        <v>1485</v>
      </c>
      <c r="N32" s="38"/>
      <c r="P32" s="42" t="str">
        <f>IFERROR(__xludf.DUMMYFUNCTION("""COMPUTED_VALUE"""),"java")</f>
        <v>java</v>
      </c>
      <c r="Q32" s="41" t="str">
        <f>IFERROR(__xludf.DUMMYFUNCTION("""COMPUTED_VALUE"""),"apigee")</f>
        <v>apigee</v>
      </c>
      <c r="R32" s="41" t="str">
        <f>IFERROR(__xludf.DUMMYFUNCTION("""COMPUTED_VALUE"""),"nodejs")</f>
        <v>nodejs</v>
      </c>
      <c r="S32" s="41" t="str">
        <f>IFERROR(__xludf.DUMMYFUNCTION("""COMPUTED_VALUE"""),"postgresql")</f>
        <v>postgresql</v>
      </c>
      <c r="T32" s="41" t="str">
        <f>IFERROR(__xludf.DUMMYFUNCTION("""COMPUTED_VALUE"""),"mssql")</f>
        <v>mssql</v>
      </c>
      <c r="U32" s="41" t="str">
        <f>IFERROR(__xludf.DUMMYFUNCTION("""COMPUTED_VALUE"""),"sql")</f>
        <v>sql</v>
      </c>
      <c r="V32" s="41" t="str">
        <f>IFERROR(__xludf.DUMMYFUNCTION("""COMPUTED_VALUE"""),"hosting")</f>
        <v>hosting</v>
      </c>
      <c r="W32" s="41" t="str">
        <f>IFERROR(__xludf.DUMMYFUNCTION("""COMPUTED_VALUE"""),"")</f>
        <v/>
      </c>
      <c r="X32" s="41" t="str">
        <f>IFERROR(__xludf.DUMMYFUNCTION("""COMPUTED_VALUE"""),"")</f>
        <v/>
      </c>
      <c r="Y32" s="41" t="str">
        <f>IFERROR(__xludf.DUMMYFUNCTION("""COMPUTED_VALUE"""),"")</f>
        <v/>
      </c>
      <c r="Z32" s="41" t="str">
        <f>IFERROR(__xludf.DUMMYFUNCTION("""COMPUTED_VALUE"""),"")</f>
        <v/>
      </c>
      <c r="AA32" s="41" t="str">
        <f>IFERROR(__xludf.DUMMYFUNCTION("""COMPUTED_VALUE"""),"")</f>
        <v/>
      </c>
      <c r="AB32" s="38" t="str">
        <f>IFERROR(__xludf.DUMMYFUNCTION("""COMPUTED_VALUE"""),"")</f>
        <v/>
      </c>
    </row>
    <row r="33">
      <c r="A33" s="41" t="str">
        <f>IFERROR(__xludf.DUMMYFUNCTION("""COMPUTED_VALUE"""),"Reactjs, MySQL, Postgresql, Elasticsearch, docker, Message queue")</f>
        <v>Reactjs, MySQL, Postgresql, Elasticsearch, docker, Message queue</v>
      </c>
      <c r="B33" s="42" t="s">
        <v>4017</v>
      </c>
      <c r="C33" s="41" t="s">
        <v>4018</v>
      </c>
      <c r="D33" s="41" t="s">
        <v>4019</v>
      </c>
      <c r="E33" s="41" t="s">
        <v>4020</v>
      </c>
      <c r="F33" s="41" t="s">
        <v>4021</v>
      </c>
      <c r="G33" s="41" t="s">
        <v>4022</v>
      </c>
      <c r="N33" s="38"/>
      <c r="P33" s="42" t="str">
        <f>IFERROR(__xludf.DUMMYFUNCTION("""COMPUTED_VALUE"""),"c#")</f>
        <v>c#</v>
      </c>
      <c r="Q33" s="41" t="str">
        <f>IFERROR(__xludf.DUMMYFUNCTION("""COMPUTED_VALUE"""),"and")</f>
        <v>and</v>
      </c>
      <c r="R33" s="41" t="str">
        <f>IFERROR(__xludf.DUMMYFUNCTION("""COMPUTED_VALUE"""),"react")</f>
        <v>react</v>
      </c>
      <c r="S33" s="41" t="str">
        <f>IFERROR(__xludf.DUMMYFUNCTION("""COMPUTED_VALUE"""),"sql")</f>
        <v>sql</v>
      </c>
      <c r="T33" s="41" t="str">
        <f>IFERROR(__xludf.DUMMYFUNCTION("""COMPUTED_VALUE"""),"css")</f>
        <v>css</v>
      </c>
      <c r="U33" s="41" t="str">
        <f>IFERROR(__xludf.DUMMYFUNCTION("""COMPUTED_VALUE"""),"postgresql")</f>
        <v>postgresql</v>
      </c>
      <c r="V33" s="41" t="str">
        <f>IFERROR(__xludf.DUMMYFUNCTION("""COMPUTED_VALUE"""),"ai")</f>
        <v>ai</v>
      </c>
      <c r="W33" s="41" t="str">
        <f>IFERROR(__xludf.DUMMYFUNCTION("""COMPUTED_VALUE"""),"")</f>
        <v/>
      </c>
      <c r="X33" s="41" t="str">
        <f>IFERROR(__xludf.DUMMYFUNCTION("""COMPUTED_VALUE"""),"")</f>
        <v/>
      </c>
      <c r="Y33" s="41" t="str">
        <f>IFERROR(__xludf.DUMMYFUNCTION("""COMPUTED_VALUE"""),"")</f>
        <v/>
      </c>
      <c r="Z33" s="41" t="str">
        <f>IFERROR(__xludf.DUMMYFUNCTION("""COMPUTED_VALUE"""),"")</f>
        <v/>
      </c>
      <c r="AA33" s="41" t="str">
        <f>IFERROR(__xludf.DUMMYFUNCTION("""COMPUTED_VALUE"""),"")</f>
        <v/>
      </c>
      <c r="AB33" s="38" t="str">
        <f>IFERROR(__xludf.DUMMYFUNCTION("""COMPUTED_VALUE"""),"")</f>
        <v/>
      </c>
    </row>
    <row r="34">
      <c r="A34" s="41" t="str">
        <f>IFERROR(__xludf.DUMMYFUNCTION("""COMPUTED_VALUE"""),"Python, Aliyun, Airflow, Superset, Postgres")</f>
        <v>Python, Aliyun, Airflow, Superset, Postgres</v>
      </c>
      <c r="B34" s="42" t="s">
        <v>78</v>
      </c>
      <c r="C34" s="41" t="s">
        <v>4023</v>
      </c>
      <c r="D34" s="41" t="s">
        <v>4024</v>
      </c>
      <c r="E34" s="41" t="s">
        <v>4025</v>
      </c>
      <c r="F34" s="41" t="s">
        <v>4026</v>
      </c>
      <c r="N34" s="38"/>
      <c r="P34" s="42" t="str">
        <f>IFERROR(__xludf.DUMMYFUNCTION("""COMPUTED_VALUE"""),"aws")</f>
        <v>aws</v>
      </c>
      <c r="Q34" s="41" t="str">
        <f>IFERROR(__xludf.DUMMYFUNCTION("""COMPUTED_VALUE"""),"sap")</f>
        <v>sap</v>
      </c>
      <c r="R34" s="41" t="str">
        <f>IFERROR(__xludf.DUMMYFUNCTION("""COMPUTED_VALUE"""),"feathers.js")</f>
        <v>feathers.js</v>
      </c>
      <c r="S34" s="41" t="str">
        <f>IFERROR(__xludf.DUMMYFUNCTION("""COMPUTED_VALUE"""),"aws")</f>
        <v>aws</v>
      </c>
      <c r="T34" s="41" t="str">
        <f>IFERROR(__xludf.DUMMYFUNCTION("""COMPUTED_VALUE"""),"etc")</f>
        <v>etc</v>
      </c>
      <c r="U34" s="41" t="str">
        <f>IFERROR(__xludf.DUMMYFUNCTION("""COMPUTED_VALUE"""),"php")</f>
        <v>php</v>
      </c>
      <c r="V34" s="41" t="str">
        <f>IFERROR(__xludf.DUMMYFUNCTION("""COMPUTED_VALUE"""),"infusion")</f>
        <v>infusion</v>
      </c>
      <c r="W34" s="41" t="str">
        <f>IFERROR(__xludf.DUMMYFUNCTION("""COMPUTED_VALUE"""),"")</f>
        <v/>
      </c>
      <c r="X34" s="41" t="str">
        <f>IFERROR(__xludf.DUMMYFUNCTION("""COMPUTED_VALUE"""),"")</f>
        <v/>
      </c>
      <c r="Y34" s="41" t="str">
        <f>IFERROR(__xludf.DUMMYFUNCTION("""COMPUTED_VALUE"""),"")</f>
        <v/>
      </c>
      <c r="Z34" s="41" t="str">
        <f>IFERROR(__xludf.DUMMYFUNCTION("""COMPUTED_VALUE"""),"")</f>
        <v/>
      </c>
      <c r="AA34" s="41" t="str">
        <f>IFERROR(__xludf.DUMMYFUNCTION("""COMPUTED_VALUE"""),"")</f>
        <v/>
      </c>
      <c r="AB34" s="38" t="str">
        <f>IFERROR(__xludf.DUMMYFUNCTION("""COMPUTED_VALUE"""),"")</f>
        <v/>
      </c>
    </row>
    <row r="35">
      <c r="A35" s="41" t="str">
        <f>IFERROR(__xludf.DUMMYFUNCTION("""COMPUTED_VALUE"""),"API- Muelsoft, Apigee and SAP API manager")</f>
        <v>API- Muelsoft, Apigee and SAP API manager</v>
      </c>
      <c r="B35" s="42" t="s">
        <v>4027</v>
      </c>
      <c r="C35" s="41" t="s">
        <v>4028</v>
      </c>
      <c r="N35" s="38"/>
      <c r="P35" s="42" t="str">
        <f>IFERROR(__xludf.DUMMYFUNCTION("""COMPUTED_VALUE"""),"serverless")</f>
        <v>serverless</v>
      </c>
      <c r="Q35" s="41" t="str">
        <f>IFERROR(__xludf.DUMMYFUNCTION("""COMPUTED_VALUE"""),"api")</f>
        <v>api</v>
      </c>
      <c r="R35" s="41" t="str">
        <f>IFERROR(__xludf.DUMMYFUNCTION("""COMPUTED_VALUE"""),"vm")</f>
        <v>vm</v>
      </c>
      <c r="S35" s="41" t="str">
        <f>IFERROR(__xludf.DUMMYFUNCTION("""COMPUTED_VALUE"""),"php")</f>
        <v>php</v>
      </c>
      <c r="T35" s="41" t="str">
        <f>IFERROR(__xludf.DUMMYFUNCTION("""COMPUTED_VALUE"""),"graphql")</f>
        <v>graphql</v>
      </c>
      <c r="U35" s="41" t="str">
        <f>IFERROR(__xludf.DUMMYFUNCTION("""COMPUTED_VALUE"""),"github")</f>
        <v>github</v>
      </c>
      <c r="V35" s="41" t="str">
        <f>IFERROR(__xludf.DUMMYFUNCTION("""COMPUTED_VALUE"""),"react")</f>
        <v>react</v>
      </c>
      <c r="W35" s="41" t="str">
        <f>IFERROR(__xludf.DUMMYFUNCTION("""COMPUTED_VALUE"""),"")</f>
        <v/>
      </c>
      <c r="X35" s="41" t="str">
        <f>IFERROR(__xludf.DUMMYFUNCTION("""COMPUTED_VALUE"""),"")</f>
        <v/>
      </c>
      <c r="Y35" s="41" t="str">
        <f>IFERROR(__xludf.DUMMYFUNCTION("""COMPUTED_VALUE"""),"")</f>
        <v/>
      </c>
      <c r="Z35" s="41" t="str">
        <f>IFERROR(__xludf.DUMMYFUNCTION("""COMPUTED_VALUE"""),"")</f>
        <v/>
      </c>
      <c r="AA35" s="41" t="str">
        <f>IFERROR(__xludf.DUMMYFUNCTION("""COMPUTED_VALUE"""),"")</f>
        <v/>
      </c>
      <c r="AB35" s="38" t="str">
        <f>IFERROR(__xludf.DUMMYFUNCTION("""COMPUTED_VALUE"""),"")</f>
        <v/>
      </c>
    </row>
    <row r="36">
      <c r="A36" s="41" t="str">
        <f>IFERROR(__xludf.DUMMYFUNCTION("""COMPUTED_VALUE"""),"Slack, Trello")</f>
        <v>Slack, Trello</v>
      </c>
      <c r="B36" s="42" t="s">
        <v>3982</v>
      </c>
      <c r="C36" s="41" t="s">
        <v>4029</v>
      </c>
      <c r="N36" s="38"/>
      <c r="P36" s="42" t="str">
        <f>IFERROR(__xludf.DUMMYFUNCTION("""COMPUTED_VALUE"""),"stack")</f>
        <v>stack</v>
      </c>
      <c r="Q36" s="41" t="str">
        <f>IFERROR(__xludf.DUMMYFUNCTION("""COMPUTED_VALUE"""),"manager")</f>
        <v>manager</v>
      </c>
      <c r="R36" s="41" t="str">
        <f>IFERROR(__xludf.DUMMYFUNCTION("""COMPUTED_VALUE"""),"national")</f>
        <v>national</v>
      </c>
      <c r="S36" s="41" t="str">
        <f>IFERROR(__xludf.DUMMYFUNCTION("""COMPUTED_VALUE"""),"aws")</f>
        <v>aws</v>
      </c>
      <c r="T36" s="41" t="str">
        <f>IFERROR(__xludf.DUMMYFUNCTION("""COMPUTED_VALUE"""),"vscode")</f>
        <v>vscode</v>
      </c>
      <c r="U36" s="41" t="str">
        <f>IFERROR(__xludf.DUMMYFUNCTION("""COMPUTED_VALUE"""),"rabbitmq")</f>
        <v>rabbitmq</v>
      </c>
      <c r="V36" s="41" t="str">
        <f>IFERROR(__xludf.DUMMYFUNCTION("""COMPUTED_VALUE"""),"native")</f>
        <v>native</v>
      </c>
      <c r="W36" s="41" t="str">
        <f>IFERROR(__xludf.DUMMYFUNCTION("""COMPUTED_VALUE"""),"")</f>
        <v/>
      </c>
      <c r="X36" s="41" t="str">
        <f>IFERROR(__xludf.DUMMYFUNCTION("""COMPUTED_VALUE"""),"")</f>
        <v/>
      </c>
      <c r="Y36" s="41" t="str">
        <f>IFERROR(__xludf.DUMMYFUNCTION("""COMPUTED_VALUE"""),"")</f>
        <v/>
      </c>
      <c r="Z36" s="41" t="str">
        <f>IFERROR(__xludf.DUMMYFUNCTION("""COMPUTED_VALUE"""),"")</f>
        <v/>
      </c>
      <c r="AA36" s="41" t="str">
        <f>IFERROR(__xludf.DUMMYFUNCTION("""COMPUTED_VALUE"""),"")</f>
        <v/>
      </c>
      <c r="AB36" s="38" t="str">
        <f>IFERROR(__xludf.DUMMYFUNCTION("""COMPUTED_VALUE"""),"")</f>
        <v/>
      </c>
    </row>
    <row r="37">
      <c r="A37" s="41" t="str">
        <f>IFERROR(__xludf.DUMMYFUNCTION("""COMPUTED_VALUE"""),"Java")</f>
        <v>Java</v>
      </c>
      <c r="B37" s="42" t="s">
        <v>224</v>
      </c>
      <c r="N37" s="38"/>
      <c r="P37" s="42" t="str">
        <f>IFERROR(__xludf.DUMMYFUNCTION("""COMPUTED_VALUE"""),"aws")</f>
        <v>aws</v>
      </c>
      <c r="Q37" s="41" t="str">
        <f>IFERROR(__xludf.DUMMYFUNCTION("""COMPUTED_VALUE"""),"trello")</f>
        <v>trello</v>
      </c>
      <c r="R37" s="41" t="str">
        <f>IFERROR(__xludf.DUMMYFUNCTION("""COMPUTED_VALUE"""),"instruments")</f>
        <v>instruments</v>
      </c>
      <c r="S37" s="41" t="str">
        <f>IFERROR(__xludf.DUMMYFUNCTION("""COMPUTED_VALUE"""),"javascript")</f>
        <v>javascript</v>
      </c>
      <c r="T37" s="41" t="str">
        <f>IFERROR(__xludf.DUMMYFUNCTION("""COMPUTED_VALUE"""),"flutter")</f>
        <v>flutter</v>
      </c>
      <c r="U37" s="41" t="str">
        <f>IFERROR(__xludf.DUMMYFUNCTION("""COMPUTED_VALUE"""),"xcode")</f>
        <v>xcode</v>
      </c>
      <c r="V37" s="41" t="str">
        <f>IFERROR(__xludf.DUMMYFUNCTION("""COMPUTED_VALUE"""),"postgres")</f>
        <v>postgres</v>
      </c>
      <c r="W37" s="41" t="str">
        <f>IFERROR(__xludf.DUMMYFUNCTION("""COMPUTED_VALUE"""),"")</f>
        <v/>
      </c>
      <c r="X37" s="41" t="str">
        <f>IFERROR(__xludf.DUMMYFUNCTION("""COMPUTED_VALUE"""),"")</f>
        <v/>
      </c>
      <c r="Y37" s="41" t="str">
        <f>IFERROR(__xludf.DUMMYFUNCTION("""COMPUTED_VALUE"""),"")</f>
        <v/>
      </c>
      <c r="Z37" s="41" t="str">
        <f>IFERROR(__xludf.DUMMYFUNCTION("""COMPUTED_VALUE"""),"")</f>
        <v/>
      </c>
      <c r="AA37" s="41" t="str">
        <f>IFERROR(__xludf.DUMMYFUNCTION("""COMPUTED_VALUE"""),"")</f>
        <v/>
      </c>
      <c r="AB37" s="38" t="str">
        <f>IFERROR(__xludf.DUMMYFUNCTION("""COMPUTED_VALUE"""),"")</f>
        <v/>
      </c>
    </row>
    <row r="38">
      <c r="A38" s="41" t="str">
        <f>IFERROR(__xludf.DUMMYFUNCTION("""COMPUTED_VALUE"""),"Java MySQL")</f>
        <v>Java MySQL</v>
      </c>
      <c r="B38" s="42" t="s">
        <v>2047</v>
      </c>
      <c r="N38" s="38"/>
      <c r="P38" s="42" t="str">
        <f>IFERROR(__xludf.DUMMYFUNCTION("""COMPUTED_VALUE"""),"json")</f>
        <v>json</v>
      </c>
      <c r="Q38" s="41" t="str">
        <f>IFERROR(__xludf.DUMMYFUNCTION("""COMPUTED_VALUE"""),"jquery")</f>
        <v>jquery</v>
      </c>
      <c r="R38" s="41" t="str">
        <f>IFERROR(__xludf.DUMMYFUNCTION("""COMPUTED_VALUE"""),"(ni-daq)")</f>
        <v>(ni-daq)</v>
      </c>
      <c r="S38" s="41" t="str">
        <f>IFERROR(__xludf.DUMMYFUNCTION("""COMPUTED_VALUE"""),"python.")</f>
        <v>python.</v>
      </c>
      <c r="T38" s="41" t="str">
        <f>IFERROR(__xludf.DUMMYFUNCTION("""COMPUTED_VALUE"""),"html")</f>
        <v>html</v>
      </c>
      <c r="U38" s="41" t="str">
        <f>IFERROR(__xludf.DUMMYFUNCTION("""COMPUTED_VALUE"""),"nodejs")</f>
        <v>nodejs</v>
      </c>
      <c r="V38" s="41" t="str">
        <f>IFERROR(__xludf.DUMMYFUNCTION("""COMPUTED_VALUE"""),"futter")</f>
        <v>futter</v>
      </c>
      <c r="W38" s="41" t="str">
        <f>IFERROR(__xludf.DUMMYFUNCTION("""COMPUTED_VALUE"""),"")</f>
        <v/>
      </c>
      <c r="X38" s="41" t="str">
        <f>IFERROR(__xludf.DUMMYFUNCTION("""COMPUTED_VALUE"""),"")</f>
        <v/>
      </c>
      <c r="Y38" s="41" t="str">
        <f>IFERROR(__xludf.DUMMYFUNCTION("""COMPUTED_VALUE"""),"")</f>
        <v/>
      </c>
      <c r="Z38" s="41" t="str">
        <f>IFERROR(__xludf.DUMMYFUNCTION("""COMPUTED_VALUE"""),"")</f>
        <v/>
      </c>
      <c r="AA38" s="41" t="str">
        <f>IFERROR(__xludf.DUMMYFUNCTION("""COMPUTED_VALUE"""),"")</f>
        <v/>
      </c>
      <c r="AB38" s="38" t="str">
        <f>IFERROR(__xludf.DUMMYFUNCTION("""COMPUTED_VALUE"""),"")</f>
        <v/>
      </c>
    </row>
    <row r="39">
      <c r="A39" s="41" t="str">
        <f>IFERROR(__xludf.DUMMYFUNCTION("""COMPUTED_VALUE"""),"Android studio ")</f>
        <v>Android studio </v>
      </c>
      <c r="B39" s="42" t="s">
        <v>2461</v>
      </c>
      <c r="N39" s="38"/>
      <c r="P39" s="42" t="str">
        <f>IFERROR(__xludf.DUMMYFUNCTION("""COMPUTED_VALUE"""),"golang")</f>
        <v>golang</v>
      </c>
      <c r="Q39" s="41" t="str">
        <f>IFERROR(__xludf.DUMMYFUNCTION("""COMPUTED_VALUE"""),"vuejs")</f>
        <v>vuejs</v>
      </c>
      <c r="R39" s="41" t="str">
        <f>IFERROR(__xludf.DUMMYFUNCTION("""COMPUTED_VALUE"""),"kotlin")</f>
        <v>kotlin</v>
      </c>
      <c r="S39" s="41" t="str">
        <f>IFERROR(__xludf.DUMMYFUNCTION("""COMPUTED_VALUE"""),"mongodb")</f>
        <v>mongodb</v>
      </c>
      <c r="T39" s="41" t="str">
        <f>IFERROR(__xludf.DUMMYFUNCTION("""COMPUTED_VALUE"""),"sap")</f>
        <v>sap</v>
      </c>
      <c r="U39" s="41" t="str">
        <f>IFERROR(__xludf.DUMMYFUNCTION("""COMPUTED_VALUE"""),"linux")</f>
        <v>linux</v>
      </c>
      <c r="V39" s="41" t="str">
        <f>IFERROR(__xludf.DUMMYFUNCTION("""COMPUTED_VALUE"""),"graphql")</f>
        <v>graphql</v>
      </c>
      <c r="W39" s="41" t="str">
        <f>IFERROR(__xludf.DUMMYFUNCTION("""COMPUTED_VALUE"""),"")</f>
        <v/>
      </c>
      <c r="X39" s="41" t="str">
        <f>IFERROR(__xludf.DUMMYFUNCTION("""COMPUTED_VALUE"""),"")</f>
        <v/>
      </c>
      <c r="Y39" s="41" t="str">
        <f>IFERROR(__xludf.DUMMYFUNCTION("""COMPUTED_VALUE"""),"")</f>
        <v/>
      </c>
      <c r="Z39" s="41" t="str">
        <f>IFERROR(__xludf.DUMMYFUNCTION("""COMPUTED_VALUE"""),"")</f>
        <v/>
      </c>
      <c r="AA39" s="41" t="str">
        <f>IFERROR(__xludf.DUMMYFUNCTION("""COMPUTED_VALUE"""),"")</f>
        <v/>
      </c>
      <c r="AB39" s="38" t="str">
        <f>IFERROR(__xludf.DUMMYFUNCTION("""COMPUTED_VALUE"""),"")</f>
        <v/>
      </c>
    </row>
    <row r="40">
      <c r="A40" s="41" t="str">
        <f>IFERROR(__xludf.DUMMYFUNCTION("""COMPUTED_VALUE"""),"C#.Net, Jquery")</f>
        <v>C#.Net, Jquery</v>
      </c>
      <c r="B40" s="42" t="s">
        <v>4030</v>
      </c>
      <c r="C40" s="41" t="s">
        <v>4031</v>
      </c>
      <c r="N40" s="38"/>
      <c r="P40" s="42" t="str">
        <f>IFERROR(__xludf.DUMMYFUNCTION("""COMPUTED_VALUE"""),"delphi")</f>
        <v>delphi</v>
      </c>
      <c r="Q40" s="41" t="str">
        <f>IFERROR(__xludf.DUMMYFUNCTION("""COMPUTED_VALUE"""),"aws")</f>
        <v>aws</v>
      </c>
      <c r="R40" s="41" t="str">
        <f>IFERROR(__xludf.DUMMYFUNCTION("""COMPUTED_VALUE"""),"mssql")</f>
        <v>mssql</v>
      </c>
      <c r="S40" s="41" t="str">
        <f>IFERROR(__xludf.DUMMYFUNCTION("""COMPUTED_VALUE"""),"postgresql")</f>
        <v>postgresql</v>
      </c>
      <c r="T40" s="41" t="str">
        <f>IFERROR(__xludf.DUMMYFUNCTION("""COMPUTED_VALUE"""),"mlflow")</f>
        <v>mlflow</v>
      </c>
      <c r="U40" s="41" t="str">
        <f>IFERROR(__xludf.DUMMYFUNCTION("""COMPUTED_VALUE"""),"python")</f>
        <v>python</v>
      </c>
      <c r="V40" s="41" t="str">
        <f>IFERROR(__xludf.DUMMYFUNCTION("""COMPUTED_VALUE"""),"machine")</f>
        <v>machine</v>
      </c>
      <c r="W40" s="41" t="str">
        <f>IFERROR(__xludf.DUMMYFUNCTION("""COMPUTED_VALUE"""),"")</f>
        <v/>
      </c>
      <c r="X40" s="41" t="str">
        <f>IFERROR(__xludf.DUMMYFUNCTION("""COMPUTED_VALUE"""),"")</f>
        <v/>
      </c>
      <c r="Y40" s="41" t="str">
        <f>IFERROR(__xludf.DUMMYFUNCTION("""COMPUTED_VALUE"""),"")</f>
        <v/>
      </c>
      <c r="Z40" s="41" t="str">
        <f>IFERROR(__xludf.DUMMYFUNCTION("""COMPUTED_VALUE"""),"")</f>
        <v/>
      </c>
      <c r="AA40" s="41" t="str">
        <f>IFERROR(__xludf.DUMMYFUNCTION("""COMPUTED_VALUE"""),"")</f>
        <v/>
      </c>
      <c r="AB40" s="38" t="str">
        <f>IFERROR(__xludf.DUMMYFUNCTION("""COMPUTED_VALUE"""),"")</f>
        <v/>
      </c>
    </row>
    <row r="41">
      <c r="A41" s="41" t="str">
        <f>IFERROR(__xludf.DUMMYFUNCTION("""COMPUTED_VALUE"""),"Java, Vuejs, python")</f>
        <v>Java, Vuejs, python</v>
      </c>
      <c r="B41" s="42" t="s">
        <v>224</v>
      </c>
      <c r="C41" s="41" t="s">
        <v>4032</v>
      </c>
      <c r="D41" s="41" t="s">
        <v>4033</v>
      </c>
      <c r="N41" s="38"/>
      <c r="P41" s="42" t="str">
        <f>IFERROR(__xludf.DUMMYFUNCTION("""COMPUTED_VALUE"""),".")</f>
        <v>.</v>
      </c>
      <c r="Q41" s="41" t="str">
        <f>IFERROR(__xludf.DUMMYFUNCTION("""COMPUTED_VALUE"""),"laravel")</f>
        <v>laravel</v>
      </c>
      <c r="R41" s="41" t="str">
        <f>IFERROR(__xludf.DUMMYFUNCTION("""COMPUTED_VALUE"""),"angular")</f>
        <v>angular</v>
      </c>
      <c r="S41" s="41" t="str">
        <f>IFERROR(__xludf.DUMMYFUNCTION("""COMPUTED_VALUE"""),"azure")</f>
        <v>azure</v>
      </c>
      <c r="T41" s="41" t="str">
        <f>IFERROR(__xludf.DUMMYFUNCTION("""COMPUTED_VALUE"""),"docker")</f>
        <v>docker</v>
      </c>
      <c r="U41" s="41" t="str">
        <f>IFERROR(__xludf.DUMMYFUNCTION("""COMPUTED_VALUE"""),"docker")</f>
        <v>docker</v>
      </c>
      <c r="V41" s="41" t="str">
        <f>IFERROR(__xludf.DUMMYFUNCTION("""COMPUTED_VALUE"""),"learning")</f>
        <v>learning</v>
      </c>
      <c r="W41" s="41" t="str">
        <f>IFERROR(__xludf.DUMMYFUNCTION("""COMPUTED_VALUE"""),"")</f>
        <v/>
      </c>
      <c r="X41" s="41" t="str">
        <f>IFERROR(__xludf.DUMMYFUNCTION("""COMPUTED_VALUE"""),"")</f>
        <v/>
      </c>
      <c r="Y41" s="41" t="str">
        <f>IFERROR(__xludf.DUMMYFUNCTION("""COMPUTED_VALUE"""),"")</f>
        <v/>
      </c>
      <c r="Z41" s="41" t="str">
        <f>IFERROR(__xludf.DUMMYFUNCTION("""COMPUTED_VALUE"""),"")</f>
        <v/>
      </c>
      <c r="AA41" s="41" t="str">
        <f>IFERROR(__xludf.DUMMYFUNCTION("""COMPUTED_VALUE"""),"")</f>
        <v/>
      </c>
      <c r="AB41" s="38" t="str">
        <f>IFERROR(__xludf.DUMMYFUNCTION("""COMPUTED_VALUE"""),"")</f>
        <v/>
      </c>
    </row>
    <row r="42">
      <c r="A42" s="41" t="str">
        <f>IFERROR(__xludf.DUMMYFUNCTION("""COMPUTED_VALUE"""),"nodejs, aws, angular js, github, buildkite")</f>
        <v>nodejs, aws, angular js, github, buildkite</v>
      </c>
      <c r="B42" s="42" t="s">
        <v>4016</v>
      </c>
      <c r="C42" s="41" t="s">
        <v>4034</v>
      </c>
      <c r="D42" s="41" t="s">
        <v>4035</v>
      </c>
      <c r="E42" s="41" t="s">
        <v>4036</v>
      </c>
      <c r="F42" s="41" t="s">
        <v>4037</v>
      </c>
      <c r="N42" s="38"/>
      <c r="P42" s="42" t="str">
        <f>IFERROR(__xludf.DUMMYFUNCTION("""COMPUTED_VALUE"""),"reactjs")</f>
        <v>reactjs</v>
      </c>
      <c r="Q42" s="41" t="str">
        <f>IFERROR(__xludf.DUMMYFUNCTION("""COMPUTED_VALUE"""),"nodejs")</f>
        <v>nodejs</v>
      </c>
      <c r="R42" s="41" t="str">
        <f>IFERROR(__xludf.DUMMYFUNCTION("""COMPUTED_VALUE"""),"ml")</f>
        <v>ml</v>
      </c>
      <c r="S42" s="41" t="str">
        <f>IFERROR(__xludf.DUMMYFUNCTION("""COMPUTED_VALUE"""),"devops")</f>
        <v>devops</v>
      </c>
      <c r="T42" s="41" t="str">
        <f>IFERROR(__xludf.DUMMYFUNCTION("""COMPUTED_VALUE"""),"dynamodb")</f>
        <v>dynamodb</v>
      </c>
      <c r="U42" s="41" t="str">
        <f>IFERROR(__xludf.DUMMYFUNCTION("""COMPUTED_VALUE"""),"dart")</f>
        <v>dart</v>
      </c>
      <c r="V42" s="41" t="str">
        <f>IFERROR(__xludf.DUMMYFUNCTION("""COMPUTED_VALUE"""),"")</f>
        <v/>
      </c>
      <c r="W42" s="41" t="str">
        <f>IFERROR(__xludf.DUMMYFUNCTION("""COMPUTED_VALUE"""),"")</f>
        <v/>
      </c>
      <c r="X42" s="41" t="str">
        <f>IFERROR(__xludf.DUMMYFUNCTION("""COMPUTED_VALUE"""),"")</f>
        <v/>
      </c>
      <c r="Y42" s="41" t="str">
        <f>IFERROR(__xludf.DUMMYFUNCTION("""COMPUTED_VALUE"""),"")</f>
        <v/>
      </c>
      <c r="Z42" s="41" t="str">
        <f>IFERROR(__xludf.DUMMYFUNCTION("""COMPUTED_VALUE"""),"")</f>
        <v/>
      </c>
      <c r="AA42" s="41" t="str">
        <f>IFERROR(__xludf.DUMMYFUNCTION("""COMPUTED_VALUE"""),"")</f>
        <v/>
      </c>
      <c r="AB42" s="38" t="str">
        <f>IFERROR(__xludf.DUMMYFUNCTION("""COMPUTED_VALUE"""),"")</f>
        <v/>
      </c>
    </row>
    <row r="43">
      <c r="A43" s="41" t="str">
        <f>IFERROR(__xludf.DUMMYFUNCTION("""COMPUTED_VALUE"""),"Android Studio")</f>
        <v>Android Studio</v>
      </c>
      <c r="B43" s="42" t="s">
        <v>1009</v>
      </c>
      <c r="N43" s="38"/>
      <c r="P43" s="42" t="str">
        <f>IFERROR(__xludf.DUMMYFUNCTION("""COMPUTED_VALUE"""),"python")</f>
        <v>python</v>
      </c>
      <c r="Q43" s="41" t="str">
        <f>IFERROR(__xludf.DUMMYFUNCTION("""COMPUTED_VALUE"""),"android")</f>
        <v>android</v>
      </c>
      <c r="R43" s="41" t="str">
        <f>IFERROR(__xludf.DUMMYFUNCTION("""COMPUTED_VALUE"""),"flask")</f>
        <v>flask</v>
      </c>
      <c r="S43" s="41" t="str">
        <f>IFERROR(__xludf.DUMMYFUNCTION("""COMPUTED_VALUE"""),"shell")</f>
        <v>shell</v>
      </c>
      <c r="T43" s="41" t="str">
        <f>IFERROR(__xludf.DUMMYFUNCTION("""COMPUTED_VALUE"""),"kubernates")</f>
        <v>kubernates</v>
      </c>
      <c r="U43" s="41" t="str">
        <f>IFERROR(__xludf.DUMMYFUNCTION("""COMPUTED_VALUE"""),"docker")</f>
        <v>docker</v>
      </c>
      <c r="V43" s="41" t="str">
        <f>IFERROR(__xludf.DUMMYFUNCTION("""COMPUTED_VALUE"""),"")</f>
        <v/>
      </c>
      <c r="W43" s="41" t="str">
        <f>IFERROR(__xludf.DUMMYFUNCTION("""COMPUTED_VALUE"""),"")</f>
        <v/>
      </c>
      <c r="X43" s="41" t="str">
        <f>IFERROR(__xludf.DUMMYFUNCTION("""COMPUTED_VALUE"""),"")</f>
        <v/>
      </c>
      <c r="Y43" s="41" t="str">
        <f>IFERROR(__xludf.DUMMYFUNCTION("""COMPUTED_VALUE"""),"")</f>
        <v/>
      </c>
      <c r="Z43" s="41" t="str">
        <f>IFERROR(__xludf.DUMMYFUNCTION("""COMPUTED_VALUE"""),"")</f>
        <v/>
      </c>
      <c r="AA43" s="41" t="str">
        <f>IFERROR(__xludf.DUMMYFUNCTION("""COMPUTED_VALUE"""),"")</f>
        <v/>
      </c>
      <c r="AB43" s="38" t="str">
        <f>IFERROR(__xludf.DUMMYFUNCTION("""COMPUTED_VALUE"""),"")</f>
        <v/>
      </c>
    </row>
    <row r="44">
      <c r="A44" s="41" t="str">
        <f>IFERROR(__xludf.DUMMYFUNCTION("""COMPUTED_VALUE"""),"PHP, Laravel")</f>
        <v>PHP, Laravel</v>
      </c>
      <c r="B44" s="42" t="s">
        <v>44</v>
      </c>
      <c r="C44" s="41" t="s">
        <v>3957</v>
      </c>
      <c r="N44" s="38"/>
      <c r="P44" s="42" t="str">
        <f>IFERROR(__xludf.DUMMYFUNCTION("""COMPUTED_VALUE"""),"api-")</f>
        <v>api-</v>
      </c>
      <c r="Q44" s="41" t="str">
        <f>IFERROR(__xludf.DUMMYFUNCTION("""COMPUTED_VALUE"""),"mysql")</f>
        <v>mysql</v>
      </c>
      <c r="R44" s="41" t="str">
        <f>IFERROR(__xludf.DUMMYFUNCTION("""COMPUTED_VALUE"""),"typescript")</f>
        <v>typescript</v>
      </c>
      <c r="S44" s="41" t="str">
        <f>IFERROR(__xludf.DUMMYFUNCTION("""COMPUTED_VALUE"""),"js")</f>
        <v>js</v>
      </c>
      <c r="T44" s="41" t="str">
        <f>IFERROR(__xludf.DUMMYFUNCTION("""COMPUTED_VALUE"""),"redux/ngrx")</f>
        <v>redux/ngrx</v>
      </c>
      <c r="U44" s="41" t="str">
        <f>IFERROR(__xludf.DUMMYFUNCTION("""COMPUTED_VALUE"""),"git")</f>
        <v>git</v>
      </c>
      <c r="V44" s="41" t="str">
        <f>IFERROR(__xludf.DUMMYFUNCTION("""COMPUTED_VALUE"""),"")</f>
        <v/>
      </c>
      <c r="W44" s="41" t="str">
        <f>IFERROR(__xludf.DUMMYFUNCTION("""COMPUTED_VALUE"""),"")</f>
        <v/>
      </c>
      <c r="X44" s="41" t="str">
        <f>IFERROR(__xludf.DUMMYFUNCTION("""COMPUTED_VALUE"""),"")</f>
        <v/>
      </c>
      <c r="Y44" s="41" t="str">
        <f>IFERROR(__xludf.DUMMYFUNCTION("""COMPUTED_VALUE"""),"")</f>
        <v/>
      </c>
      <c r="Z44" s="41" t="str">
        <f>IFERROR(__xludf.DUMMYFUNCTION("""COMPUTED_VALUE"""),"")</f>
        <v/>
      </c>
      <c r="AA44" s="41" t="str">
        <f>IFERROR(__xludf.DUMMYFUNCTION("""COMPUTED_VALUE"""),"")</f>
        <v/>
      </c>
      <c r="AB44" s="38" t="str">
        <f>IFERROR(__xludf.DUMMYFUNCTION("""COMPUTED_VALUE"""),"")</f>
        <v/>
      </c>
    </row>
    <row r="45">
      <c r="A45" s="41" t="str">
        <f>IFERROR(__xludf.DUMMYFUNCTION("""COMPUTED_VALUE"""),"Angular, NodeJS, Retool")</f>
        <v>Angular, NodeJS, Retool</v>
      </c>
      <c r="B45" s="42" t="s">
        <v>704</v>
      </c>
      <c r="C45" s="41" t="s">
        <v>4038</v>
      </c>
      <c r="D45" s="41" t="s">
        <v>4039</v>
      </c>
      <c r="N45" s="38"/>
      <c r="P45" s="42" t="str">
        <f>IFERROR(__xludf.DUMMYFUNCTION("""COMPUTED_VALUE"""),"muelsoft")</f>
        <v>muelsoft</v>
      </c>
      <c r="Q45" s="41" t="str">
        <f>IFERROR(__xludf.DUMMYFUNCTION("""COMPUTED_VALUE"""),"spring")</f>
        <v>spring</v>
      </c>
      <c r="R45" s="41" t="str">
        <f>IFERROR(__xludf.DUMMYFUNCTION("""COMPUTED_VALUE"""),"spark")</f>
        <v>spark</v>
      </c>
      <c r="S45" s="41" t="str">
        <f>IFERROR(__xludf.DUMMYFUNCTION("""COMPUTED_VALUE"""),"html")</f>
        <v>html</v>
      </c>
      <c r="T45" s="41" t="str">
        <f>IFERROR(__xludf.DUMMYFUNCTION("""COMPUTED_VALUE"""),"firebase")</f>
        <v>firebase</v>
      </c>
      <c r="U45" s="41" t="str">
        <f>IFERROR(__xludf.DUMMYFUNCTION("""COMPUTED_VALUE"""),"codefresh")</f>
        <v>codefresh</v>
      </c>
      <c r="V45" s="41" t="str">
        <f>IFERROR(__xludf.DUMMYFUNCTION("""COMPUTED_VALUE"""),"")</f>
        <v/>
      </c>
      <c r="W45" s="41" t="str">
        <f>IFERROR(__xludf.DUMMYFUNCTION("""COMPUTED_VALUE"""),"")</f>
        <v/>
      </c>
      <c r="X45" s="41" t="str">
        <f>IFERROR(__xludf.DUMMYFUNCTION("""COMPUTED_VALUE"""),"")</f>
        <v/>
      </c>
      <c r="Y45" s="41" t="str">
        <f>IFERROR(__xludf.DUMMYFUNCTION("""COMPUTED_VALUE"""),"")</f>
        <v/>
      </c>
      <c r="Z45" s="41" t="str">
        <f>IFERROR(__xludf.DUMMYFUNCTION("""COMPUTED_VALUE"""),"")</f>
        <v/>
      </c>
      <c r="AA45" s="41" t="str">
        <f>IFERROR(__xludf.DUMMYFUNCTION("""COMPUTED_VALUE"""),"")</f>
        <v/>
      </c>
      <c r="AB45" s="38" t="str">
        <f>IFERROR(__xludf.DUMMYFUNCTION("""COMPUTED_VALUE"""),"")</f>
        <v/>
      </c>
    </row>
    <row r="46">
      <c r="A46" s="41" t="str">
        <f>IFERROR(__xludf.DUMMYFUNCTION("""COMPUTED_VALUE"""),"Flutter, Android")</f>
        <v>Flutter, Android</v>
      </c>
      <c r="B46" s="42" t="s">
        <v>457</v>
      </c>
      <c r="C46" s="41" t="s">
        <v>4040</v>
      </c>
      <c r="N46" s="38"/>
      <c r="P46" s="42" t="str">
        <f>IFERROR(__xludf.DUMMYFUNCTION("""COMPUTED_VALUE"""),"slack")</f>
        <v>slack</v>
      </c>
      <c r="Q46" s="41" t="str">
        <f>IFERROR(__xludf.DUMMYFUNCTION("""COMPUTED_VALUE"""),"flutter")</f>
        <v>flutter</v>
      </c>
      <c r="R46" s="41" t="str">
        <f>IFERROR(__xludf.DUMMYFUNCTION("""COMPUTED_VALUE"""),"java")</f>
        <v>java</v>
      </c>
      <c r="S46" s="41" t="str">
        <f>IFERROR(__xludf.DUMMYFUNCTION("""COMPUTED_VALUE"""),"nodejs")</f>
        <v>nodejs</v>
      </c>
      <c r="T46" s="41" t="str">
        <f>IFERROR(__xludf.DUMMYFUNCTION("""COMPUTED_VALUE"""),".net")</f>
        <v>.net</v>
      </c>
      <c r="U46" s="41" t="str">
        <f>IFERROR(__xludf.DUMMYFUNCTION("""COMPUTED_VALUE"""),"ms")</f>
        <v>ms</v>
      </c>
      <c r="V46" s="41" t="str">
        <f>IFERROR(__xludf.DUMMYFUNCTION("""COMPUTED_VALUE"""),"")</f>
        <v/>
      </c>
      <c r="W46" s="41" t="str">
        <f>IFERROR(__xludf.DUMMYFUNCTION("""COMPUTED_VALUE"""),"")</f>
        <v/>
      </c>
      <c r="X46" s="41" t="str">
        <f>IFERROR(__xludf.DUMMYFUNCTION("""COMPUTED_VALUE"""),"")</f>
        <v/>
      </c>
      <c r="Y46" s="41" t="str">
        <f>IFERROR(__xludf.DUMMYFUNCTION("""COMPUTED_VALUE"""),"")</f>
        <v/>
      </c>
      <c r="Z46" s="41" t="str">
        <f>IFERROR(__xludf.DUMMYFUNCTION("""COMPUTED_VALUE"""),"")</f>
        <v/>
      </c>
      <c r="AA46" s="41" t="str">
        <f>IFERROR(__xludf.DUMMYFUNCTION("""COMPUTED_VALUE"""),"")</f>
        <v/>
      </c>
      <c r="AB46" s="38" t="str">
        <f>IFERROR(__xludf.DUMMYFUNCTION("""COMPUTED_VALUE"""),"")</f>
        <v/>
      </c>
    </row>
    <row r="47">
      <c r="A47" s="41" t="str">
        <f>IFERROR(__xludf.DUMMYFUNCTION("""COMPUTED_VALUE"""),"PHP, MYSQL, AWS")</f>
        <v>PHP, MYSQL, AWS</v>
      </c>
      <c r="B47" s="42" t="s">
        <v>44</v>
      </c>
      <c r="C47" s="41" t="s">
        <v>4041</v>
      </c>
      <c r="D47" s="41" t="s">
        <v>4042</v>
      </c>
      <c r="N47" s="38"/>
      <c r="P47" s="42" t="str">
        <f>IFERROR(__xludf.DUMMYFUNCTION("""COMPUTED_VALUE"""),"java")</f>
        <v>java</v>
      </c>
      <c r="Q47" s="41" t="str">
        <f>IFERROR(__xludf.DUMMYFUNCTION("""COMPUTED_VALUE"""),"electron")</f>
        <v>electron</v>
      </c>
      <c r="R47" s="41" t="str">
        <f>IFERROR(__xludf.DUMMYFUNCTION("""COMPUTED_VALUE"""),"express")</f>
        <v>express</v>
      </c>
      <c r="S47" s="41" t="str">
        <f>IFERROR(__xludf.DUMMYFUNCTION("""COMPUTED_VALUE"""),"css")</f>
        <v>css</v>
      </c>
      <c r="T47" s="41" t="str">
        <f>IFERROR(__xludf.DUMMYFUNCTION("""COMPUTED_VALUE"""),"core")</f>
        <v>core</v>
      </c>
      <c r="U47" s="41" t="str">
        <f>IFERROR(__xludf.DUMMYFUNCTION("""COMPUTED_VALUE"""),"excel")</f>
        <v>excel</v>
      </c>
      <c r="V47" s="41" t="str">
        <f>IFERROR(__xludf.DUMMYFUNCTION("""COMPUTED_VALUE"""),"")</f>
        <v/>
      </c>
      <c r="W47" s="41" t="str">
        <f>IFERROR(__xludf.DUMMYFUNCTION("""COMPUTED_VALUE"""),"")</f>
        <v/>
      </c>
      <c r="X47" s="41" t="str">
        <f>IFERROR(__xludf.DUMMYFUNCTION("""COMPUTED_VALUE"""),"")</f>
        <v/>
      </c>
      <c r="Y47" s="41" t="str">
        <f>IFERROR(__xludf.DUMMYFUNCTION("""COMPUTED_VALUE"""),"")</f>
        <v/>
      </c>
      <c r="Z47" s="41" t="str">
        <f>IFERROR(__xludf.DUMMYFUNCTION("""COMPUTED_VALUE"""),"")</f>
        <v/>
      </c>
      <c r="AA47" s="41" t="str">
        <f>IFERROR(__xludf.DUMMYFUNCTION("""COMPUTED_VALUE"""),"")</f>
        <v/>
      </c>
      <c r="AB47" s="38" t="str">
        <f>IFERROR(__xludf.DUMMYFUNCTION("""COMPUTED_VALUE"""),"")</f>
        <v/>
      </c>
    </row>
    <row r="48">
      <c r="A48" s="41" t="str">
        <f>IFERROR(__xludf.DUMMYFUNCTION("""COMPUTED_VALUE"""),"React Native and nodeJS")</f>
        <v>React Native and nodeJS</v>
      </c>
      <c r="B48" s="42" t="s">
        <v>1221</v>
      </c>
      <c r="N48" s="38"/>
      <c r="P48" s="42" t="str">
        <f>IFERROR(__xludf.DUMMYFUNCTION("""COMPUTED_VALUE"""),"java")</f>
        <v>java</v>
      </c>
      <c r="Q48" s="41" t="str">
        <f>IFERROR(__xludf.DUMMYFUNCTION("""COMPUTED_VALUE"""),"react")</f>
        <v>react</v>
      </c>
      <c r="R48" s="41" t="str">
        <f>IFERROR(__xludf.DUMMYFUNCTION("""COMPUTED_VALUE"""),"python")</f>
        <v>python</v>
      </c>
      <c r="S48" s="41" t="str">
        <f>IFERROR(__xludf.DUMMYFUNCTION("""COMPUTED_VALUE"""),"frontend")</f>
        <v>frontend</v>
      </c>
      <c r="T48" s="41" t="str">
        <f>IFERROR(__xludf.DUMMYFUNCTION("""COMPUTED_VALUE"""),"aws")</f>
        <v>aws</v>
      </c>
      <c r="U48" s="41" t="str">
        <f>IFERROR(__xludf.DUMMYFUNCTION("""COMPUTED_VALUE"""),"react")</f>
        <v>react</v>
      </c>
      <c r="V48" s="41" t="str">
        <f>IFERROR(__xludf.DUMMYFUNCTION("""COMPUTED_VALUE"""),"")</f>
        <v/>
      </c>
      <c r="W48" s="41" t="str">
        <f>IFERROR(__xludf.DUMMYFUNCTION("""COMPUTED_VALUE"""),"")</f>
        <v/>
      </c>
      <c r="X48" s="41" t="str">
        <f>IFERROR(__xludf.DUMMYFUNCTION("""COMPUTED_VALUE"""),"")</f>
        <v/>
      </c>
      <c r="Y48" s="41" t="str">
        <f>IFERROR(__xludf.DUMMYFUNCTION("""COMPUTED_VALUE"""),"")</f>
        <v/>
      </c>
      <c r="Z48" s="41" t="str">
        <f>IFERROR(__xludf.DUMMYFUNCTION("""COMPUTED_VALUE"""),"")</f>
        <v/>
      </c>
      <c r="AA48" s="41" t="str">
        <f>IFERROR(__xludf.DUMMYFUNCTION("""COMPUTED_VALUE"""),"")</f>
        <v/>
      </c>
      <c r="AB48" s="38" t="str">
        <f>IFERROR(__xludf.DUMMYFUNCTION("""COMPUTED_VALUE"""),"")</f>
        <v/>
      </c>
    </row>
    <row r="49">
      <c r="A49" s="41" t="str">
        <f>IFERROR(__xludf.DUMMYFUNCTION("""COMPUTED_VALUE"""),"Java, Spring, Hibernate, Obj-C, Swift.")</f>
        <v>Java, Spring, Hibernate, Obj-C, Swift.</v>
      </c>
      <c r="B49" s="42" t="s">
        <v>224</v>
      </c>
      <c r="C49" s="41" t="s">
        <v>4043</v>
      </c>
      <c r="D49" s="41" t="s">
        <v>4044</v>
      </c>
      <c r="E49" s="41" t="s">
        <v>4045</v>
      </c>
      <c r="F49" s="41" t="s">
        <v>4046</v>
      </c>
      <c r="N49" s="38"/>
      <c r="P49" s="42" t="str">
        <f>IFERROR(__xludf.DUMMYFUNCTION("""COMPUTED_VALUE"""),"mysql")</f>
        <v>mysql</v>
      </c>
      <c r="Q49" s="41" t="str">
        <f>IFERROR(__xludf.DUMMYFUNCTION("""COMPUTED_VALUE"""),"python")</f>
        <v>python</v>
      </c>
      <c r="R49" s="41" t="str">
        <f>IFERROR(__xludf.DUMMYFUNCTION("""COMPUTED_VALUE"""),".net")</f>
        <v>.net</v>
      </c>
      <c r="S49" s="41" t="str">
        <f>IFERROR(__xludf.DUMMYFUNCTION("""COMPUTED_VALUE"""),"html5")</f>
        <v>html5</v>
      </c>
      <c r="T49" s="41" t="str">
        <f>IFERROR(__xludf.DUMMYFUNCTION("""COMPUTED_VALUE"""),"mongodb")</f>
        <v>mongodb</v>
      </c>
      <c r="U49" s="41" t="str">
        <f>IFERROR(__xludf.DUMMYFUNCTION("""COMPUTED_VALUE"""),"native")</f>
        <v>native</v>
      </c>
      <c r="V49" s="41" t="str">
        <f>IFERROR(__xludf.DUMMYFUNCTION("""COMPUTED_VALUE"""),"")</f>
        <v/>
      </c>
      <c r="W49" s="41" t="str">
        <f>IFERROR(__xludf.DUMMYFUNCTION("""COMPUTED_VALUE"""),"")</f>
        <v/>
      </c>
      <c r="X49" s="41" t="str">
        <f>IFERROR(__xludf.DUMMYFUNCTION("""COMPUTED_VALUE"""),"")</f>
        <v/>
      </c>
      <c r="Y49" s="41" t="str">
        <f>IFERROR(__xludf.DUMMYFUNCTION("""COMPUTED_VALUE"""),"")</f>
        <v/>
      </c>
      <c r="Z49" s="41" t="str">
        <f>IFERROR(__xludf.DUMMYFUNCTION("""COMPUTED_VALUE"""),"")</f>
        <v/>
      </c>
      <c r="AA49" s="41" t="str">
        <f>IFERROR(__xludf.DUMMYFUNCTION("""COMPUTED_VALUE"""),"")</f>
        <v/>
      </c>
      <c r="AB49" s="38" t="str">
        <f>IFERROR(__xludf.DUMMYFUNCTION("""COMPUTED_VALUE"""),"")</f>
        <v/>
      </c>
    </row>
    <row r="50">
      <c r="A50" s="41" t="str">
        <f>IFERROR(__xludf.DUMMYFUNCTION("""COMPUTED_VALUE"""),".net")</f>
        <v>.net</v>
      </c>
      <c r="B50" s="42" t="s">
        <v>384</v>
      </c>
      <c r="N50" s="38"/>
      <c r="P50" s="42" t="str">
        <f>IFERROR(__xludf.DUMMYFUNCTION("""COMPUTED_VALUE"""),"android")</f>
        <v>android</v>
      </c>
      <c r="Q50" s="41" t="str">
        <f>IFERROR(__xludf.DUMMYFUNCTION("""COMPUTED_VALUE"""),"node.js")</f>
        <v>node.js</v>
      </c>
      <c r="R50" s="41" t="str">
        <f>IFERROR(__xludf.DUMMYFUNCTION("""COMPUTED_VALUE"""),"tailwindcss")</f>
        <v>tailwindcss</v>
      </c>
      <c r="S50" s="41" t="str">
        <f>IFERROR(__xludf.DUMMYFUNCTION("""COMPUTED_VALUE"""),"mssql")</f>
        <v>mssql</v>
      </c>
      <c r="T50" s="41" t="str">
        <f>IFERROR(__xludf.DUMMYFUNCTION("""COMPUTED_VALUE"""),"ansible")</f>
        <v>ansible</v>
      </c>
      <c r="U50" s="41" t="str">
        <f>IFERROR(__xludf.DUMMYFUNCTION("""COMPUTED_VALUE"""),"data")</f>
        <v>data</v>
      </c>
      <c r="V50" s="41" t="str">
        <f>IFERROR(__xludf.DUMMYFUNCTION("""COMPUTED_VALUE"""),"")</f>
        <v/>
      </c>
      <c r="W50" s="41" t="str">
        <f>IFERROR(__xludf.DUMMYFUNCTION("""COMPUTED_VALUE"""),"")</f>
        <v/>
      </c>
      <c r="X50" s="41" t="str">
        <f>IFERROR(__xludf.DUMMYFUNCTION("""COMPUTED_VALUE"""),"")</f>
        <v/>
      </c>
      <c r="Y50" s="41" t="str">
        <f>IFERROR(__xludf.DUMMYFUNCTION("""COMPUTED_VALUE"""),"")</f>
        <v/>
      </c>
      <c r="Z50" s="41" t="str">
        <f>IFERROR(__xludf.DUMMYFUNCTION("""COMPUTED_VALUE"""),"")</f>
        <v/>
      </c>
      <c r="AA50" s="41" t="str">
        <f>IFERROR(__xludf.DUMMYFUNCTION("""COMPUTED_VALUE"""),"")</f>
        <v/>
      </c>
      <c r="AB50" s="38" t="str">
        <f>IFERROR(__xludf.DUMMYFUNCTION("""COMPUTED_VALUE"""),"")</f>
        <v/>
      </c>
    </row>
    <row r="51">
      <c r="A51" s="41" t="str">
        <f>IFERROR(__xludf.DUMMYFUNCTION("""COMPUTED_VALUE"""),"Angular Spring Boot Docker Kubernetes ")</f>
        <v>Angular Spring Boot Docker Kubernetes </v>
      </c>
      <c r="B51" s="42" t="s">
        <v>2487</v>
      </c>
      <c r="N51" s="38"/>
      <c r="P51" s="42" t="str">
        <f>IFERROR(__xludf.DUMMYFUNCTION("""COMPUTED_VALUE"""),"studio")</f>
        <v>studio</v>
      </c>
      <c r="Q51" s="41" t="str">
        <f>IFERROR(__xludf.DUMMYFUNCTION("""COMPUTED_VALUE"""),"putty")</f>
        <v>putty</v>
      </c>
      <c r="R51" s="41" t="str">
        <f>IFERROR(__xludf.DUMMYFUNCTION("""COMPUTED_VALUE"""),"aws")</f>
        <v>aws</v>
      </c>
      <c r="S51" s="41" t="str">
        <f>IFERROR(__xludf.DUMMYFUNCTION("""COMPUTED_VALUE"""),"css")</f>
        <v>css</v>
      </c>
      <c r="T51" s="41" t="str">
        <f>IFERROR(__xludf.DUMMYFUNCTION("""COMPUTED_VALUE"""),"azure")</f>
        <v>azure</v>
      </c>
      <c r="U51" s="41" t="str">
        <f>IFERROR(__xludf.DUMMYFUNCTION("""COMPUTED_VALUE"""),"distributed")</f>
        <v>distributed</v>
      </c>
      <c r="V51" s="41" t="str">
        <f>IFERROR(__xludf.DUMMYFUNCTION("""COMPUTED_VALUE"""),"")</f>
        <v/>
      </c>
      <c r="W51" s="41" t="str">
        <f>IFERROR(__xludf.DUMMYFUNCTION("""COMPUTED_VALUE"""),"")</f>
        <v/>
      </c>
      <c r="X51" s="41" t="str">
        <f>IFERROR(__xludf.DUMMYFUNCTION("""COMPUTED_VALUE"""),"")</f>
        <v/>
      </c>
      <c r="Y51" s="41" t="str">
        <f>IFERROR(__xludf.DUMMYFUNCTION("""COMPUTED_VALUE"""),"")</f>
        <v/>
      </c>
      <c r="Z51" s="41" t="str">
        <f>IFERROR(__xludf.DUMMYFUNCTION("""COMPUTED_VALUE"""),"")</f>
        <v/>
      </c>
      <c r="AA51" s="41" t="str">
        <f>IFERROR(__xludf.DUMMYFUNCTION("""COMPUTED_VALUE"""),"")</f>
        <v/>
      </c>
      <c r="AB51" s="38" t="str">
        <f>IFERROR(__xludf.DUMMYFUNCTION("""COMPUTED_VALUE"""),"")</f>
        <v/>
      </c>
    </row>
    <row r="52">
      <c r="A52" s="41" t="str">
        <f>IFERROR(__xludf.DUMMYFUNCTION("""COMPUTED_VALUE"""),"Angular, flutter")</f>
        <v>Angular, flutter</v>
      </c>
      <c r="B52" s="42" t="s">
        <v>704</v>
      </c>
      <c r="C52" s="41" t="s">
        <v>3976</v>
      </c>
      <c r="N52" s="38"/>
      <c r="P52" s="42" t="str">
        <f>IFERROR(__xludf.DUMMYFUNCTION("""COMPUTED_VALUE"""),"c#.net")</f>
        <v>c#.net</v>
      </c>
      <c r="Q52" s="41" t="str">
        <f>IFERROR(__xludf.DUMMYFUNCTION("""COMPUTED_VALUE"""),"embedded")</f>
        <v>embedded</v>
      </c>
      <c r="R52" s="41" t="str">
        <f>IFERROR(__xludf.DUMMYFUNCTION("""COMPUTED_VALUE"""),"jquery")</f>
        <v>jquery</v>
      </c>
      <c r="S52" s="41" t="str">
        <f>IFERROR(__xludf.DUMMYFUNCTION("""COMPUTED_VALUE"""),"android")</f>
        <v>android</v>
      </c>
      <c r="T52" s="41" t="str">
        <f>IFERROR(__xludf.DUMMYFUNCTION("""COMPUTED_VALUE"""),"ros")</f>
        <v>ros</v>
      </c>
      <c r="U52" s="41" t="str">
        <f>IFERROR(__xludf.DUMMYFUNCTION("""COMPUTED_VALUE"""),"system")</f>
        <v>system</v>
      </c>
      <c r="V52" s="41" t="str">
        <f>IFERROR(__xludf.DUMMYFUNCTION("""COMPUTED_VALUE"""),"")</f>
        <v/>
      </c>
      <c r="W52" s="41" t="str">
        <f>IFERROR(__xludf.DUMMYFUNCTION("""COMPUTED_VALUE"""),"")</f>
        <v/>
      </c>
      <c r="X52" s="41" t="str">
        <f>IFERROR(__xludf.DUMMYFUNCTION("""COMPUTED_VALUE"""),"")</f>
        <v/>
      </c>
      <c r="Y52" s="41" t="str">
        <f>IFERROR(__xludf.DUMMYFUNCTION("""COMPUTED_VALUE"""),"")</f>
        <v/>
      </c>
      <c r="Z52" s="41" t="str">
        <f>IFERROR(__xludf.DUMMYFUNCTION("""COMPUTED_VALUE"""),"")</f>
        <v/>
      </c>
      <c r="AA52" s="41" t="str">
        <f>IFERROR(__xludf.DUMMYFUNCTION("""COMPUTED_VALUE"""),"")</f>
        <v/>
      </c>
      <c r="AB52" s="38" t="str">
        <f>IFERROR(__xludf.DUMMYFUNCTION("""COMPUTED_VALUE"""),"")</f>
        <v/>
      </c>
    </row>
    <row r="53">
      <c r="A53" s="41" t="str">
        <f>IFERROR(__xludf.DUMMYFUNCTION("""COMPUTED_VALUE"""),"JS, electron, nodejs, react, angular")</f>
        <v>JS, electron, nodejs, react, angular</v>
      </c>
      <c r="B53" s="42" t="s">
        <v>4047</v>
      </c>
      <c r="C53" s="41" t="s">
        <v>4048</v>
      </c>
      <c r="D53" s="41" t="s">
        <v>4049</v>
      </c>
      <c r="E53" s="41" t="s">
        <v>4050</v>
      </c>
      <c r="F53" s="41" t="s">
        <v>4051</v>
      </c>
      <c r="N53" s="38"/>
      <c r="P53" s="42" t="str">
        <f>IFERROR(__xludf.DUMMYFUNCTION("""COMPUTED_VALUE"""),"java")</f>
        <v>java</v>
      </c>
      <c r="Q53" s="41" t="str">
        <f>IFERROR(__xludf.DUMMYFUNCTION("""COMPUTED_VALUE"""),"c")</f>
        <v>c</v>
      </c>
      <c r="R53" s="41" t="str">
        <f>IFERROR(__xludf.DUMMYFUNCTION("""COMPUTED_VALUE"""),"graphql")</f>
        <v>graphql</v>
      </c>
      <c r="S53" s="41" t="str">
        <f>IFERROR(__xludf.DUMMYFUNCTION("""COMPUTED_VALUE"""),"python")</f>
        <v>python</v>
      </c>
      <c r="T53" s="41" t="str">
        <f>IFERROR(__xludf.DUMMYFUNCTION("""COMPUTED_VALUE"""),"jquery")</f>
        <v>jquery</v>
      </c>
      <c r="U53" s="41" t="str">
        <f>IFERROR(__xludf.DUMMYFUNCTION("""COMPUTED_VALUE"""),"git")</f>
        <v>git</v>
      </c>
      <c r="V53" s="41" t="str">
        <f>IFERROR(__xludf.DUMMYFUNCTION("""COMPUTED_VALUE"""),"")</f>
        <v/>
      </c>
      <c r="W53" s="41" t="str">
        <f>IFERROR(__xludf.DUMMYFUNCTION("""COMPUTED_VALUE"""),"")</f>
        <v/>
      </c>
      <c r="X53" s="41" t="str">
        <f>IFERROR(__xludf.DUMMYFUNCTION("""COMPUTED_VALUE"""),"")</f>
        <v/>
      </c>
      <c r="Y53" s="41" t="str">
        <f>IFERROR(__xludf.DUMMYFUNCTION("""COMPUTED_VALUE"""),"")</f>
        <v/>
      </c>
      <c r="Z53" s="41" t="str">
        <f>IFERROR(__xludf.DUMMYFUNCTION("""COMPUTED_VALUE"""),"")</f>
        <v/>
      </c>
      <c r="AA53" s="41" t="str">
        <f>IFERROR(__xludf.DUMMYFUNCTION("""COMPUTED_VALUE"""),"")</f>
        <v/>
      </c>
      <c r="AB53" s="38" t="str">
        <f>IFERROR(__xludf.DUMMYFUNCTION("""COMPUTED_VALUE"""),"")</f>
        <v/>
      </c>
    </row>
    <row r="54">
      <c r="A54" s="41" t="str">
        <f>IFERROR(__xludf.DUMMYFUNCTION("""COMPUTED_VALUE"""),"Java")</f>
        <v>Java</v>
      </c>
      <c r="B54" s="42" t="s">
        <v>224</v>
      </c>
      <c r="N54" s="38"/>
      <c r="P54" s="42" t="str">
        <f>IFERROR(__xludf.DUMMYFUNCTION("""COMPUTED_VALUE"""),"nodejs")</f>
        <v>nodejs</v>
      </c>
      <c r="Q54" s="41" t="str">
        <f>IFERROR(__xludf.DUMMYFUNCTION("""COMPUTED_VALUE"""),"svelte")</f>
        <v>svelte</v>
      </c>
      <c r="R54" s="41" t="str">
        <f>IFERROR(__xludf.DUMMYFUNCTION("""COMPUTED_VALUE"""),"python")</f>
        <v>python</v>
      </c>
      <c r="S54" s="41" t="str">
        <f>IFERROR(__xludf.DUMMYFUNCTION("""COMPUTED_VALUE"""),"workday")</f>
        <v>workday</v>
      </c>
      <c r="T54" s="41" t="str">
        <f>IFERROR(__xludf.DUMMYFUNCTION("""COMPUTED_VALUE"""),"gcp")</f>
        <v>gcp</v>
      </c>
      <c r="U54" s="41" t="str">
        <f>IFERROR(__xludf.DUMMYFUNCTION("""COMPUTED_VALUE"""),"reactjs")</f>
        <v>reactjs</v>
      </c>
      <c r="V54" s="41" t="str">
        <f>IFERROR(__xludf.DUMMYFUNCTION("""COMPUTED_VALUE"""),"")</f>
        <v/>
      </c>
      <c r="W54" s="41" t="str">
        <f>IFERROR(__xludf.DUMMYFUNCTION("""COMPUTED_VALUE"""),"")</f>
        <v/>
      </c>
      <c r="X54" s="41" t="str">
        <f>IFERROR(__xludf.DUMMYFUNCTION("""COMPUTED_VALUE"""),"")</f>
        <v/>
      </c>
      <c r="Y54" s="41" t="str">
        <f>IFERROR(__xludf.DUMMYFUNCTION("""COMPUTED_VALUE"""),"")</f>
        <v/>
      </c>
      <c r="Z54" s="41" t="str">
        <f>IFERROR(__xludf.DUMMYFUNCTION("""COMPUTED_VALUE"""),"")</f>
        <v/>
      </c>
      <c r="AA54" s="41" t="str">
        <f>IFERROR(__xludf.DUMMYFUNCTION("""COMPUTED_VALUE"""),"")</f>
        <v/>
      </c>
      <c r="AB54" s="38" t="str">
        <f>IFERROR(__xludf.DUMMYFUNCTION("""COMPUTED_VALUE"""),"")</f>
        <v/>
      </c>
    </row>
    <row r="55">
      <c r="A55" s="41" t="str">
        <f>IFERROR(__xludf.DUMMYFUNCTION("""COMPUTED_VALUE"""),"React Native")</f>
        <v>React Native</v>
      </c>
      <c r="B55" s="42" t="s">
        <v>549</v>
      </c>
      <c r="N55" s="38"/>
      <c r="P55" s="42" t="str">
        <f>IFERROR(__xludf.DUMMYFUNCTION("""COMPUTED_VALUE"""),"android")</f>
        <v>android</v>
      </c>
      <c r="Q55" s="41" t="str">
        <f>IFERROR(__xludf.DUMMYFUNCTION("""COMPUTED_VALUE"""),"angular")</f>
        <v>angular</v>
      </c>
      <c r="R55" s="41" t="str">
        <f>IFERROR(__xludf.DUMMYFUNCTION("""COMPUTED_VALUE"""),"gis")</f>
        <v>gis</v>
      </c>
      <c r="S55" s="41" t="str">
        <f>IFERROR(__xludf.DUMMYFUNCTION("""COMPUTED_VALUE"""),"javascript")</f>
        <v>javascript</v>
      </c>
      <c r="T55" s="41" t="str">
        <f>IFERROR(__xludf.DUMMYFUNCTION("""COMPUTED_VALUE"""),"mysql")</f>
        <v>mysql</v>
      </c>
      <c r="U55" s="41" t="str">
        <f>IFERROR(__xludf.DUMMYFUNCTION("""COMPUTED_VALUE"""),"newrelic")</f>
        <v>newrelic</v>
      </c>
      <c r="V55" s="41" t="str">
        <f>IFERROR(__xludf.DUMMYFUNCTION("""COMPUTED_VALUE"""),"")</f>
        <v/>
      </c>
      <c r="W55" s="41" t="str">
        <f>IFERROR(__xludf.DUMMYFUNCTION("""COMPUTED_VALUE"""),"")</f>
        <v/>
      </c>
      <c r="X55" s="41" t="str">
        <f>IFERROR(__xludf.DUMMYFUNCTION("""COMPUTED_VALUE"""),"")</f>
        <v/>
      </c>
      <c r="Y55" s="41" t="str">
        <f>IFERROR(__xludf.DUMMYFUNCTION("""COMPUTED_VALUE"""),"")</f>
        <v/>
      </c>
      <c r="Z55" s="41" t="str">
        <f>IFERROR(__xludf.DUMMYFUNCTION("""COMPUTED_VALUE"""),"")</f>
        <v/>
      </c>
      <c r="AA55" s="41" t="str">
        <f>IFERROR(__xludf.DUMMYFUNCTION("""COMPUTED_VALUE"""),"")</f>
        <v/>
      </c>
      <c r="AB55" s="38" t="str">
        <f>IFERROR(__xludf.DUMMYFUNCTION("""COMPUTED_VALUE"""),"")</f>
        <v/>
      </c>
    </row>
    <row r="56">
      <c r="A56" s="41" t="str">
        <f>IFERROR(__xludf.DUMMYFUNCTION("""COMPUTED_VALUE"""),"Golang, React")</f>
        <v>Golang, React</v>
      </c>
      <c r="B56" s="42" t="s">
        <v>1949</v>
      </c>
      <c r="C56" s="41" t="s">
        <v>4012</v>
      </c>
      <c r="N56" s="38"/>
      <c r="P56" s="42" t="str">
        <f>IFERROR(__xludf.DUMMYFUNCTION("""COMPUTED_VALUE"""),"studio")</f>
        <v>studio</v>
      </c>
      <c r="Q56" s="41" t="str">
        <f>IFERROR(__xludf.DUMMYFUNCTION("""COMPUTED_VALUE"""),"spring")</f>
        <v>spring</v>
      </c>
      <c r="R56" s="41" t="str">
        <f>IFERROR(__xludf.DUMMYFUNCTION("""COMPUTED_VALUE"""),"aws")</f>
        <v>aws</v>
      </c>
      <c r="S56" s="41" t="str">
        <f>IFERROR(__xludf.DUMMYFUNCTION("""COMPUTED_VALUE"""),"js")</f>
        <v>js</v>
      </c>
      <c r="T56" s="41" t="str">
        <f>IFERROR(__xludf.DUMMYFUNCTION("""COMPUTED_VALUE"""),"bitbucket")</f>
        <v>bitbucket</v>
      </c>
      <c r="U56" s="41" t="str">
        <f>IFERROR(__xludf.DUMMYFUNCTION("""COMPUTED_VALUE"""),"flutter")</f>
        <v>flutter</v>
      </c>
      <c r="V56" s="41" t="str">
        <f>IFERROR(__xludf.DUMMYFUNCTION("""COMPUTED_VALUE"""),"")</f>
        <v/>
      </c>
      <c r="W56" s="41" t="str">
        <f>IFERROR(__xludf.DUMMYFUNCTION("""COMPUTED_VALUE"""),"")</f>
        <v/>
      </c>
      <c r="X56" s="41" t="str">
        <f>IFERROR(__xludf.DUMMYFUNCTION("""COMPUTED_VALUE"""),"")</f>
        <v/>
      </c>
      <c r="Y56" s="41" t="str">
        <f>IFERROR(__xludf.DUMMYFUNCTION("""COMPUTED_VALUE"""),"")</f>
        <v/>
      </c>
      <c r="Z56" s="41" t="str">
        <f>IFERROR(__xludf.DUMMYFUNCTION("""COMPUTED_VALUE"""),"")</f>
        <v/>
      </c>
      <c r="AA56" s="41" t="str">
        <f>IFERROR(__xludf.DUMMYFUNCTION("""COMPUTED_VALUE"""),"")</f>
        <v/>
      </c>
      <c r="AB56" s="38" t="str">
        <f>IFERROR(__xludf.DUMMYFUNCTION("""COMPUTED_VALUE"""),"")</f>
        <v/>
      </c>
    </row>
    <row r="57">
      <c r="A57" s="45" t="str">
        <f>IFERROR(__xludf.DUMMYFUNCTION("""COMPUTED_VALUE"""),"ASP.NET")</f>
        <v>ASP.NET</v>
      </c>
      <c r="B57" s="42" t="s">
        <v>1350</v>
      </c>
      <c r="N57" s="38"/>
      <c r="P57" s="42" t="str">
        <f>IFERROR(__xludf.DUMMYFUNCTION("""COMPUTED_VALUE"""),"php")</f>
        <v>php</v>
      </c>
      <c r="Q57" s="41" t="str">
        <f>IFERROR(__xludf.DUMMYFUNCTION("""COMPUTED_VALUE"""),"aws")</f>
        <v>aws</v>
      </c>
      <c r="R57" s="41" t="str">
        <f>IFERROR(__xludf.DUMMYFUNCTION("""COMPUTED_VALUE"""),"bootstrap")</f>
        <v>bootstrap</v>
      </c>
      <c r="S57" s="41" t="str">
        <f>IFERROR(__xludf.DUMMYFUNCTION("""COMPUTED_VALUE"""),"power")</f>
        <v>power</v>
      </c>
      <c r="T57" s="41" t="str">
        <f>IFERROR(__xludf.DUMMYFUNCTION("""COMPUTED_VALUE"""),"hbase")</f>
        <v>hbase</v>
      </c>
      <c r="U57" s="41" t="str">
        <f>IFERROR(__xludf.DUMMYFUNCTION("""COMPUTED_VALUE"""),"css")</f>
        <v>css</v>
      </c>
      <c r="V57" s="41" t="str">
        <f>IFERROR(__xludf.DUMMYFUNCTION("""COMPUTED_VALUE"""),"")</f>
        <v/>
      </c>
      <c r="W57" s="41" t="str">
        <f>IFERROR(__xludf.DUMMYFUNCTION("""COMPUTED_VALUE"""),"")</f>
        <v/>
      </c>
      <c r="X57" s="41" t="str">
        <f>IFERROR(__xludf.DUMMYFUNCTION("""COMPUTED_VALUE"""),"")</f>
        <v/>
      </c>
      <c r="Y57" s="41" t="str">
        <f>IFERROR(__xludf.DUMMYFUNCTION("""COMPUTED_VALUE"""),"")</f>
        <v/>
      </c>
      <c r="Z57" s="41" t="str">
        <f>IFERROR(__xludf.DUMMYFUNCTION("""COMPUTED_VALUE"""),"")</f>
        <v/>
      </c>
      <c r="AA57" s="41" t="str">
        <f>IFERROR(__xludf.DUMMYFUNCTION("""COMPUTED_VALUE"""),"")</f>
        <v/>
      </c>
      <c r="AB57" s="38" t="str">
        <f>IFERROR(__xludf.DUMMYFUNCTION("""COMPUTED_VALUE"""),"")</f>
        <v/>
      </c>
    </row>
    <row r="58">
      <c r="A58" s="41" t="str">
        <f>IFERROR(__xludf.DUMMYFUNCTION("""COMPUTED_VALUE"""),"Typescript, Python, React ")</f>
        <v>Typescript, Python, React </v>
      </c>
      <c r="B58" s="42" t="s">
        <v>4052</v>
      </c>
      <c r="C58" s="41" t="s">
        <v>4053</v>
      </c>
      <c r="D58" s="41" t="s">
        <v>4054</v>
      </c>
      <c r="N58" s="38"/>
      <c r="P58" s="42" t="str">
        <f>IFERROR(__xludf.DUMMYFUNCTION("""COMPUTED_VALUE"""),"angular")</f>
        <v>angular</v>
      </c>
      <c r="Q58" s="41" t="str">
        <f>IFERROR(__xludf.DUMMYFUNCTION("""COMPUTED_VALUE"""),"django")</f>
        <v>django</v>
      </c>
      <c r="R58" s="41" t="str">
        <f>IFERROR(__xludf.DUMMYFUNCTION("""COMPUTED_VALUE"""),"sql")</f>
        <v>sql</v>
      </c>
      <c r="S58" s="41" t="str">
        <f>IFERROR(__xludf.DUMMYFUNCTION("""COMPUTED_VALUE"""),"bi")</f>
        <v>bi</v>
      </c>
      <c r="T58" s="41" t="str">
        <f>IFERROR(__xludf.DUMMYFUNCTION("""COMPUTED_VALUE"""),"js")</f>
        <v>js</v>
      </c>
      <c r="U58" s="41" t="str">
        <f>IFERROR(__xludf.DUMMYFUNCTION("""COMPUTED_VALUE"""),"rest")</f>
        <v>rest</v>
      </c>
      <c r="V58" s="41" t="str">
        <f>IFERROR(__xludf.DUMMYFUNCTION("""COMPUTED_VALUE"""),"")</f>
        <v/>
      </c>
      <c r="W58" s="41" t="str">
        <f>IFERROR(__xludf.DUMMYFUNCTION("""COMPUTED_VALUE"""),"")</f>
        <v/>
      </c>
      <c r="X58" s="41" t="str">
        <f>IFERROR(__xludf.DUMMYFUNCTION("""COMPUTED_VALUE"""),"")</f>
        <v/>
      </c>
      <c r="Y58" s="41" t="str">
        <f>IFERROR(__xludf.DUMMYFUNCTION("""COMPUTED_VALUE"""),"")</f>
        <v/>
      </c>
      <c r="Z58" s="41" t="str">
        <f>IFERROR(__xludf.DUMMYFUNCTION("""COMPUTED_VALUE"""),"")</f>
        <v/>
      </c>
      <c r="AA58" s="41" t="str">
        <f>IFERROR(__xludf.DUMMYFUNCTION("""COMPUTED_VALUE"""),"")</f>
        <v/>
      </c>
      <c r="AB58" s="38" t="str">
        <f>IFERROR(__xludf.DUMMYFUNCTION("""COMPUTED_VALUE"""),"")</f>
        <v/>
      </c>
    </row>
    <row r="59">
      <c r="A59" s="41" t="str">
        <f>IFERROR(__xludf.DUMMYFUNCTION("""COMPUTED_VALUE"""),"Laptop")</f>
        <v>Laptop</v>
      </c>
      <c r="B59" s="42" t="s">
        <v>87</v>
      </c>
      <c r="N59" s="38"/>
      <c r="P59" s="42" t="str">
        <f>IFERROR(__xludf.DUMMYFUNCTION("""COMPUTED_VALUE"""),"flutter")</f>
        <v>flutter</v>
      </c>
      <c r="Q59" s="41" t="str">
        <f>IFERROR(__xludf.DUMMYFUNCTION("""COMPUTED_VALUE"""),"react.js")</f>
        <v>react.js</v>
      </c>
      <c r="R59" s="41" t="str">
        <f>IFERROR(__xludf.DUMMYFUNCTION("""COMPUTED_VALUE"""),"elastic")</f>
        <v>elastic</v>
      </c>
      <c r="S59" s="41" t="str">
        <f>IFERROR(__xludf.DUMMYFUNCTION("""COMPUTED_VALUE"""),"apache")</f>
        <v>apache</v>
      </c>
      <c r="T59" s="41" t="str">
        <f>IFERROR(__xludf.DUMMYFUNCTION("""COMPUTED_VALUE"""),"react")</f>
        <v>react</v>
      </c>
      <c r="U59" s="41" t="str">
        <f>IFERROR(__xludf.DUMMYFUNCTION("""COMPUTED_VALUE"""),"api")</f>
        <v>api</v>
      </c>
      <c r="V59" s="41" t="str">
        <f>IFERROR(__xludf.DUMMYFUNCTION("""COMPUTED_VALUE"""),"")</f>
        <v/>
      </c>
      <c r="W59" s="41" t="str">
        <f>IFERROR(__xludf.DUMMYFUNCTION("""COMPUTED_VALUE"""),"")</f>
        <v/>
      </c>
      <c r="X59" s="41" t="str">
        <f>IFERROR(__xludf.DUMMYFUNCTION("""COMPUTED_VALUE"""),"")</f>
        <v/>
      </c>
      <c r="Y59" s="41" t="str">
        <f>IFERROR(__xludf.DUMMYFUNCTION("""COMPUTED_VALUE"""),"")</f>
        <v/>
      </c>
      <c r="Z59" s="41" t="str">
        <f>IFERROR(__xludf.DUMMYFUNCTION("""COMPUTED_VALUE"""),"")</f>
        <v/>
      </c>
      <c r="AA59" s="41" t="str">
        <f>IFERROR(__xludf.DUMMYFUNCTION("""COMPUTED_VALUE"""),"")</f>
        <v/>
      </c>
      <c r="AB59" s="38" t="str">
        <f>IFERROR(__xludf.DUMMYFUNCTION("""COMPUTED_VALUE"""),"")</f>
        <v/>
      </c>
    </row>
    <row r="60">
      <c r="A60" s="41" t="str">
        <f>IFERROR(__xludf.DUMMYFUNCTION("""COMPUTED_VALUE"""),"Vue.Js, Node.Js, Feathers.js, Flutter, Mongo DB")</f>
        <v>Vue.Js, Node.Js, Feathers.js, Flutter, Mongo DB</v>
      </c>
      <c r="B60" s="42" t="s">
        <v>4055</v>
      </c>
      <c r="C60" s="41" t="s">
        <v>4056</v>
      </c>
      <c r="D60" s="41" t="s">
        <v>4057</v>
      </c>
      <c r="E60" s="41" t="s">
        <v>4058</v>
      </c>
      <c r="F60" s="41" t="s">
        <v>4059</v>
      </c>
      <c r="N60" s="38"/>
      <c r="P60" s="42" t="str">
        <f>IFERROR(__xludf.DUMMYFUNCTION("""COMPUTED_VALUE"""),"php")</f>
        <v>php</v>
      </c>
      <c r="Q60" s="41" t="str">
        <f>IFERROR(__xludf.DUMMYFUNCTION("""COMPUTED_VALUE"""),"docker")</f>
        <v>docker</v>
      </c>
      <c r="R60" s="41" t="str">
        <f>IFERROR(__xludf.DUMMYFUNCTION("""COMPUTED_VALUE"""),"nodejs")</f>
        <v>nodejs</v>
      </c>
      <c r="S60" s="41" t="str">
        <f>IFERROR(__xludf.DUMMYFUNCTION("""COMPUTED_VALUE"""),"airflow")</f>
        <v>airflow</v>
      </c>
      <c r="T60" s="41" t="str">
        <f>IFERROR(__xludf.DUMMYFUNCTION("""COMPUTED_VALUE"""),"js")</f>
        <v>js</v>
      </c>
      <c r="U60" s="41" t="str">
        <f>IFERROR(__xludf.DUMMYFUNCTION("""COMPUTED_VALUE"""),"raspberrypi")</f>
        <v>raspberrypi</v>
      </c>
      <c r="V60" s="41" t="str">
        <f>IFERROR(__xludf.DUMMYFUNCTION("""COMPUTED_VALUE"""),"")</f>
        <v/>
      </c>
      <c r="W60" s="41" t="str">
        <f>IFERROR(__xludf.DUMMYFUNCTION("""COMPUTED_VALUE"""),"")</f>
        <v/>
      </c>
      <c r="X60" s="41" t="str">
        <f>IFERROR(__xludf.DUMMYFUNCTION("""COMPUTED_VALUE"""),"")</f>
        <v/>
      </c>
      <c r="Y60" s="41" t="str">
        <f>IFERROR(__xludf.DUMMYFUNCTION("""COMPUTED_VALUE"""),"")</f>
        <v/>
      </c>
      <c r="Z60" s="41" t="str">
        <f>IFERROR(__xludf.DUMMYFUNCTION("""COMPUTED_VALUE"""),"")</f>
        <v/>
      </c>
      <c r="AA60" s="41" t="str">
        <f>IFERROR(__xludf.DUMMYFUNCTION("""COMPUTED_VALUE"""),"")</f>
        <v/>
      </c>
      <c r="AB60" s="38" t="str">
        <f>IFERROR(__xludf.DUMMYFUNCTION("""COMPUTED_VALUE"""),"")</f>
        <v/>
      </c>
    </row>
    <row r="61">
      <c r="A61" s="41" t="str">
        <f>IFERROR(__xludf.DUMMYFUNCTION("""COMPUTED_VALUE"""),"Office 365, Putty, VM, HCI, routing &amp; switching, wifi 5, wifi 6,")</f>
        <v>Office 365, Putty, VM, HCI, routing &amp; switching, wifi 5, wifi 6,</v>
      </c>
      <c r="B61" s="42" t="s">
        <v>4060</v>
      </c>
      <c r="C61" s="41" t="s">
        <v>4061</v>
      </c>
      <c r="D61" s="41" t="s">
        <v>4062</v>
      </c>
      <c r="E61" s="41" t="s">
        <v>4063</v>
      </c>
      <c r="F61" s="41" t="s">
        <v>4064</v>
      </c>
      <c r="G61" s="41" t="s">
        <v>4065</v>
      </c>
      <c r="H61" s="41" t="s">
        <v>4066</v>
      </c>
      <c r="N61" s="38"/>
      <c r="P61" s="42" t="str">
        <f>IFERROR(__xludf.DUMMYFUNCTION("""COMPUTED_VALUE"""),"react")</f>
        <v>react</v>
      </c>
      <c r="Q61" s="41" t="str">
        <f>IFERROR(__xludf.DUMMYFUNCTION("""COMPUTED_VALUE"""),"nodejs")</f>
        <v>nodejs</v>
      </c>
      <c r="R61" s="41" t="str">
        <f>IFERROR(__xludf.DUMMYFUNCTION("""COMPUTED_VALUE"""),"google")</f>
        <v>google</v>
      </c>
      <c r="S61" s="41" t="str">
        <f>IFERROR(__xludf.DUMMYFUNCTION("""COMPUTED_VALUE"""),"kubernetes")</f>
        <v>kubernetes</v>
      </c>
      <c r="T61" s="41" t="str">
        <f>IFERROR(__xludf.DUMMYFUNCTION("""COMPUTED_VALUE"""),"js")</f>
        <v>js</v>
      </c>
      <c r="U61" s="41" t="str">
        <f>IFERROR(__xludf.DUMMYFUNCTION("""COMPUTED_VALUE"""),"")</f>
        <v/>
      </c>
      <c r="V61" s="41" t="str">
        <f>IFERROR(__xludf.DUMMYFUNCTION("""COMPUTED_VALUE"""),"")</f>
        <v/>
      </c>
      <c r="W61" s="41" t="str">
        <f>IFERROR(__xludf.DUMMYFUNCTION("""COMPUTED_VALUE"""),"")</f>
        <v/>
      </c>
      <c r="X61" s="41" t="str">
        <f>IFERROR(__xludf.DUMMYFUNCTION("""COMPUTED_VALUE"""),"")</f>
        <v/>
      </c>
      <c r="Y61" s="41" t="str">
        <f>IFERROR(__xludf.DUMMYFUNCTION("""COMPUTED_VALUE"""),"")</f>
        <v/>
      </c>
      <c r="Z61" s="41" t="str">
        <f>IFERROR(__xludf.DUMMYFUNCTION("""COMPUTED_VALUE"""),"")</f>
        <v/>
      </c>
      <c r="AA61" s="41" t="str">
        <f>IFERROR(__xludf.DUMMYFUNCTION("""COMPUTED_VALUE"""),"")</f>
        <v/>
      </c>
      <c r="AB61" s="38" t="str">
        <f>IFERROR(__xludf.DUMMYFUNCTION("""COMPUTED_VALUE"""),"")</f>
        <v/>
      </c>
    </row>
    <row r="62">
      <c r="A62" s="41" t="str">
        <f>IFERROR(__xludf.DUMMYFUNCTION("""COMPUTED_VALUE"""),"Python(Appium &amp; Selenium) , Embedded C, National Instruments (NI-DAQ) ")</f>
        <v>Python(Appium &amp; Selenium) , Embedded C, National Instruments (NI-DAQ) </v>
      </c>
      <c r="B62" s="42" t="s">
        <v>4067</v>
      </c>
      <c r="C62" s="41" t="s">
        <v>4068</v>
      </c>
      <c r="D62" s="41" t="s">
        <v>4069</v>
      </c>
      <c r="N62" s="38"/>
      <c r="P62" s="42" t="str">
        <f>IFERROR(__xludf.DUMMYFUNCTION("""COMPUTED_VALUE"""),"native")</f>
        <v>native</v>
      </c>
      <c r="Q62" s="41" t="str">
        <f>IFERROR(__xludf.DUMMYFUNCTION("""COMPUTED_VALUE"""),"swift")</f>
        <v>swift</v>
      </c>
      <c r="R62" s="41" t="str">
        <f>IFERROR(__xludf.DUMMYFUNCTION("""COMPUTED_VALUE"""),"cloud")</f>
        <v>cloud</v>
      </c>
      <c r="S62" s="41" t="str">
        <f>IFERROR(__xludf.DUMMYFUNCTION("""COMPUTED_VALUE"""),"lambda")</f>
        <v>lambda</v>
      </c>
      <c r="T62" s="41" t="str">
        <f>IFERROR(__xludf.DUMMYFUNCTION("""COMPUTED_VALUE"""),"mongo")</f>
        <v>mongo</v>
      </c>
      <c r="U62" s="41" t="str">
        <f>IFERROR(__xludf.DUMMYFUNCTION("""COMPUTED_VALUE"""),"")</f>
        <v/>
      </c>
      <c r="V62" s="41" t="str">
        <f>IFERROR(__xludf.DUMMYFUNCTION("""COMPUTED_VALUE"""),"")</f>
        <v/>
      </c>
      <c r="W62" s="41" t="str">
        <f>IFERROR(__xludf.DUMMYFUNCTION("""COMPUTED_VALUE"""),"")</f>
        <v/>
      </c>
      <c r="X62" s="41" t="str">
        <f>IFERROR(__xludf.DUMMYFUNCTION("""COMPUTED_VALUE"""),"")</f>
        <v/>
      </c>
      <c r="Y62" s="41" t="str">
        <f>IFERROR(__xludf.DUMMYFUNCTION("""COMPUTED_VALUE"""),"")</f>
        <v/>
      </c>
      <c r="Z62" s="41" t="str">
        <f>IFERROR(__xludf.DUMMYFUNCTION("""COMPUTED_VALUE"""),"")</f>
        <v/>
      </c>
      <c r="AA62" s="41" t="str">
        <f>IFERROR(__xludf.DUMMYFUNCTION("""COMPUTED_VALUE"""),"")</f>
        <v/>
      </c>
      <c r="AB62" s="38" t="str">
        <f>IFERROR(__xludf.DUMMYFUNCTION("""COMPUTED_VALUE"""),"")</f>
        <v/>
      </c>
    </row>
    <row r="63">
      <c r="A63" s="41" t="str">
        <f>IFERROR(__xludf.DUMMYFUNCTION("""COMPUTED_VALUE"""),"Jetbrains, Svelte, Kotlin, React, Golang, MongoDB")</f>
        <v>Jetbrains, Svelte, Kotlin, React, Golang, MongoDB</v>
      </c>
      <c r="B63" s="42" t="s">
        <v>4070</v>
      </c>
      <c r="C63" s="41" t="s">
        <v>4071</v>
      </c>
      <c r="D63" s="41" t="s">
        <v>4072</v>
      </c>
      <c r="E63" s="41" t="s">
        <v>4012</v>
      </c>
      <c r="F63" s="41" t="s">
        <v>4073</v>
      </c>
      <c r="G63" s="41" t="s">
        <v>4074</v>
      </c>
      <c r="N63" s="38"/>
      <c r="P63" s="42" t="str">
        <f>IFERROR(__xludf.DUMMYFUNCTION("""COMPUTED_VALUE"""),"and")</f>
        <v>and</v>
      </c>
      <c r="Q63" s="41" t="str">
        <f>IFERROR(__xludf.DUMMYFUNCTION("""COMPUTED_VALUE"""),"nextjs")</f>
        <v>nextjs</v>
      </c>
      <c r="R63" s="41" t="str">
        <f>IFERROR(__xludf.DUMMYFUNCTION("""COMPUTED_VALUE"""),"powerbi")</f>
        <v>powerbi</v>
      </c>
      <c r="S63" s="41" t="str">
        <f>IFERROR(__xludf.DUMMYFUNCTION("""COMPUTED_VALUE"""),"ci/cd")</f>
        <v>ci/cd</v>
      </c>
      <c r="T63" s="41" t="str">
        <f>IFERROR(__xludf.DUMMYFUNCTION("""COMPUTED_VALUE"""),"atlas")</f>
        <v>atlas</v>
      </c>
      <c r="U63" s="41" t="str">
        <f>IFERROR(__xludf.DUMMYFUNCTION("""COMPUTED_VALUE"""),"")</f>
        <v/>
      </c>
      <c r="V63" s="41" t="str">
        <f>IFERROR(__xludf.DUMMYFUNCTION("""COMPUTED_VALUE"""),"")</f>
        <v/>
      </c>
      <c r="W63" s="41" t="str">
        <f>IFERROR(__xludf.DUMMYFUNCTION("""COMPUTED_VALUE"""),"")</f>
        <v/>
      </c>
      <c r="X63" s="41" t="str">
        <f>IFERROR(__xludf.DUMMYFUNCTION("""COMPUTED_VALUE"""),"")</f>
        <v/>
      </c>
      <c r="Y63" s="41" t="str">
        <f>IFERROR(__xludf.DUMMYFUNCTION("""COMPUTED_VALUE"""),"")</f>
        <v/>
      </c>
      <c r="Z63" s="41" t="str">
        <f>IFERROR(__xludf.DUMMYFUNCTION("""COMPUTED_VALUE"""),"")</f>
        <v/>
      </c>
      <c r="AA63" s="41" t="str">
        <f>IFERROR(__xludf.DUMMYFUNCTION("""COMPUTED_VALUE"""),"")</f>
        <v/>
      </c>
      <c r="AB63" s="38" t="str">
        <f>IFERROR(__xludf.DUMMYFUNCTION("""COMPUTED_VALUE"""),"")</f>
        <v/>
      </c>
    </row>
    <row r="64">
      <c r="A64" s="41" t="str">
        <f>IFERROR(__xludf.DUMMYFUNCTION("""COMPUTED_VALUE"""),".NET, Angular, Mssql, Firebase, Aws, Windows Server, Team Foundation Server, GitLab")</f>
        <v>.NET, Angular, Mssql, Firebase, Aws, Windows Server, Team Foundation Server, GitLab</v>
      </c>
      <c r="B64" s="42" t="s">
        <v>163</v>
      </c>
      <c r="C64" s="41" t="s">
        <v>3998</v>
      </c>
      <c r="D64" s="41" t="s">
        <v>4075</v>
      </c>
      <c r="E64" s="41" t="s">
        <v>4076</v>
      </c>
      <c r="F64" s="41" t="s">
        <v>4077</v>
      </c>
      <c r="G64" s="41" t="s">
        <v>4078</v>
      </c>
      <c r="H64" s="41" t="s">
        <v>4079</v>
      </c>
      <c r="I64" s="41" t="s">
        <v>4080</v>
      </c>
      <c r="N64" s="38"/>
      <c r="P64" s="42" t="str">
        <f>IFERROR(__xludf.DUMMYFUNCTION("""COMPUTED_VALUE"""),"nodejs")</f>
        <v>nodejs</v>
      </c>
      <c r="Q64" s="41" t="str">
        <f>IFERROR(__xludf.DUMMYFUNCTION("""COMPUTED_VALUE"""),"aws")</f>
        <v>aws</v>
      </c>
      <c r="R64" s="41" t="str">
        <f>IFERROR(__xludf.DUMMYFUNCTION("""COMPUTED_VALUE"""),"redis")</f>
        <v>redis</v>
      </c>
      <c r="S64" s="41" t="str">
        <f>IFERROR(__xludf.DUMMYFUNCTION("""COMPUTED_VALUE"""),"rxjs")</f>
        <v>rxjs</v>
      </c>
      <c r="T64" s="41" t="str">
        <f>IFERROR(__xludf.DUMMYFUNCTION("""COMPUTED_VALUE"""),"react")</f>
        <v>react</v>
      </c>
      <c r="U64" s="41" t="str">
        <f>IFERROR(__xludf.DUMMYFUNCTION("""COMPUTED_VALUE"""),"")</f>
        <v/>
      </c>
      <c r="V64" s="41" t="str">
        <f>IFERROR(__xludf.DUMMYFUNCTION("""COMPUTED_VALUE"""),"")</f>
        <v/>
      </c>
      <c r="W64" s="41" t="str">
        <f>IFERROR(__xludf.DUMMYFUNCTION("""COMPUTED_VALUE"""),"")</f>
        <v/>
      </c>
      <c r="X64" s="41" t="str">
        <f>IFERROR(__xludf.DUMMYFUNCTION("""COMPUTED_VALUE"""),"")</f>
        <v/>
      </c>
      <c r="Y64" s="41" t="str">
        <f>IFERROR(__xludf.DUMMYFUNCTION("""COMPUTED_VALUE"""),"")</f>
        <v/>
      </c>
      <c r="Z64" s="41" t="str">
        <f>IFERROR(__xludf.DUMMYFUNCTION("""COMPUTED_VALUE"""),"")</f>
        <v/>
      </c>
      <c r="AA64" s="41" t="str">
        <f>IFERROR(__xludf.DUMMYFUNCTION("""COMPUTED_VALUE"""),"")</f>
        <v/>
      </c>
      <c r="AB64" s="38" t="str">
        <f>IFERROR(__xludf.DUMMYFUNCTION("""COMPUTED_VALUE"""),"")</f>
        <v/>
      </c>
    </row>
    <row r="65">
      <c r="A65" s="41" t="str">
        <f>IFERROR(__xludf.DUMMYFUNCTION("""COMPUTED_VALUE"""),"Java, Spring, Angular")</f>
        <v>Java, Spring, Angular</v>
      </c>
      <c r="B65" s="42" t="s">
        <v>224</v>
      </c>
      <c r="C65" s="41" t="s">
        <v>4043</v>
      </c>
      <c r="D65" s="41" t="s">
        <v>3998</v>
      </c>
      <c r="N65" s="38"/>
      <c r="P65" s="42" t="str">
        <f>IFERROR(__xludf.DUMMYFUNCTION("""COMPUTED_VALUE"""),"java")</f>
        <v>java</v>
      </c>
      <c r="Q65" s="41" t="str">
        <f>IFERROR(__xludf.DUMMYFUNCTION("""COMPUTED_VALUE"""),"reactjs")</f>
        <v>reactjs</v>
      </c>
      <c r="R65" s="41" t="str">
        <f>IFERROR(__xludf.DUMMYFUNCTION("""COMPUTED_VALUE"""),"mssql")</f>
        <v>mssql</v>
      </c>
      <c r="S65" s="41" t="str">
        <f>IFERROR(__xludf.DUMMYFUNCTION("""COMPUTED_VALUE"""),"c++")</f>
        <v>c++</v>
      </c>
      <c r="T65" s="41" t="str">
        <f>IFERROR(__xludf.DUMMYFUNCTION("""COMPUTED_VALUE"""),"native")</f>
        <v>native</v>
      </c>
      <c r="U65" s="41" t="str">
        <f>IFERROR(__xludf.DUMMYFUNCTION("""COMPUTED_VALUE"""),"")</f>
        <v/>
      </c>
      <c r="V65" s="41" t="str">
        <f>IFERROR(__xludf.DUMMYFUNCTION("""COMPUTED_VALUE"""),"")</f>
        <v/>
      </c>
      <c r="W65" s="41" t="str">
        <f>IFERROR(__xludf.DUMMYFUNCTION("""COMPUTED_VALUE"""),"")</f>
        <v/>
      </c>
      <c r="X65" s="41" t="str">
        <f>IFERROR(__xludf.DUMMYFUNCTION("""COMPUTED_VALUE"""),"")</f>
        <v/>
      </c>
      <c r="Y65" s="41" t="str">
        <f>IFERROR(__xludf.DUMMYFUNCTION("""COMPUTED_VALUE"""),"")</f>
        <v/>
      </c>
      <c r="Z65" s="41" t="str">
        <f>IFERROR(__xludf.DUMMYFUNCTION("""COMPUTED_VALUE"""),"")</f>
        <v/>
      </c>
      <c r="AA65" s="41" t="str">
        <f>IFERROR(__xludf.DUMMYFUNCTION("""COMPUTED_VALUE"""),"")</f>
        <v/>
      </c>
      <c r="AB65" s="38" t="str">
        <f>IFERROR(__xludf.DUMMYFUNCTION("""COMPUTED_VALUE"""),"")</f>
        <v/>
      </c>
    </row>
    <row r="66">
      <c r="A66" s="41" t="str">
        <f>IFERROR(__xludf.DUMMYFUNCTION("""COMPUTED_VALUE"""),"Python, AWS, ML, DL")</f>
        <v>Python, AWS, ML, DL</v>
      </c>
      <c r="B66" s="42" t="s">
        <v>78</v>
      </c>
      <c r="C66" s="41" t="s">
        <v>4042</v>
      </c>
      <c r="D66" s="41" t="s">
        <v>4081</v>
      </c>
      <c r="E66" s="41" t="s">
        <v>4082</v>
      </c>
      <c r="N66" s="38"/>
      <c r="P66" s="42" t="str">
        <f>IFERROR(__xludf.DUMMYFUNCTION("""COMPUTED_VALUE"""),".net")</f>
        <v>.net</v>
      </c>
      <c r="Q66" s="41" t="str">
        <f>IFERROR(__xludf.DUMMYFUNCTION("""COMPUTED_VALUE"""),"c#")</f>
        <v>c#</v>
      </c>
      <c r="R66" s="41" t="str">
        <f>IFERROR(__xludf.DUMMYFUNCTION("""COMPUTED_VALUE"""),"talend")</f>
        <v>talend</v>
      </c>
      <c r="S66" s="41" t="str">
        <f>IFERROR(__xludf.DUMMYFUNCTION("""COMPUTED_VALUE"""),"cloud")</f>
        <v>cloud</v>
      </c>
      <c r="T66" s="41" t="str">
        <f>IFERROR(__xludf.DUMMYFUNCTION("""COMPUTED_VALUE"""),"firebase")</f>
        <v>firebase</v>
      </c>
      <c r="U66" s="41" t="str">
        <f>IFERROR(__xludf.DUMMYFUNCTION("""COMPUTED_VALUE"""),"")</f>
        <v/>
      </c>
      <c r="V66" s="41" t="str">
        <f>IFERROR(__xludf.DUMMYFUNCTION("""COMPUTED_VALUE"""),"")</f>
        <v/>
      </c>
      <c r="W66" s="41" t="str">
        <f>IFERROR(__xludf.DUMMYFUNCTION("""COMPUTED_VALUE"""),"")</f>
        <v/>
      </c>
      <c r="X66" s="41" t="str">
        <f>IFERROR(__xludf.DUMMYFUNCTION("""COMPUTED_VALUE"""),"")</f>
        <v/>
      </c>
      <c r="Y66" s="41" t="str">
        <f>IFERROR(__xludf.DUMMYFUNCTION("""COMPUTED_VALUE"""),"")</f>
        <v/>
      </c>
      <c r="Z66" s="41" t="str">
        <f>IFERROR(__xludf.DUMMYFUNCTION("""COMPUTED_VALUE"""),"")</f>
        <v/>
      </c>
      <c r="AA66" s="41" t="str">
        <f>IFERROR(__xludf.DUMMYFUNCTION("""COMPUTED_VALUE"""),"")</f>
        <v/>
      </c>
      <c r="AB66" s="38" t="str">
        <f>IFERROR(__xludf.DUMMYFUNCTION("""COMPUTED_VALUE"""),"")</f>
        <v/>
      </c>
    </row>
    <row r="67">
      <c r="A67" s="41" t="str">
        <f>IFERROR(__xludf.DUMMYFUNCTION("""COMPUTED_VALUE"""),"Python, Django, Flask, Vue, Quasar, AWS")</f>
        <v>Python, Django, Flask, Vue, Quasar, AWS</v>
      </c>
      <c r="B67" s="42" t="s">
        <v>78</v>
      </c>
      <c r="C67" s="41" t="s">
        <v>4083</v>
      </c>
      <c r="D67" s="41" t="s">
        <v>4084</v>
      </c>
      <c r="E67" s="41" t="s">
        <v>4085</v>
      </c>
      <c r="F67" s="41" t="s">
        <v>4086</v>
      </c>
      <c r="G67" s="41" t="s">
        <v>4042</v>
      </c>
      <c r="N67" s="38"/>
      <c r="P67" s="42" t="str">
        <f>IFERROR(__xludf.DUMMYFUNCTION("""COMPUTED_VALUE"""),"angular")</f>
        <v>angular</v>
      </c>
      <c r="Q67" s="41" t="str">
        <f>IFERROR(__xludf.DUMMYFUNCTION("""COMPUTED_VALUE"""),".net")</f>
        <v>.net</v>
      </c>
      <c r="R67" s="41" t="str">
        <f>IFERROR(__xludf.DUMMYFUNCTION("""COMPUTED_VALUE"""),"ms")</f>
        <v>ms</v>
      </c>
      <c r="S67" s="41" t="str">
        <f>IFERROR(__xludf.DUMMYFUNCTION("""COMPUTED_VALUE"""),"infrastructure")</f>
        <v>infrastructure</v>
      </c>
      <c r="T67" s="41" t="str">
        <f>IFERROR(__xludf.DUMMYFUNCTION("""COMPUTED_VALUE"""),"jquery")</f>
        <v>jquery</v>
      </c>
      <c r="U67" s="41" t="str">
        <f>IFERROR(__xludf.DUMMYFUNCTION("""COMPUTED_VALUE"""),"")</f>
        <v/>
      </c>
      <c r="V67" s="41" t="str">
        <f>IFERROR(__xludf.DUMMYFUNCTION("""COMPUTED_VALUE"""),"")</f>
        <v/>
      </c>
      <c r="W67" s="41" t="str">
        <f>IFERROR(__xludf.DUMMYFUNCTION("""COMPUTED_VALUE"""),"")</f>
        <v/>
      </c>
      <c r="X67" s="41" t="str">
        <f>IFERROR(__xludf.DUMMYFUNCTION("""COMPUTED_VALUE"""),"")</f>
        <v/>
      </c>
      <c r="Y67" s="41" t="str">
        <f>IFERROR(__xludf.DUMMYFUNCTION("""COMPUTED_VALUE"""),"")</f>
        <v/>
      </c>
      <c r="Z67" s="41" t="str">
        <f>IFERROR(__xludf.DUMMYFUNCTION("""COMPUTED_VALUE"""),"")</f>
        <v/>
      </c>
      <c r="AA67" s="41" t="str">
        <f>IFERROR(__xludf.DUMMYFUNCTION("""COMPUTED_VALUE"""),"")</f>
        <v/>
      </c>
      <c r="AB67" s="38" t="str">
        <f>IFERROR(__xludf.DUMMYFUNCTION("""COMPUTED_VALUE"""),"")</f>
        <v/>
      </c>
    </row>
    <row r="68">
      <c r="A68" s="41" t="str">
        <f>IFERROR(__xludf.DUMMYFUNCTION("""COMPUTED_VALUE"""),"node.js, react.js, typescript, postgresql, python")</f>
        <v>node.js, react.js, typescript, postgresql, python</v>
      </c>
      <c r="B68" s="42" t="s">
        <v>1328</v>
      </c>
      <c r="C68" s="41" t="s">
        <v>4087</v>
      </c>
      <c r="D68" s="41" t="s">
        <v>4088</v>
      </c>
      <c r="E68" s="41" t="s">
        <v>4089</v>
      </c>
      <c r="F68" s="41" t="s">
        <v>4033</v>
      </c>
      <c r="N68" s="38"/>
      <c r="P68" s="42" t="str">
        <f>IFERROR(__xludf.DUMMYFUNCTION("""COMPUTED_VALUE"""),"spring")</f>
        <v>spring</v>
      </c>
      <c r="Q68" s="41" t="str">
        <f>IFERROR(__xludf.DUMMYFUNCTION("""COMPUTED_VALUE"""),"vuejs")</f>
        <v>vuejs</v>
      </c>
      <c r="R68" s="41" t="str">
        <f>IFERROR(__xludf.DUMMYFUNCTION("""COMPUTED_VALUE"""),"team")</f>
        <v>team</v>
      </c>
      <c r="S68" s="41" t="str">
        <f>IFERROR(__xludf.DUMMYFUNCTION("""COMPUTED_VALUE"""),"mongodb")</f>
        <v>mongodb</v>
      </c>
      <c r="T68" s="41" t="str">
        <f>IFERROR(__xludf.DUMMYFUNCTION("""COMPUTED_VALUE"""),"oracle")</f>
        <v>oracle</v>
      </c>
      <c r="U68" s="41" t="str">
        <f>IFERROR(__xludf.DUMMYFUNCTION("""COMPUTED_VALUE"""),"")</f>
        <v/>
      </c>
      <c r="V68" s="41" t="str">
        <f>IFERROR(__xludf.DUMMYFUNCTION("""COMPUTED_VALUE"""),"")</f>
        <v/>
      </c>
      <c r="W68" s="41" t="str">
        <f>IFERROR(__xludf.DUMMYFUNCTION("""COMPUTED_VALUE"""),"")</f>
        <v/>
      </c>
      <c r="X68" s="41" t="str">
        <f>IFERROR(__xludf.DUMMYFUNCTION("""COMPUTED_VALUE"""),"")</f>
        <v/>
      </c>
      <c r="Y68" s="41" t="str">
        <f>IFERROR(__xludf.DUMMYFUNCTION("""COMPUTED_VALUE"""),"")</f>
        <v/>
      </c>
      <c r="Z68" s="41" t="str">
        <f>IFERROR(__xludf.DUMMYFUNCTION("""COMPUTED_VALUE"""),"")</f>
        <v/>
      </c>
      <c r="AA68" s="41" t="str">
        <f>IFERROR(__xludf.DUMMYFUNCTION("""COMPUTED_VALUE"""),"")</f>
        <v/>
      </c>
      <c r="AB68" s="38" t="str">
        <f>IFERROR(__xludf.DUMMYFUNCTION("""COMPUTED_VALUE"""),"")</f>
        <v/>
      </c>
    </row>
    <row r="69">
      <c r="A69" s="41" t="str">
        <f>IFERROR(__xludf.DUMMYFUNCTION("""COMPUTED_VALUE"""),"Hp prodesk")</f>
        <v>Hp prodesk</v>
      </c>
      <c r="B69" s="42" t="s">
        <v>909</v>
      </c>
      <c r="N69" s="38"/>
      <c r="P69" s="42" t="str">
        <f>IFERROR(__xludf.DUMMYFUNCTION("""COMPUTED_VALUE"""),"boot")</f>
        <v>boot</v>
      </c>
      <c r="Q69" s="41" t="str">
        <f>IFERROR(__xludf.DUMMYFUNCTION("""COMPUTED_VALUE"""),"aungular")</f>
        <v>aungular</v>
      </c>
      <c r="R69" s="41" t="str">
        <f>IFERROR(__xludf.DUMMYFUNCTION("""COMPUTED_VALUE"""),"python")</f>
        <v>python</v>
      </c>
      <c r="S69" s="41" t="str">
        <f>IFERROR(__xludf.DUMMYFUNCTION("""COMPUTED_VALUE"""),"ci/cd")</f>
        <v>ci/cd</v>
      </c>
      <c r="T69" s="41" t="str">
        <f>IFERROR(__xludf.DUMMYFUNCTION("""COMPUTED_VALUE"""),"mysql")</f>
        <v>mysql</v>
      </c>
      <c r="U69" s="41" t="str">
        <f>IFERROR(__xludf.DUMMYFUNCTION("""COMPUTED_VALUE"""),"")</f>
        <v/>
      </c>
      <c r="V69" s="41" t="str">
        <f>IFERROR(__xludf.DUMMYFUNCTION("""COMPUTED_VALUE"""),"")</f>
        <v/>
      </c>
      <c r="W69" s="41" t="str">
        <f>IFERROR(__xludf.DUMMYFUNCTION("""COMPUTED_VALUE"""),"")</f>
        <v/>
      </c>
      <c r="X69" s="41" t="str">
        <f>IFERROR(__xludf.DUMMYFUNCTION("""COMPUTED_VALUE"""),"")</f>
        <v/>
      </c>
      <c r="Y69" s="41" t="str">
        <f>IFERROR(__xludf.DUMMYFUNCTION("""COMPUTED_VALUE"""),"")</f>
        <v/>
      </c>
      <c r="Z69" s="41" t="str">
        <f>IFERROR(__xludf.DUMMYFUNCTION("""COMPUTED_VALUE"""),"")</f>
        <v/>
      </c>
      <c r="AA69" s="41" t="str">
        <f>IFERROR(__xludf.DUMMYFUNCTION("""COMPUTED_VALUE"""),"")</f>
        <v/>
      </c>
      <c r="AB69" s="38" t="str">
        <f>IFERROR(__xludf.DUMMYFUNCTION("""COMPUTED_VALUE"""),"")</f>
        <v/>
      </c>
    </row>
    <row r="70">
      <c r="A70" s="41" t="str">
        <f>IFERROR(__xludf.DUMMYFUNCTION("""COMPUTED_VALUE"""),"Computer")</f>
        <v>Computer</v>
      </c>
      <c r="B70" s="42" t="s">
        <v>1184</v>
      </c>
      <c r="N70" s="38"/>
      <c r="P70" s="42" t="str">
        <f>IFERROR(__xludf.DUMMYFUNCTION("""COMPUTED_VALUE"""),"docker")</f>
        <v>docker</v>
      </c>
      <c r="Q70" s="41" t="str">
        <f>IFERROR(__xludf.DUMMYFUNCTION("""COMPUTED_VALUE"""),"react")</f>
        <v>react</v>
      </c>
      <c r="R70" s="41" t="str">
        <f>IFERROR(__xludf.DUMMYFUNCTION("""COMPUTED_VALUE"""),"coldfusion")</f>
        <v>coldfusion</v>
      </c>
      <c r="S70" s="41" t="str">
        <f>IFERROR(__xludf.DUMMYFUNCTION("""COMPUTED_VALUE"""),"pipelines")</f>
        <v>pipelines</v>
      </c>
      <c r="T70" s="41" t="str">
        <f>IFERROR(__xludf.DUMMYFUNCTION("""COMPUTED_VALUE"""),"sql")</f>
        <v>sql</v>
      </c>
      <c r="U70" s="41" t="str">
        <f>IFERROR(__xludf.DUMMYFUNCTION("""COMPUTED_VALUE"""),"")</f>
        <v/>
      </c>
      <c r="V70" s="41" t="str">
        <f>IFERROR(__xludf.DUMMYFUNCTION("""COMPUTED_VALUE"""),"")</f>
        <v/>
      </c>
      <c r="W70" s="41" t="str">
        <f>IFERROR(__xludf.DUMMYFUNCTION("""COMPUTED_VALUE"""),"")</f>
        <v/>
      </c>
      <c r="X70" s="41" t="str">
        <f>IFERROR(__xludf.DUMMYFUNCTION("""COMPUTED_VALUE"""),"")</f>
        <v/>
      </c>
      <c r="Y70" s="41" t="str">
        <f>IFERROR(__xludf.DUMMYFUNCTION("""COMPUTED_VALUE"""),"")</f>
        <v/>
      </c>
      <c r="Z70" s="41" t="str">
        <f>IFERROR(__xludf.DUMMYFUNCTION("""COMPUTED_VALUE"""),"")</f>
        <v/>
      </c>
      <c r="AA70" s="41" t="str">
        <f>IFERROR(__xludf.DUMMYFUNCTION("""COMPUTED_VALUE"""),"")</f>
        <v/>
      </c>
      <c r="AB70" s="38" t="str">
        <f>IFERROR(__xludf.DUMMYFUNCTION("""COMPUTED_VALUE"""),"")</f>
        <v/>
      </c>
    </row>
    <row r="71">
      <c r="A71" s="41" t="str">
        <f>IFERROR(__xludf.DUMMYFUNCTION("""COMPUTED_VALUE"""),"Python, Docker, Spark, Jupyter, Excel, Jira, Confluence ")</f>
        <v>Python, Docker, Spark, Jupyter, Excel, Jira, Confluence </v>
      </c>
      <c r="B71" s="42" t="s">
        <v>78</v>
      </c>
      <c r="C71" s="41" t="s">
        <v>4090</v>
      </c>
      <c r="D71" s="41" t="s">
        <v>4091</v>
      </c>
      <c r="E71" s="41" t="s">
        <v>4092</v>
      </c>
      <c r="F71" s="41" t="s">
        <v>4093</v>
      </c>
      <c r="G71" s="41" t="s">
        <v>4094</v>
      </c>
      <c r="H71" s="41" t="s">
        <v>4095</v>
      </c>
      <c r="N71" s="38"/>
      <c r="P71" s="42" t="str">
        <f>IFERROR(__xludf.DUMMYFUNCTION("""COMPUTED_VALUE"""),"kubernetes")</f>
        <v>kubernetes</v>
      </c>
      <c r="Q71" s="41" t="str">
        <f>IFERROR(__xludf.DUMMYFUNCTION("""COMPUTED_VALUE"""),"javascript")</f>
        <v>javascript</v>
      </c>
      <c r="R71" s="41" t="str">
        <f>IFERROR(__xludf.DUMMYFUNCTION("""COMPUTED_VALUE"""),"gcloud")</f>
        <v>gcloud</v>
      </c>
      <c r="S71" s="41" t="str">
        <f>IFERROR(__xludf.DUMMYFUNCTION("""COMPUTED_VALUE"""),"mysql")</f>
        <v>mysql</v>
      </c>
      <c r="T71" s="41" t="str">
        <f>IFERROR(__xludf.DUMMYFUNCTION("""COMPUTED_VALUE"""),"kubernetes")</f>
        <v>kubernetes</v>
      </c>
      <c r="U71" s="41" t="str">
        <f>IFERROR(__xludf.DUMMYFUNCTION("""COMPUTED_VALUE"""),"")</f>
        <v/>
      </c>
      <c r="V71" s="41" t="str">
        <f>IFERROR(__xludf.DUMMYFUNCTION("""COMPUTED_VALUE"""),"")</f>
        <v/>
      </c>
      <c r="W71" s="41" t="str">
        <f>IFERROR(__xludf.DUMMYFUNCTION("""COMPUTED_VALUE"""),"")</f>
        <v/>
      </c>
      <c r="X71" s="41" t="str">
        <f>IFERROR(__xludf.DUMMYFUNCTION("""COMPUTED_VALUE"""),"")</f>
        <v/>
      </c>
      <c r="Y71" s="41" t="str">
        <f>IFERROR(__xludf.DUMMYFUNCTION("""COMPUTED_VALUE"""),"")</f>
        <v/>
      </c>
      <c r="Z71" s="41" t="str">
        <f>IFERROR(__xludf.DUMMYFUNCTION("""COMPUTED_VALUE"""),"")</f>
        <v/>
      </c>
      <c r="AA71" s="41" t="str">
        <f>IFERROR(__xludf.DUMMYFUNCTION("""COMPUTED_VALUE"""),"")</f>
        <v/>
      </c>
      <c r="AB71" s="38" t="str">
        <f>IFERROR(__xludf.DUMMYFUNCTION("""COMPUTED_VALUE"""),"")</f>
        <v/>
      </c>
    </row>
    <row r="72">
      <c r="A72" s="41" t="str">
        <f>IFERROR(__xludf.DUMMYFUNCTION("""COMPUTED_VALUE"""),"React, Nodejs, Java, Python")</f>
        <v>React, Nodejs, Java, Python</v>
      </c>
      <c r="B72" s="42" t="s">
        <v>1979</v>
      </c>
      <c r="C72" s="41" t="s">
        <v>4004</v>
      </c>
      <c r="D72" s="41" t="s">
        <v>4096</v>
      </c>
      <c r="E72" s="41" t="s">
        <v>4053</v>
      </c>
      <c r="N72" s="38"/>
      <c r="P72" s="42" t="str">
        <f>IFERROR(__xludf.DUMMYFUNCTION("""COMPUTED_VALUE"""),"angular")</f>
        <v>angular</v>
      </c>
      <c r="Q72" s="41" t="str">
        <f>IFERROR(__xludf.DUMMYFUNCTION("""COMPUTED_VALUE"""),"javascript")</f>
        <v>javascript</v>
      </c>
      <c r="R72" s="41" t="str">
        <f>IFERROR(__xludf.DUMMYFUNCTION("""COMPUTED_VALUE"""),"(gke")</f>
        <v>(gke</v>
      </c>
      <c r="S72" s="41" t="str">
        <f>IFERROR(__xludf.DUMMYFUNCTION("""COMPUTED_VALUE"""),"reactjs")</f>
        <v>reactjs</v>
      </c>
      <c r="T72" s="41" t="str">
        <f>IFERROR(__xludf.DUMMYFUNCTION("""COMPUTED_VALUE"""),"flutter")</f>
        <v>flutter</v>
      </c>
      <c r="U72" s="41" t="str">
        <f>IFERROR(__xludf.DUMMYFUNCTION("""COMPUTED_VALUE"""),"")</f>
        <v/>
      </c>
      <c r="V72" s="41" t="str">
        <f>IFERROR(__xludf.DUMMYFUNCTION("""COMPUTED_VALUE"""),"")</f>
        <v/>
      </c>
      <c r="W72" s="41" t="str">
        <f>IFERROR(__xludf.DUMMYFUNCTION("""COMPUTED_VALUE"""),"")</f>
        <v/>
      </c>
      <c r="X72" s="41" t="str">
        <f>IFERROR(__xludf.DUMMYFUNCTION("""COMPUTED_VALUE"""),"")</f>
        <v/>
      </c>
      <c r="Y72" s="41" t="str">
        <f>IFERROR(__xludf.DUMMYFUNCTION("""COMPUTED_VALUE"""),"")</f>
        <v/>
      </c>
      <c r="Z72" s="41" t="str">
        <f>IFERROR(__xludf.DUMMYFUNCTION("""COMPUTED_VALUE"""),"")</f>
        <v/>
      </c>
      <c r="AA72" s="41" t="str">
        <f>IFERROR(__xludf.DUMMYFUNCTION("""COMPUTED_VALUE"""),"")</f>
        <v/>
      </c>
      <c r="AB72" s="38" t="str">
        <f>IFERROR(__xludf.DUMMYFUNCTION("""COMPUTED_VALUE"""),"")</f>
        <v/>
      </c>
    </row>
    <row r="73">
      <c r="A73" s="41" t="str">
        <f>IFERROR(__xludf.DUMMYFUNCTION("""COMPUTED_VALUE"""),"Xcode, Swift")</f>
        <v>Xcode, Swift</v>
      </c>
      <c r="B73" s="42" t="s">
        <v>4097</v>
      </c>
      <c r="C73" s="41" t="s">
        <v>4098</v>
      </c>
      <c r="N73" s="38"/>
      <c r="P73" s="42" t="str">
        <f>IFERROR(__xludf.DUMMYFUNCTION("""COMPUTED_VALUE"""),"js")</f>
        <v>js</v>
      </c>
      <c r="Q73" s="41" t="str">
        <f>IFERROR(__xludf.DUMMYFUNCTION("""COMPUTED_VALUE"""),"shell")</f>
        <v>shell</v>
      </c>
      <c r="R73" s="41" t="str">
        <f>IFERROR(__xludf.DUMMYFUNCTION("""COMPUTED_VALUE"""),"mainly)")</f>
        <v>mainly)</v>
      </c>
      <c r="S73" s="41" t="str">
        <f>IFERROR(__xludf.DUMMYFUNCTION("""COMPUTED_VALUE"""),"jenkins")</f>
        <v>jenkins</v>
      </c>
      <c r="T73" s="41" t="str">
        <f>IFERROR(__xludf.DUMMYFUNCTION("""COMPUTED_VALUE"""),"kubernetes")</f>
        <v>kubernetes</v>
      </c>
      <c r="U73" s="41" t="str">
        <f>IFERROR(__xludf.DUMMYFUNCTION("""COMPUTED_VALUE"""),"")</f>
        <v/>
      </c>
      <c r="V73" s="41" t="str">
        <f>IFERROR(__xludf.DUMMYFUNCTION("""COMPUTED_VALUE"""),"")</f>
        <v/>
      </c>
      <c r="W73" s="41" t="str">
        <f>IFERROR(__xludf.DUMMYFUNCTION("""COMPUTED_VALUE"""),"")</f>
        <v/>
      </c>
      <c r="X73" s="41" t="str">
        <f>IFERROR(__xludf.DUMMYFUNCTION("""COMPUTED_VALUE"""),"")</f>
        <v/>
      </c>
      <c r="Y73" s="41" t="str">
        <f>IFERROR(__xludf.DUMMYFUNCTION("""COMPUTED_VALUE"""),"")</f>
        <v/>
      </c>
      <c r="Z73" s="41" t="str">
        <f>IFERROR(__xludf.DUMMYFUNCTION("""COMPUTED_VALUE"""),"")</f>
        <v/>
      </c>
      <c r="AA73" s="41" t="str">
        <f>IFERROR(__xludf.DUMMYFUNCTION("""COMPUTED_VALUE"""),"")</f>
        <v/>
      </c>
      <c r="AB73" s="38" t="str">
        <f>IFERROR(__xludf.DUMMYFUNCTION("""COMPUTED_VALUE"""),"")</f>
        <v/>
      </c>
    </row>
    <row r="74">
      <c r="A74" s="41" t="str">
        <f>IFERROR(__xludf.DUMMYFUNCTION("""COMPUTED_VALUE"""),"React, Nextjs, Express, MongoDB, GCP, Nodejs")</f>
        <v>React, Nextjs, Express, MongoDB, GCP, Nodejs</v>
      </c>
      <c r="B74" s="42" t="s">
        <v>1979</v>
      </c>
      <c r="C74" s="41" t="s">
        <v>4099</v>
      </c>
      <c r="D74" s="41" t="s">
        <v>4100</v>
      </c>
      <c r="E74" s="41" t="s">
        <v>4074</v>
      </c>
      <c r="F74" s="41" t="s">
        <v>4101</v>
      </c>
      <c r="G74" s="41" t="s">
        <v>4004</v>
      </c>
      <c r="N74" s="38"/>
      <c r="P74" s="42" t="str">
        <f>IFERROR(__xludf.DUMMYFUNCTION("""COMPUTED_VALUE"""),"java")</f>
        <v>java</v>
      </c>
      <c r="Q74" s="41" t="str">
        <f>IFERROR(__xludf.DUMMYFUNCTION("""COMPUTED_VALUE"""),"docker")</f>
        <v>docker</v>
      </c>
      <c r="R74" s="41" t="str">
        <f>IFERROR(__xludf.DUMMYFUNCTION("""COMPUTED_VALUE"""),"js")</f>
        <v>js</v>
      </c>
      <c r="S74" s="41" t="str">
        <f>IFERROR(__xludf.DUMMYFUNCTION("""COMPUTED_VALUE"""),"oracle")</f>
        <v>oracle</v>
      </c>
      <c r="T74" s="41" t="str">
        <f>IFERROR(__xludf.DUMMYFUNCTION("""COMPUTED_VALUE"""),"php")</f>
        <v>php</v>
      </c>
      <c r="U74" s="41" t="str">
        <f>IFERROR(__xludf.DUMMYFUNCTION("""COMPUTED_VALUE"""),"")</f>
        <v/>
      </c>
      <c r="V74" s="41" t="str">
        <f>IFERROR(__xludf.DUMMYFUNCTION("""COMPUTED_VALUE"""),"")</f>
        <v/>
      </c>
      <c r="W74" s="41" t="str">
        <f>IFERROR(__xludf.DUMMYFUNCTION("""COMPUTED_VALUE"""),"")</f>
        <v/>
      </c>
      <c r="X74" s="41" t="str">
        <f>IFERROR(__xludf.DUMMYFUNCTION("""COMPUTED_VALUE"""),"")</f>
        <v/>
      </c>
      <c r="Y74" s="41" t="str">
        <f>IFERROR(__xludf.DUMMYFUNCTION("""COMPUTED_VALUE"""),"")</f>
        <v/>
      </c>
      <c r="Z74" s="41" t="str">
        <f>IFERROR(__xludf.DUMMYFUNCTION("""COMPUTED_VALUE"""),"")</f>
        <v/>
      </c>
      <c r="AA74" s="41" t="str">
        <f>IFERROR(__xludf.DUMMYFUNCTION("""COMPUTED_VALUE"""),"")</f>
        <v/>
      </c>
      <c r="AB74" s="38" t="str">
        <f>IFERROR(__xludf.DUMMYFUNCTION("""COMPUTED_VALUE"""),"")</f>
        <v/>
      </c>
    </row>
    <row r="75">
      <c r="A75" s="41" t="str">
        <f>IFERROR(__xludf.DUMMYFUNCTION("""COMPUTED_VALUE"""),"Nodejs, aws, python")</f>
        <v>Nodejs, aws, python</v>
      </c>
      <c r="B75" s="42" t="s">
        <v>4102</v>
      </c>
      <c r="C75" s="41" t="s">
        <v>4034</v>
      </c>
      <c r="D75" s="41" t="s">
        <v>4033</v>
      </c>
      <c r="N75" s="38"/>
      <c r="P75" s="42" t="str">
        <f>IFERROR(__xludf.DUMMYFUNCTION("""COMPUTED_VALUE"""),"react")</f>
        <v>react</v>
      </c>
      <c r="Q75" s="41" t="str">
        <f>IFERROR(__xludf.DUMMYFUNCTION("""COMPUTED_VALUE"""),"gcp")</f>
        <v>gcp</v>
      </c>
      <c r="R75" s="41" t="str">
        <f>IFERROR(__xludf.DUMMYFUNCTION("""COMPUTED_VALUE"""),"hex")</f>
        <v>hex</v>
      </c>
      <c r="S75" s="41" t="str">
        <f>IFERROR(__xludf.DUMMYFUNCTION("""COMPUTED_VALUE"""),"graphql")</f>
        <v>graphql</v>
      </c>
      <c r="T75" s="41" t="str">
        <f>IFERROR(__xludf.DUMMYFUNCTION("""COMPUTED_VALUE"""),"express")</f>
        <v>express</v>
      </c>
      <c r="U75" s="41" t="str">
        <f>IFERROR(__xludf.DUMMYFUNCTION("""COMPUTED_VALUE"""),"")</f>
        <v/>
      </c>
      <c r="V75" s="41" t="str">
        <f>IFERROR(__xludf.DUMMYFUNCTION("""COMPUTED_VALUE"""),"")</f>
        <v/>
      </c>
      <c r="W75" s="41" t="str">
        <f>IFERROR(__xludf.DUMMYFUNCTION("""COMPUTED_VALUE"""),"")</f>
        <v/>
      </c>
      <c r="X75" s="41" t="str">
        <f>IFERROR(__xludf.DUMMYFUNCTION("""COMPUTED_VALUE"""),"")</f>
        <v/>
      </c>
      <c r="Y75" s="41" t="str">
        <f>IFERROR(__xludf.DUMMYFUNCTION("""COMPUTED_VALUE"""),"")</f>
        <v/>
      </c>
      <c r="Z75" s="41" t="str">
        <f>IFERROR(__xludf.DUMMYFUNCTION("""COMPUTED_VALUE"""),"")</f>
        <v/>
      </c>
      <c r="AA75" s="41" t="str">
        <f>IFERROR(__xludf.DUMMYFUNCTION("""COMPUTED_VALUE"""),"")</f>
        <v/>
      </c>
      <c r="AB75" s="38" t="str">
        <f>IFERROR(__xludf.DUMMYFUNCTION("""COMPUTED_VALUE"""),"")</f>
        <v/>
      </c>
    </row>
    <row r="76">
      <c r="A76" s="41" t="str">
        <f>IFERROR(__xludf.DUMMYFUNCTION("""COMPUTED_VALUE"""),"Python ")</f>
        <v>Python </v>
      </c>
      <c r="B76" s="42" t="s">
        <v>2554</v>
      </c>
      <c r="N76" s="38"/>
      <c r="P76" s="42" t="str">
        <f>IFERROR(__xludf.DUMMYFUNCTION("""COMPUTED_VALUE"""),"native")</f>
        <v>native</v>
      </c>
      <c r="Q76" s="41" t="str">
        <f>IFERROR(__xludf.DUMMYFUNCTION("""COMPUTED_VALUE"""),"django")</f>
        <v>django</v>
      </c>
      <c r="R76" s="41" t="str">
        <f>IFERROR(__xludf.DUMMYFUNCTION("""COMPUTED_VALUE"""),"html")</f>
        <v>html</v>
      </c>
      <c r="S76" s="41" t="str">
        <f>IFERROR(__xludf.DUMMYFUNCTION("""COMPUTED_VALUE"""),"jquery")</f>
        <v>jquery</v>
      </c>
      <c r="T76" s="41" t="str">
        <f>IFERROR(__xludf.DUMMYFUNCTION("""COMPUTED_VALUE"""),"nodejs")</f>
        <v>nodejs</v>
      </c>
      <c r="U76" s="41" t="str">
        <f>IFERROR(__xludf.DUMMYFUNCTION("""COMPUTED_VALUE"""),"")</f>
        <v/>
      </c>
      <c r="V76" s="41" t="str">
        <f>IFERROR(__xludf.DUMMYFUNCTION("""COMPUTED_VALUE"""),"")</f>
        <v/>
      </c>
      <c r="W76" s="41" t="str">
        <f>IFERROR(__xludf.DUMMYFUNCTION("""COMPUTED_VALUE"""),"")</f>
        <v/>
      </c>
      <c r="X76" s="41" t="str">
        <f>IFERROR(__xludf.DUMMYFUNCTION("""COMPUTED_VALUE"""),"")</f>
        <v/>
      </c>
      <c r="Y76" s="41" t="str">
        <f>IFERROR(__xludf.DUMMYFUNCTION("""COMPUTED_VALUE"""),"")</f>
        <v/>
      </c>
      <c r="Z76" s="41" t="str">
        <f>IFERROR(__xludf.DUMMYFUNCTION("""COMPUTED_VALUE"""),"")</f>
        <v/>
      </c>
      <c r="AA76" s="41" t="str">
        <f>IFERROR(__xludf.DUMMYFUNCTION("""COMPUTED_VALUE"""),"")</f>
        <v/>
      </c>
      <c r="AB76" s="38" t="str">
        <f>IFERROR(__xludf.DUMMYFUNCTION("""COMPUTED_VALUE"""),"")</f>
        <v/>
      </c>
    </row>
    <row r="77">
      <c r="A77" s="41" t="str">
        <f>IFERROR(__xludf.DUMMYFUNCTION("""COMPUTED_VALUE"""),"C#, ReactJs")</f>
        <v>C#, ReactJs</v>
      </c>
      <c r="B77" s="42" t="s">
        <v>809</v>
      </c>
      <c r="C77" s="41" t="s">
        <v>4103</v>
      </c>
      <c r="N77" s="38"/>
      <c r="P77" s="42" t="str">
        <f>IFERROR(__xludf.DUMMYFUNCTION("""COMPUTED_VALUE"""),"golang")</f>
        <v>golang</v>
      </c>
      <c r="Q77" s="41" t="str">
        <f>IFERROR(__xludf.DUMMYFUNCTION("""COMPUTED_VALUE"""),"java")</f>
        <v>java</v>
      </c>
      <c r="R77" s="41" t="str">
        <f>IFERROR(__xludf.DUMMYFUNCTION("""COMPUTED_VALUE"""),"css")</f>
        <v>css</v>
      </c>
      <c r="S77" s="41" t="str">
        <f>IFERROR(__xludf.DUMMYFUNCTION("""COMPUTED_VALUE"""),"angular")</f>
        <v>angular</v>
      </c>
      <c r="T77" s="41" t="str">
        <f>IFERROR(__xludf.DUMMYFUNCTION("""COMPUTED_VALUE"""),"python")</f>
        <v>python</v>
      </c>
      <c r="U77" s="41" t="str">
        <f>IFERROR(__xludf.DUMMYFUNCTION("""COMPUTED_VALUE"""),"")</f>
        <v/>
      </c>
      <c r="V77" s="41" t="str">
        <f>IFERROR(__xludf.DUMMYFUNCTION("""COMPUTED_VALUE"""),"")</f>
        <v/>
      </c>
      <c r="W77" s="41" t="str">
        <f>IFERROR(__xludf.DUMMYFUNCTION("""COMPUTED_VALUE"""),"")</f>
        <v/>
      </c>
      <c r="X77" s="41" t="str">
        <f>IFERROR(__xludf.DUMMYFUNCTION("""COMPUTED_VALUE"""),"")</f>
        <v/>
      </c>
      <c r="Y77" s="41" t="str">
        <f>IFERROR(__xludf.DUMMYFUNCTION("""COMPUTED_VALUE"""),"")</f>
        <v/>
      </c>
      <c r="Z77" s="41" t="str">
        <f>IFERROR(__xludf.DUMMYFUNCTION("""COMPUTED_VALUE"""),"")</f>
        <v/>
      </c>
      <c r="AA77" s="41" t="str">
        <f>IFERROR(__xludf.DUMMYFUNCTION("""COMPUTED_VALUE"""),"")</f>
        <v/>
      </c>
      <c r="AB77" s="38" t="str">
        <f>IFERROR(__xludf.DUMMYFUNCTION("""COMPUTED_VALUE"""),"")</f>
        <v/>
      </c>
    </row>
    <row r="78">
      <c r="A78" s="41" t="str">
        <f>IFERROR(__xludf.DUMMYFUNCTION("""COMPUTED_VALUE"""),"Java, C#, .NET, Spring boot, Ms sql, Svn")</f>
        <v>Java, C#, .NET, Spring boot, Ms sql, Svn</v>
      </c>
      <c r="B78" s="42" t="s">
        <v>224</v>
      </c>
      <c r="C78" s="41" t="s">
        <v>3975</v>
      </c>
      <c r="D78" s="41" t="s">
        <v>4000</v>
      </c>
      <c r="E78" s="41" t="s">
        <v>4104</v>
      </c>
      <c r="F78" s="41" t="s">
        <v>4105</v>
      </c>
      <c r="G78" s="41" t="s">
        <v>4106</v>
      </c>
      <c r="N78" s="38"/>
      <c r="P78" s="46" t="str">
        <f>IFERROR(__xludf.DUMMYFUNCTION("""COMPUTED_VALUE"""),"asp.net")</f>
        <v>asp.net</v>
      </c>
      <c r="Q78" s="41" t="str">
        <f>IFERROR(__xludf.DUMMYFUNCTION("""COMPUTED_VALUE"""),"azure")</f>
        <v>azure</v>
      </c>
      <c r="R78" s="41" t="str">
        <f>IFERROR(__xludf.DUMMYFUNCTION("""COMPUTED_VALUE"""),"js")</f>
        <v>js</v>
      </c>
      <c r="S78" s="41" t="str">
        <f>IFERROR(__xludf.DUMMYFUNCTION("""COMPUTED_VALUE"""),"workbench")</f>
        <v>workbench</v>
      </c>
      <c r="T78" s="41" t="str">
        <f>IFERROR(__xludf.DUMMYFUNCTION("""COMPUTED_VALUE"""),"bitrise")</f>
        <v>bitrise</v>
      </c>
      <c r="U78" s="41" t="str">
        <f>IFERROR(__xludf.DUMMYFUNCTION("""COMPUTED_VALUE"""),"")</f>
        <v/>
      </c>
      <c r="V78" s="41" t="str">
        <f>IFERROR(__xludf.DUMMYFUNCTION("""COMPUTED_VALUE"""),"")</f>
        <v/>
      </c>
      <c r="W78" s="41" t="str">
        <f>IFERROR(__xludf.DUMMYFUNCTION("""COMPUTED_VALUE"""),"")</f>
        <v/>
      </c>
      <c r="X78" s="41" t="str">
        <f>IFERROR(__xludf.DUMMYFUNCTION("""COMPUTED_VALUE"""),"")</f>
        <v/>
      </c>
      <c r="Y78" s="41" t="str">
        <f>IFERROR(__xludf.DUMMYFUNCTION("""COMPUTED_VALUE"""),"")</f>
        <v/>
      </c>
      <c r="Z78" s="41" t="str">
        <f>IFERROR(__xludf.DUMMYFUNCTION("""COMPUTED_VALUE"""),"")</f>
        <v/>
      </c>
      <c r="AA78" s="41" t="str">
        <f>IFERROR(__xludf.DUMMYFUNCTION("""COMPUTED_VALUE"""),"")</f>
        <v/>
      </c>
      <c r="AB78" s="38" t="str">
        <f>IFERROR(__xludf.DUMMYFUNCTION("""COMPUTED_VALUE"""),"")</f>
        <v/>
      </c>
    </row>
    <row r="79">
      <c r="A79" s="41" t="str">
        <f>IFERROR(__xludf.DUMMYFUNCTION("""COMPUTED_VALUE"""),"Jsp, .Net")</f>
        <v>Jsp, .Net</v>
      </c>
      <c r="B79" s="42" t="s">
        <v>4107</v>
      </c>
      <c r="C79" s="41" t="s">
        <v>4108</v>
      </c>
      <c r="N79" s="38"/>
      <c r="P79" s="42" t="str">
        <f>IFERROR(__xludf.DUMMYFUNCTION("""COMPUTED_VALUE"""),"typescript")</f>
        <v>typescript</v>
      </c>
      <c r="Q79" s="41" t="str">
        <f>IFERROR(__xludf.DUMMYFUNCTION("""COMPUTED_VALUE"""),"spring-boot")</f>
        <v>spring-boot</v>
      </c>
      <c r="R79" s="41" t="str">
        <f>IFERROR(__xludf.DUMMYFUNCTION("""COMPUTED_VALUE"""),"javascript")</f>
        <v>javascript</v>
      </c>
      <c r="S79" s="41" t="str">
        <f>IFERROR(__xludf.DUMMYFUNCTION("""COMPUTED_VALUE"""),"html")</f>
        <v>html</v>
      </c>
      <c r="T79" s="41" t="str">
        <f>IFERROR(__xludf.DUMMYFUNCTION("""COMPUTED_VALUE"""),"vuejs")</f>
        <v>vuejs</v>
      </c>
      <c r="U79" s="41" t="str">
        <f>IFERROR(__xludf.DUMMYFUNCTION("""COMPUTED_VALUE"""),"")</f>
        <v/>
      </c>
      <c r="V79" s="41" t="str">
        <f>IFERROR(__xludf.DUMMYFUNCTION("""COMPUTED_VALUE"""),"")</f>
        <v/>
      </c>
      <c r="W79" s="41" t="str">
        <f>IFERROR(__xludf.DUMMYFUNCTION("""COMPUTED_VALUE"""),"")</f>
        <v/>
      </c>
      <c r="X79" s="41" t="str">
        <f>IFERROR(__xludf.DUMMYFUNCTION("""COMPUTED_VALUE"""),"")</f>
        <v/>
      </c>
      <c r="Y79" s="41" t="str">
        <f>IFERROR(__xludf.DUMMYFUNCTION("""COMPUTED_VALUE"""),"")</f>
        <v/>
      </c>
      <c r="Z79" s="41" t="str">
        <f>IFERROR(__xludf.DUMMYFUNCTION("""COMPUTED_VALUE"""),"")</f>
        <v/>
      </c>
      <c r="AA79" s="41" t="str">
        <f>IFERROR(__xludf.DUMMYFUNCTION("""COMPUTED_VALUE"""),"")</f>
        <v/>
      </c>
      <c r="AB79" s="38" t="str">
        <f>IFERROR(__xludf.DUMMYFUNCTION("""COMPUTED_VALUE"""),"")</f>
        <v/>
      </c>
    </row>
    <row r="80">
      <c r="A80" s="41" t="str">
        <f>IFERROR(__xludf.DUMMYFUNCTION("""COMPUTED_VALUE"""),"Laravel,Vuejs,TailwindCSS")</f>
        <v>Laravel,Vuejs,TailwindCSS</v>
      </c>
      <c r="B80" s="42" t="s">
        <v>103</v>
      </c>
      <c r="C80" s="41" t="s">
        <v>3717</v>
      </c>
      <c r="D80" s="41" t="s">
        <v>4109</v>
      </c>
      <c r="N80" s="38"/>
      <c r="P80" s="42" t="str">
        <f>IFERROR(__xludf.DUMMYFUNCTION("""COMPUTED_VALUE"""),"laptop")</f>
        <v>laptop</v>
      </c>
      <c r="Q80" s="41" t="str">
        <f>IFERROR(__xludf.DUMMYFUNCTION("""COMPUTED_VALUE"""),"reactjs")</f>
        <v>reactjs</v>
      </c>
      <c r="R80" s="41" t="str">
        <f>IFERROR(__xludf.DUMMYFUNCTION("""COMPUTED_VALUE"""),"aws")</f>
        <v>aws</v>
      </c>
      <c r="S80" s="41" t="str">
        <f>IFERROR(__xludf.DUMMYFUNCTION("""COMPUTED_VALUE"""),"aws")</f>
        <v>aws</v>
      </c>
      <c r="T80" s="41" t="str">
        <f>IFERROR(__xludf.DUMMYFUNCTION("""COMPUTED_VALUE"""),"wordpress")</f>
        <v>wordpress</v>
      </c>
      <c r="U80" s="41" t="str">
        <f>IFERROR(__xludf.DUMMYFUNCTION("""COMPUTED_VALUE"""),"")</f>
        <v/>
      </c>
      <c r="V80" s="41" t="str">
        <f>IFERROR(__xludf.DUMMYFUNCTION("""COMPUTED_VALUE"""),"")</f>
        <v/>
      </c>
      <c r="W80" s="41" t="str">
        <f>IFERROR(__xludf.DUMMYFUNCTION("""COMPUTED_VALUE"""),"")</f>
        <v/>
      </c>
      <c r="X80" s="41" t="str">
        <f>IFERROR(__xludf.DUMMYFUNCTION("""COMPUTED_VALUE"""),"")</f>
        <v/>
      </c>
      <c r="Y80" s="41" t="str">
        <f>IFERROR(__xludf.DUMMYFUNCTION("""COMPUTED_VALUE"""),"")</f>
        <v/>
      </c>
      <c r="Z80" s="41" t="str">
        <f>IFERROR(__xludf.DUMMYFUNCTION("""COMPUTED_VALUE"""),"")</f>
        <v/>
      </c>
      <c r="AA80" s="41" t="str">
        <f>IFERROR(__xludf.DUMMYFUNCTION("""COMPUTED_VALUE"""),"")</f>
        <v/>
      </c>
      <c r="AB80" s="38" t="str">
        <f>IFERROR(__xludf.DUMMYFUNCTION("""COMPUTED_VALUE"""),"")</f>
        <v/>
      </c>
    </row>
    <row r="81">
      <c r="A81" s="41" t="str">
        <f>IFERROR(__xludf.DUMMYFUNCTION("""COMPUTED_VALUE"""),"Java, aungular")</f>
        <v>Java, aungular</v>
      </c>
      <c r="B81" s="42" t="s">
        <v>224</v>
      </c>
      <c r="C81" s="41" t="s">
        <v>4110</v>
      </c>
      <c r="N81" s="38"/>
      <c r="P81" s="42" t="str">
        <f>IFERROR(__xludf.DUMMYFUNCTION("""COMPUTED_VALUE"""),"vue.js")</f>
        <v>vue.js</v>
      </c>
      <c r="Q81" s="41" t="str">
        <f>IFERROR(__xludf.DUMMYFUNCTION("""COMPUTED_VALUE"""),"vuejs")</f>
        <v>vuejs</v>
      </c>
      <c r="R81" s="41" t="str">
        <f>IFERROR(__xludf.DUMMYFUNCTION("""COMPUTED_VALUE"""),"html")</f>
        <v>html</v>
      </c>
      <c r="S81" s="41" t="str">
        <f>IFERROR(__xludf.DUMMYFUNCTION("""COMPUTED_VALUE"""),"swift")</f>
        <v>swift</v>
      </c>
      <c r="T81" s="41" t="str">
        <f>IFERROR(__xludf.DUMMYFUNCTION("""COMPUTED_VALUE"""),"vuejs")</f>
        <v>vuejs</v>
      </c>
      <c r="U81" s="41" t="str">
        <f>IFERROR(__xludf.DUMMYFUNCTION("""COMPUTED_VALUE"""),"")</f>
        <v/>
      </c>
      <c r="V81" s="41" t="str">
        <f>IFERROR(__xludf.DUMMYFUNCTION("""COMPUTED_VALUE"""),"")</f>
        <v/>
      </c>
      <c r="W81" s="41" t="str">
        <f>IFERROR(__xludf.DUMMYFUNCTION("""COMPUTED_VALUE"""),"")</f>
        <v/>
      </c>
      <c r="X81" s="41" t="str">
        <f>IFERROR(__xludf.DUMMYFUNCTION("""COMPUTED_VALUE"""),"")</f>
        <v/>
      </c>
      <c r="Y81" s="41" t="str">
        <f>IFERROR(__xludf.DUMMYFUNCTION("""COMPUTED_VALUE"""),"")</f>
        <v/>
      </c>
      <c r="Z81" s="41" t="str">
        <f>IFERROR(__xludf.DUMMYFUNCTION("""COMPUTED_VALUE"""),"")</f>
        <v/>
      </c>
      <c r="AA81" s="41" t="str">
        <f>IFERROR(__xludf.DUMMYFUNCTION("""COMPUTED_VALUE"""),"")</f>
        <v/>
      </c>
      <c r="AB81" s="38" t="str">
        <f>IFERROR(__xludf.DUMMYFUNCTION("""COMPUTED_VALUE"""),"")</f>
        <v/>
      </c>
    </row>
    <row r="82">
      <c r="A82" s="41" t="str">
        <f>IFERROR(__xludf.DUMMYFUNCTION("""COMPUTED_VALUE"""),"AWS")</f>
        <v>AWS</v>
      </c>
      <c r="B82" s="42" t="s">
        <v>1233</v>
      </c>
      <c r="N82" s="38"/>
      <c r="P82" s="42" t="str">
        <f>IFERROR(__xludf.DUMMYFUNCTION("""COMPUTED_VALUE"""),"office")</f>
        <v>office</v>
      </c>
      <c r="Q82" s="41" t="str">
        <f>IFERROR(__xludf.DUMMYFUNCTION("""COMPUTED_VALUE"""),"sql")</f>
        <v>sql</v>
      </c>
      <c r="R82" s="41" t="str">
        <f>IFERROR(__xludf.DUMMYFUNCTION("""COMPUTED_VALUE"""),"raspberry")</f>
        <v>raspberry</v>
      </c>
      <c r="S82" s="41" t="str">
        <f>IFERROR(__xludf.DUMMYFUNCTION("""COMPUTED_VALUE"""),"terraform")</f>
        <v>terraform</v>
      </c>
      <c r="T82" s="41" t="str">
        <f>IFERROR(__xludf.DUMMYFUNCTION("""COMPUTED_VALUE"""),"tableau")</f>
        <v>tableau</v>
      </c>
      <c r="U82" s="41" t="str">
        <f>IFERROR(__xludf.DUMMYFUNCTION("""COMPUTED_VALUE"""),"")</f>
        <v/>
      </c>
      <c r="V82" s="41" t="str">
        <f>IFERROR(__xludf.DUMMYFUNCTION("""COMPUTED_VALUE"""),"")</f>
        <v/>
      </c>
      <c r="W82" s="41" t="str">
        <f>IFERROR(__xludf.DUMMYFUNCTION("""COMPUTED_VALUE"""),"")</f>
        <v/>
      </c>
      <c r="X82" s="41" t="str">
        <f>IFERROR(__xludf.DUMMYFUNCTION("""COMPUTED_VALUE"""),"")</f>
        <v/>
      </c>
      <c r="Y82" s="41" t="str">
        <f>IFERROR(__xludf.DUMMYFUNCTION("""COMPUTED_VALUE"""),"")</f>
        <v/>
      </c>
      <c r="Z82" s="41" t="str">
        <f>IFERROR(__xludf.DUMMYFUNCTION("""COMPUTED_VALUE"""),"")</f>
        <v/>
      </c>
      <c r="AA82" s="41" t="str">
        <f>IFERROR(__xludf.DUMMYFUNCTION("""COMPUTED_VALUE"""),"")</f>
        <v/>
      </c>
      <c r="AB82" s="38" t="str">
        <f>IFERROR(__xludf.DUMMYFUNCTION("""COMPUTED_VALUE"""),"")</f>
        <v/>
      </c>
    </row>
    <row r="83">
      <c r="A83" s="41" t="str">
        <f>IFERROR(__xludf.DUMMYFUNCTION("""COMPUTED_VALUE"""),"Django")</f>
        <v>Django</v>
      </c>
      <c r="B83" s="42" t="s">
        <v>658</v>
      </c>
      <c r="N83" s="38"/>
      <c r="P83" s="42" t="str">
        <f>IFERROR(__xludf.DUMMYFUNCTION("""COMPUTED_VALUE"""),"365")</f>
        <v>365</v>
      </c>
      <c r="Q83" s="41" t="str">
        <f>IFERROR(__xludf.DUMMYFUNCTION("""COMPUTED_VALUE"""),"server")</f>
        <v>server</v>
      </c>
      <c r="R83" s="41" t="str">
        <f>IFERROR(__xludf.DUMMYFUNCTION("""COMPUTED_VALUE"""),"pi")</f>
        <v>pi</v>
      </c>
      <c r="S83" s="41" t="str">
        <f>IFERROR(__xludf.DUMMYFUNCTION("""COMPUTED_VALUE"""),"machine")</f>
        <v>machine</v>
      </c>
      <c r="T83" s="41" t="str">
        <f>IFERROR(__xludf.DUMMYFUNCTION("""COMPUTED_VALUE"""),"nginx")</f>
        <v>nginx</v>
      </c>
      <c r="U83" s="41" t="str">
        <f>IFERROR(__xludf.DUMMYFUNCTION("""COMPUTED_VALUE"""),"")</f>
        <v/>
      </c>
      <c r="V83" s="41" t="str">
        <f>IFERROR(__xludf.DUMMYFUNCTION("""COMPUTED_VALUE"""),"")</f>
        <v/>
      </c>
      <c r="W83" s="41" t="str">
        <f>IFERROR(__xludf.DUMMYFUNCTION("""COMPUTED_VALUE"""),"")</f>
        <v/>
      </c>
      <c r="X83" s="41" t="str">
        <f>IFERROR(__xludf.DUMMYFUNCTION("""COMPUTED_VALUE"""),"")</f>
        <v/>
      </c>
      <c r="Y83" s="41" t="str">
        <f>IFERROR(__xludf.DUMMYFUNCTION("""COMPUTED_VALUE"""),"")</f>
        <v/>
      </c>
      <c r="Z83" s="41" t="str">
        <f>IFERROR(__xludf.DUMMYFUNCTION("""COMPUTED_VALUE"""),"")</f>
        <v/>
      </c>
      <c r="AA83" s="41" t="str">
        <f>IFERROR(__xludf.DUMMYFUNCTION("""COMPUTED_VALUE"""),"")</f>
        <v/>
      </c>
      <c r="AB83" s="38" t="str">
        <f>IFERROR(__xludf.DUMMYFUNCTION("""COMPUTED_VALUE"""),"")</f>
        <v/>
      </c>
    </row>
    <row r="84">
      <c r="A84" s="41" t="str">
        <f>IFERROR(__xludf.DUMMYFUNCTION("""COMPUTED_VALUE"""),"Nodejs, React, AWS")</f>
        <v>Nodejs, React, AWS</v>
      </c>
      <c r="B84" s="42" t="s">
        <v>4102</v>
      </c>
      <c r="C84" s="41" t="s">
        <v>4012</v>
      </c>
      <c r="D84" s="41" t="s">
        <v>4042</v>
      </c>
      <c r="N84" s="38"/>
      <c r="P84" s="42" t="str">
        <f>IFERROR(__xludf.DUMMYFUNCTION("""COMPUTED_VALUE"""),"python(appium")</f>
        <v>python(appium</v>
      </c>
      <c r="Q84" s="41" t="str">
        <f>IFERROR(__xludf.DUMMYFUNCTION("""COMPUTED_VALUE"""),"mysql")</f>
        <v>mysql</v>
      </c>
      <c r="R84" s="41" t="str">
        <f>IFERROR(__xludf.DUMMYFUNCTION("""COMPUTED_VALUE"""),"react")</f>
        <v>react</v>
      </c>
      <c r="S84" s="41" t="str">
        <f>IFERROR(__xludf.DUMMYFUNCTION("""COMPUTED_VALUE"""),"learning")</f>
        <v>learning</v>
      </c>
      <c r="T84" s="41" t="str">
        <f>IFERROR(__xludf.DUMMYFUNCTION("""COMPUTED_VALUE"""),"backend")</f>
        <v>backend</v>
      </c>
      <c r="U84" s="41" t="str">
        <f>IFERROR(__xludf.DUMMYFUNCTION("""COMPUTED_VALUE"""),"")</f>
        <v/>
      </c>
      <c r="V84" s="41" t="str">
        <f>IFERROR(__xludf.DUMMYFUNCTION("""COMPUTED_VALUE"""),"")</f>
        <v/>
      </c>
      <c r="W84" s="41" t="str">
        <f>IFERROR(__xludf.DUMMYFUNCTION("""COMPUTED_VALUE"""),"")</f>
        <v/>
      </c>
      <c r="X84" s="41" t="str">
        <f>IFERROR(__xludf.DUMMYFUNCTION("""COMPUTED_VALUE"""),"")</f>
        <v/>
      </c>
      <c r="Y84" s="41" t="str">
        <f>IFERROR(__xludf.DUMMYFUNCTION("""COMPUTED_VALUE"""),"")</f>
        <v/>
      </c>
      <c r="Z84" s="41" t="str">
        <f>IFERROR(__xludf.DUMMYFUNCTION("""COMPUTED_VALUE"""),"")</f>
        <v/>
      </c>
      <c r="AA84" s="41" t="str">
        <f>IFERROR(__xludf.DUMMYFUNCTION("""COMPUTED_VALUE"""),"")</f>
        <v/>
      </c>
      <c r="AB84" s="38" t="str">
        <f>IFERROR(__xludf.DUMMYFUNCTION("""COMPUTED_VALUE"""),"")</f>
        <v/>
      </c>
    </row>
    <row r="85">
      <c r="A85" s="41" t="str">
        <f>IFERROR(__xludf.DUMMYFUNCTION("""COMPUTED_VALUE"""),"Python, JavaScript, Jquery, Bootstrap, HTML, CSS, Selenium")</f>
        <v>Python, JavaScript, Jquery, Bootstrap, HTML, CSS, Selenium</v>
      </c>
      <c r="B85" s="42" t="s">
        <v>78</v>
      </c>
      <c r="C85" s="41" t="s">
        <v>4111</v>
      </c>
      <c r="D85" s="41" t="s">
        <v>4031</v>
      </c>
      <c r="E85" s="41" t="s">
        <v>4112</v>
      </c>
      <c r="F85" s="41" t="s">
        <v>4113</v>
      </c>
      <c r="G85" s="41" t="s">
        <v>4114</v>
      </c>
      <c r="H85" s="41" t="s">
        <v>4115</v>
      </c>
      <c r="N85" s="38"/>
      <c r="P85" s="42" t="str">
        <f>IFERROR(__xludf.DUMMYFUNCTION("""COMPUTED_VALUE"""),"&amp;")</f>
        <v>&amp;</v>
      </c>
      <c r="Q85" s="41" t="str">
        <f>IFERROR(__xludf.DUMMYFUNCTION("""COMPUTED_VALUE"""),".net")</f>
        <v>.net</v>
      </c>
      <c r="R85" s="41" t="str">
        <f>IFERROR(__xludf.DUMMYFUNCTION("""COMPUTED_VALUE"""),"microsoft")</f>
        <v>microsoft</v>
      </c>
      <c r="S85" s="41" t="str">
        <f>IFERROR(__xludf.DUMMYFUNCTION("""COMPUTED_VALUE"""),"gcp")</f>
        <v>gcp</v>
      </c>
      <c r="T85" s="41" t="str">
        <f>IFERROR(__xludf.DUMMYFUNCTION("""COMPUTED_VALUE"""),"docker")</f>
        <v>docker</v>
      </c>
      <c r="U85" s="41" t="str">
        <f>IFERROR(__xludf.DUMMYFUNCTION("""COMPUTED_VALUE"""),"")</f>
        <v/>
      </c>
      <c r="V85" s="41" t="str">
        <f>IFERROR(__xludf.DUMMYFUNCTION("""COMPUTED_VALUE"""),"")</f>
        <v/>
      </c>
      <c r="W85" s="41" t="str">
        <f>IFERROR(__xludf.DUMMYFUNCTION("""COMPUTED_VALUE"""),"")</f>
        <v/>
      </c>
      <c r="X85" s="41" t="str">
        <f>IFERROR(__xludf.DUMMYFUNCTION("""COMPUTED_VALUE"""),"")</f>
        <v/>
      </c>
      <c r="Y85" s="41" t="str">
        <f>IFERROR(__xludf.DUMMYFUNCTION("""COMPUTED_VALUE"""),"")</f>
        <v/>
      </c>
      <c r="Z85" s="41" t="str">
        <f>IFERROR(__xludf.DUMMYFUNCTION("""COMPUTED_VALUE"""),"")</f>
        <v/>
      </c>
      <c r="AA85" s="41" t="str">
        <f>IFERROR(__xludf.DUMMYFUNCTION("""COMPUTED_VALUE"""),"")</f>
        <v/>
      </c>
      <c r="AB85" s="38" t="str">
        <f>IFERROR(__xludf.DUMMYFUNCTION("""COMPUTED_VALUE"""),"")</f>
        <v/>
      </c>
    </row>
    <row r="86">
      <c r="A86" s="41" t="str">
        <f>IFERROR(__xludf.DUMMYFUNCTION("""COMPUTED_VALUE"""),"aws, javascript, graphql, PostgreSQL ")</f>
        <v>aws, javascript, graphql, PostgreSQL </v>
      </c>
      <c r="B86" s="42" t="s">
        <v>1132</v>
      </c>
      <c r="C86" s="41" t="s">
        <v>3980</v>
      </c>
      <c r="D86" s="41" t="s">
        <v>4116</v>
      </c>
      <c r="E86" s="41" t="s">
        <v>4117</v>
      </c>
      <c r="N86" s="38"/>
      <c r="P86" s="42" t="str">
        <f>IFERROR(__xludf.DUMMYFUNCTION("""COMPUTED_VALUE"""),"selenium)")</f>
        <v>selenium)</v>
      </c>
      <c r="Q86" s="41" t="str">
        <f>IFERROR(__xludf.DUMMYFUNCTION("""COMPUTED_VALUE"""),"core")</f>
        <v>core</v>
      </c>
      <c r="R86" s="41" t="str">
        <f>IFERROR(__xludf.DUMMYFUNCTION("""COMPUTED_VALUE"""),"stack")</f>
        <v>stack</v>
      </c>
      <c r="S86" s="41" t="str">
        <f>IFERROR(__xludf.DUMMYFUNCTION("""COMPUTED_VALUE"""),"jira")</f>
        <v>jira</v>
      </c>
      <c r="T86" s="41" t="str">
        <f>IFERROR(__xludf.DUMMYFUNCTION("""COMPUTED_VALUE"""),"headphone")</f>
        <v>headphone</v>
      </c>
      <c r="U86" s="41" t="str">
        <f>IFERROR(__xludf.DUMMYFUNCTION("""COMPUTED_VALUE"""),"")</f>
        <v/>
      </c>
      <c r="V86" s="41" t="str">
        <f>IFERROR(__xludf.DUMMYFUNCTION("""COMPUTED_VALUE"""),"")</f>
        <v/>
      </c>
      <c r="W86" s="41" t="str">
        <f>IFERROR(__xludf.DUMMYFUNCTION("""COMPUTED_VALUE"""),"")</f>
        <v/>
      </c>
      <c r="X86" s="41" t="str">
        <f>IFERROR(__xludf.DUMMYFUNCTION("""COMPUTED_VALUE"""),"")</f>
        <v/>
      </c>
      <c r="Y86" s="41" t="str">
        <f>IFERROR(__xludf.DUMMYFUNCTION("""COMPUTED_VALUE"""),"")</f>
        <v/>
      </c>
      <c r="Z86" s="41" t="str">
        <f>IFERROR(__xludf.DUMMYFUNCTION("""COMPUTED_VALUE"""),"")</f>
        <v/>
      </c>
      <c r="AA86" s="41" t="str">
        <f>IFERROR(__xludf.DUMMYFUNCTION("""COMPUTED_VALUE"""),"")</f>
        <v/>
      </c>
      <c r="AB86" s="38" t="str">
        <f>IFERROR(__xludf.DUMMYFUNCTION("""COMPUTED_VALUE"""),"")</f>
        <v/>
      </c>
    </row>
    <row r="87">
      <c r="A87" s="41" t="str">
        <f>IFERROR(__xludf.DUMMYFUNCTION("""COMPUTED_VALUE"""),"Linux, Shell, Python, SQL")</f>
        <v>Linux, Shell, Python, SQL</v>
      </c>
      <c r="B87" s="42" t="s">
        <v>4118</v>
      </c>
      <c r="C87" s="41" t="s">
        <v>4119</v>
      </c>
      <c r="D87" s="41" t="s">
        <v>4053</v>
      </c>
      <c r="E87" s="41" t="s">
        <v>4120</v>
      </c>
      <c r="N87" s="38"/>
      <c r="P87" s="42" t="str">
        <f>IFERROR(__xludf.DUMMYFUNCTION("""COMPUTED_VALUE"""),"jetbrains")</f>
        <v>jetbrains</v>
      </c>
      <c r="Q87" s="41" t="str">
        <f>IFERROR(__xludf.DUMMYFUNCTION("""COMPUTED_VALUE"""),"mysql")</f>
        <v>mysql</v>
      </c>
      <c r="R87" s="41" t="str">
        <f>IFERROR(__xludf.DUMMYFUNCTION("""COMPUTED_VALUE"""),"react")</f>
        <v>react</v>
      </c>
      <c r="S87" s="41" t="str">
        <f>IFERROR(__xludf.DUMMYFUNCTION("""COMPUTED_VALUE"""),"angular")</f>
        <v>angular</v>
      </c>
      <c r="T87" s="41" t="str">
        <f>IFERROR(__xludf.DUMMYFUNCTION("""COMPUTED_VALUE"""),"aws")</f>
        <v>aws</v>
      </c>
      <c r="U87" s="41" t="str">
        <f>IFERROR(__xludf.DUMMYFUNCTION("""COMPUTED_VALUE"""),"")</f>
        <v/>
      </c>
      <c r="V87" s="41" t="str">
        <f>IFERROR(__xludf.DUMMYFUNCTION("""COMPUTED_VALUE"""),"")</f>
        <v/>
      </c>
      <c r="W87" s="41" t="str">
        <f>IFERROR(__xludf.DUMMYFUNCTION("""COMPUTED_VALUE"""),"")</f>
        <v/>
      </c>
      <c r="X87" s="41" t="str">
        <f>IFERROR(__xludf.DUMMYFUNCTION("""COMPUTED_VALUE"""),"")</f>
        <v/>
      </c>
      <c r="Y87" s="41" t="str">
        <f>IFERROR(__xludf.DUMMYFUNCTION("""COMPUTED_VALUE"""),"")</f>
        <v/>
      </c>
      <c r="Z87" s="41" t="str">
        <f>IFERROR(__xludf.DUMMYFUNCTION("""COMPUTED_VALUE"""),"")</f>
        <v/>
      </c>
      <c r="AA87" s="41" t="str">
        <f>IFERROR(__xludf.DUMMYFUNCTION("""COMPUTED_VALUE"""),"")</f>
        <v/>
      </c>
      <c r="AB87" s="38" t="str">
        <f>IFERROR(__xludf.DUMMYFUNCTION("""COMPUTED_VALUE"""),"")</f>
        <v/>
      </c>
    </row>
    <row r="88">
      <c r="A88" s="41" t="str">
        <f>IFERROR(__xludf.DUMMYFUNCTION("""COMPUTED_VALUE"""),"Django, Docker, GIS, AWS, Backbone")</f>
        <v>Django, Docker, GIS, AWS, Backbone</v>
      </c>
      <c r="B88" s="42" t="s">
        <v>658</v>
      </c>
      <c r="C88" s="41" t="s">
        <v>4090</v>
      </c>
      <c r="D88" s="41" t="s">
        <v>4121</v>
      </c>
      <c r="E88" s="41" t="s">
        <v>4042</v>
      </c>
      <c r="F88" s="41" t="s">
        <v>4122</v>
      </c>
      <c r="N88" s="38"/>
      <c r="P88" s="42" t="str">
        <f>IFERROR(__xludf.DUMMYFUNCTION("""COMPUTED_VALUE"""),".net")</f>
        <v>.net</v>
      </c>
      <c r="Q88" s="41" t="str">
        <f>IFERROR(__xludf.DUMMYFUNCTION("""COMPUTED_VALUE"""),"sql")</f>
        <v>sql</v>
      </c>
      <c r="R88" s="41" t="str">
        <f>IFERROR(__xludf.DUMMYFUNCTION("""COMPUTED_VALUE"""),"tableau")</f>
        <v>tableau</v>
      </c>
      <c r="S88" s="41" t="str">
        <f>IFERROR(__xludf.DUMMYFUNCTION("""COMPUTED_VALUE"""),"vuejs")</f>
        <v>vuejs</v>
      </c>
      <c r="T88" s="41" t="str">
        <f>IFERROR(__xludf.DUMMYFUNCTION("""COMPUTED_VALUE"""),"cloud")</f>
        <v>cloud</v>
      </c>
      <c r="U88" s="41" t="str">
        <f>IFERROR(__xludf.DUMMYFUNCTION("""COMPUTED_VALUE"""),"")</f>
        <v/>
      </c>
      <c r="V88" s="41" t="str">
        <f>IFERROR(__xludf.DUMMYFUNCTION("""COMPUTED_VALUE"""),"")</f>
        <v/>
      </c>
      <c r="W88" s="41" t="str">
        <f>IFERROR(__xludf.DUMMYFUNCTION("""COMPUTED_VALUE"""),"")</f>
        <v/>
      </c>
      <c r="X88" s="41" t="str">
        <f>IFERROR(__xludf.DUMMYFUNCTION("""COMPUTED_VALUE"""),"")</f>
        <v/>
      </c>
      <c r="Y88" s="41" t="str">
        <f>IFERROR(__xludf.DUMMYFUNCTION("""COMPUTED_VALUE"""),"")</f>
        <v/>
      </c>
      <c r="Z88" s="41" t="str">
        <f>IFERROR(__xludf.DUMMYFUNCTION("""COMPUTED_VALUE"""),"")</f>
        <v/>
      </c>
      <c r="AA88" s="41" t="str">
        <f>IFERROR(__xludf.DUMMYFUNCTION("""COMPUTED_VALUE"""),"")</f>
        <v/>
      </c>
      <c r="AB88" s="38" t="str">
        <f>IFERROR(__xludf.DUMMYFUNCTION("""COMPUTED_VALUE"""),"")</f>
        <v/>
      </c>
    </row>
    <row r="89">
      <c r="A89" s="41" t="str">
        <f>IFERROR(__xludf.DUMMYFUNCTION("""COMPUTED_VALUE"""),"Kubernetes, GCP, AWS, PHP, Mariadb")</f>
        <v>Kubernetes, GCP, AWS, PHP, Mariadb</v>
      </c>
      <c r="B89" s="42" t="s">
        <v>3903</v>
      </c>
      <c r="C89" s="41" t="s">
        <v>4101</v>
      </c>
      <c r="D89" s="41" t="s">
        <v>4042</v>
      </c>
      <c r="E89" s="41" t="s">
        <v>4123</v>
      </c>
      <c r="F89" s="41" t="s">
        <v>4124</v>
      </c>
      <c r="N89" s="38"/>
      <c r="P89" s="42" t="str">
        <f>IFERROR(__xludf.DUMMYFUNCTION("""COMPUTED_VALUE"""),"java")</f>
        <v>java</v>
      </c>
      <c r="Q89" s="41" t="str">
        <f>IFERROR(__xludf.DUMMYFUNCTION("""COMPUTED_VALUE"""),"alicloud")</f>
        <v>alicloud</v>
      </c>
      <c r="R89" s="41" t="str">
        <f>IFERROR(__xludf.DUMMYFUNCTION("""COMPUTED_VALUE"""),"mysql")</f>
        <v>mysql</v>
      </c>
      <c r="S89" s="41" t="str">
        <f>IFERROR(__xludf.DUMMYFUNCTION("""COMPUTED_VALUE"""),"sql")</f>
        <v>sql</v>
      </c>
      <c r="T89" s="41" t="str">
        <f>IFERROR(__xludf.DUMMYFUNCTION("""COMPUTED_VALUE"""),"mongodb")</f>
        <v>mongodb</v>
      </c>
      <c r="U89" s="41" t="str">
        <f>IFERROR(__xludf.DUMMYFUNCTION("""COMPUTED_VALUE"""),"")</f>
        <v/>
      </c>
      <c r="V89" s="41" t="str">
        <f>IFERROR(__xludf.DUMMYFUNCTION("""COMPUTED_VALUE"""),"")</f>
        <v/>
      </c>
      <c r="W89" s="41" t="str">
        <f>IFERROR(__xludf.DUMMYFUNCTION("""COMPUTED_VALUE"""),"")</f>
        <v/>
      </c>
      <c r="X89" s="41" t="str">
        <f>IFERROR(__xludf.DUMMYFUNCTION("""COMPUTED_VALUE"""),"")</f>
        <v/>
      </c>
      <c r="Y89" s="41" t="str">
        <f>IFERROR(__xludf.DUMMYFUNCTION("""COMPUTED_VALUE"""),"")</f>
        <v/>
      </c>
      <c r="Z89" s="41" t="str">
        <f>IFERROR(__xludf.DUMMYFUNCTION("""COMPUTED_VALUE"""),"")</f>
        <v/>
      </c>
      <c r="AA89" s="41" t="str">
        <f>IFERROR(__xludf.DUMMYFUNCTION("""COMPUTED_VALUE"""),"")</f>
        <v/>
      </c>
      <c r="AB89" s="38" t="str">
        <f>IFERROR(__xludf.DUMMYFUNCTION("""COMPUTED_VALUE"""),"")</f>
        <v/>
      </c>
    </row>
    <row r="90">
      <c r="A90" s="41" t="str">
        <f>IFERROR(__xludf.DUMMYFUNCTION("""COMPUTED_VALUE"""),"RPA, Django, Bootstrap, AWS")</f>
        <v>RPA, Django, Bootstrap, AWS</v>
      </c>
      <c r="B90" s="42" t="s">
        <v>4125</v>
      </c>
      <c r="C90" s="41" t="s">
        <v>4083</v>
      </c>
      <c r="D90" s="41" t="s">
        <v>4112</v>
      </c>
      <c r="E90" s="41" t="s">
        <v>4042</v>
      </c>
      <c r="N90" s="38"/>
      <c r="P90" s="42" t="str">
        <f>IFERROR(__xludf.DUMMYFUNCTION("""COMPUTED_VALUE"""),"python")</f>
        <v>python</v>
      </c>
      <c r="Q90" s="41" t="str">
        <f>IFERROR(__xludf.DUMMYFUNCTION("""COMPUTED_VALUE"""),"angular")</f>
        <v>angular</v>
      </c>
      <c r="R90" s="41" t="str">
        <f>IFERROR(__xludf.DUMMYFUNCTION("""COMPUTED_VALUE"""),"microservice")</f>
        <v>microservice</v>
      </c>
      <c r="S90" s="41" t="str">
        <f>IFERROR(__xludf.DUMMYFUNCTION("""COMPUTED_VALUE"""),"server")</f>
        <v>server</v>
      </c>
      <c r="T90" s="41" t="str">
        <f>IFERROR(__xludf.DUMMYFUNCTION("""COMPUTED_VALUE"""),"vuejs")</f>
        <v>vuejs</v>
      </c>
      <c r="U90" s="41" t="str">
        <f>IFERROR(__xludf.DUMMYFUNCTION("""COMPUTED_VALUE"""),"")</f>
        <v/>
      </c>
      <c r="V90" s="41" t="str">
        <f>IFERROR(__xludf.DUMMYFUNCTION("""COMPUTED_VALUE"""),"")</f>
        <v/>
      </c>
      <c r="W90" s="41" t="str">
        <f>IFERROR(__xludf.DUMMYFUNCTION("""COMPUTED_VALUE"""),"")</f>
        <v/>
      </c>
      <c r="X90" s="41" t="str">
        <f>IFERROR(__xludf.DUMMYFUNCTION("""COMPUTED_VALUE"""),"")</f>
        <v/>
      </c>
      <c r="Y90" s="41" t="str">
        <f>IFERROR(__xludf.DUMMYFUNCTION("""COMPUTED_VALUE"""),"")</f>
        <v/>
      </c>
      <c r="Z90" s="41" t="str">
        <f>IFERROR(__xludf.DUMMYFUNCTION("""COMPUTED_VALUE"""),"")</f>
        <v/>
      </c>
      <c r="AA90" s="41" t="str">
        <f>IFERROR(__xludf.DUMMYFUNCTION("""COMPUTED_VALUE"""),"")</f>
        <v/>
      </c>
      <c r="AB90" s="38" t="str">
        <f>IFERROR(__xludf.DUMMYFUNCTION("""COMPUTED_VALUE"""),"")</f>
        <v/>
      </c>
    </row>
    <row r="91">
      <c r="A91" s="41" t="str">
        <f>IFERROR(__xludf.DUMMYFUNCTION("""COMPUTED_VALUE"""),"Cloud erp")</f>
        <v>Cloud erp</v>
      </c>
      <c r="B91" s="42" t="s">
        <v>888</v>
      </c>
      <c r="N91" s="38"/>
      <c r="P91" s="42" t="str">
        <f>IFERROR(__xludf.DUMMYFUNCTION("""COMPUTED_VALUE"""),"python")</f>
        <v>python</v>
      </c>
      <c r="Q91" s="41" t="str">
        <f>IFERROR(__xludf.DUMMYFUNCTION("""COMPUTED_VALUE"""),"aws")</f>
        <v>aws</v>
      </c>
      <c r="R91" s="41" t="str">
        <f>IFERROR(__xludf.DUMMYFUNCTION("""COMPUTED_VALUE"""),"tensorflow")</f>
        <v>tensorflow</v>
      </c>
      <c r="S91" s="41" t="str">
        <f>IFERROR(__xludf.DUMMYFUNCTION("""COMPUTED_VALUE"""),"polardb")</f>
        <v>polardb</v>
      </c>
      <c r="T91" s="41" t="str">
        <f>IFERROR(__xludf.DUMMYFUNCTION("""COMPUTED_VALUE"""),"github")</f>
        <v>github</v>
      </c>
      <c r="U91" s="41" t="str">
        <f>IFERROR(__xludf.DUMMYFUNCTION("""COMPUTED_VALUE"""),"")</f>
        <v/>
      </c>
      <c r="V91" s="41" t="str">
        <f>IFERROR(__xludf.DUMMYFUNCTION("""COMPUTED_VALUE"""),"")</f>
        <v/>
      </c>
      <c r="W91" s="41" t="str">
        <f>IFERROR(__xludf.DUMMYFUNCTION("""COMPUTED_VALUE"""),"")</f>
        <v/>
      </c>
      <c r="X91" s="41" t="str">
        <f>IFERROR(__xludf.DUMMYFUNCTION("""COMPUTED_VALUE"""),"")</f>
        <v/>
      </c>
      <c r="Y91" s="41" t="str">
        <f>IFERROR(__xludf.DUMMYFUNCTION("""COMPUTED_VALUE"""),"")</f>
        <v/>
      </c>
      <c r="Z91" s="41" t="str">
        <f>IFERROR(__xludf.DUMMYFUNCTION("""COMPUTED_VALUE"""),"")</f>
        <v/>
      </c>
      <c r="AA91" s="41" t="str">
        <f>IFERROR(__xludf.DUMMYFUNCTION("""COMPUTED_VALUE"""),"")</f>
        <v/>
      </c>
      <c r="AB91" s="38" t="str">
        <f>IFERROR(__xludf.DUMMYFUNCTION("""COMPUTED_VALUE"""),"")</f>
        <v/>
      </c>
    </row>
    <row r="92">
      <c r="A92" s="41" t="str">
        <f>IFERROR(__xludf.DUMMYFUNCTION("""COMPUTED_VALUE"""),"C++")</f>
        <v>C++</v>
      </c>
      <c r="B92" s="42" t="s">
        <v>1388</v>
      </c>
      <c r="N92" s="38"/>
      <c r="P92" s="42" t="str">
        <f>IFERROR(__xludf.DUMMYFUNCTION("""COMPUTED_VALUE"""),"node.js")</f>
        <v>node.js</v>
      </c>
      <c r="Q92" s="41" t="str">
        <f>IFERROR(__xludf.DUMMYFUNCTION("""COMPUTED_VALUE"""),"rails")</f>
        <v>rails</v>
      </c>
      <c r="R92" s="41" t="str">
        <f>IFERROR(__xludf.DUMMYFUNCTION("""COMPUTED_VALUE"""),"mongodb")</f>
        <v>mongodb</v>
      </c>
      <c r="S92" s="41" t="str">
        <f>IFERROR(__xludf.DUMMYFUNCTION("""COMPUTED_VALUE"""),"c#")</f>
        <v>c#</v>
      </c>
      <c r="T92" s="41" t="str">
        <f>IFERROR(__xludf.DUMMYFUNCTION("""COMPUTED_VALUE"""),"kotlin")</f>
        <v>kotlin</v>
      </c>
      <c r="U92" s="41" t="str">
        <f>IFERROR(__xludf.DUMMYFUNCTION("""COMPUTED_VALUE"""),"")</f>
        <v/>
      </c>
      <c r="V92" s="41" t="str">
        <f>IFERROR(__xludf.DUMMYFUNCTION("""COMPUTED_VALUE"""),"")</f>
        <v/>
      </c>
      <c r="W92" s="41" t="str">
        <f>IFERROR(__xludf.DUMMYFUNCTION("""COMPUTED_VALUE"""),"")</f>
        <v/>
      </c>
      <c r="X92" s="41" t="str">
        <f>IFERROR(__xludf.DUMMYFUNCTION("""COMPUTED_VALUE"""),"")</f>
        <v/>
      </c>
      <c r="Y92" s="41" t="str">
        <f>IFERROR(__xludf.DUMMYFUNCTION("""COMPUTED_VALUE"""),"")</f>
        <v/>
      </c>
      <c r="Z92" s="41" t="str">
        <f>IFERROR(__xludf.DUMMYFUNCTION("""COMPUTED_VALUE"""),"")</f>
        <v/>
      </c>
      <c r="AA92" s="41" t="str">
        <f>IFERROR(__xludf.DUMMYFUNCTION("""COMPUTED_VALUE"""),"")</f>
        <v/>
      </c>
      <c r="AB92" s="38" t="str">
        <f>IFERROR(__xludf.DUMMYFUNCTION("""COMPUTED_VALUE"""),"")</f>
        <v/>
      </c>
    </row>
    <row r="93">
      <c r="A93" s="41" t="str">
        <f>IFERROR(__xludf.DUMMYFUNCTION("""COMPUTED_VALUE"""),"Kotlin, Java, SQL, Javascript, Typescript, VueJS, Angular, Docker")</f>
        <v>Kotlin, Java, SQL, Javascript, Typescript, VueJS, Angular, Docker</v>
      </c>
      <c r="B93" s="42" t="s">
        <v>170</v>
      </c>
      <c r="C93" s="41" t="s">
        <v>4096</v>
      </c>
      <c r="D93" s="41" t="s">
        <v>4120</v>
      </c>
      <c r="E93" s="41" t="s">
        <v>4001</v>
      </c>
      <c r="F93" s="41" t="s">
        <v>4126</v>
      </c>
      <c r="G93" s="41" t="s">
        <v>4127</v>
      </c>
      <c r="H93" s="41" t="s">
        <v>3998</v>
      </c>
      <c r="I93" s="41" t="s">
        <v>4090</v>
      </c>
      <c r="N93" s="38"/>
      <c r="P93" s="42" t="str">
        <f>IFERROR(__xludf.DUMMYFUNCTION("""COMPUTED_VALUE"""),"hp")</f>
        <v>hp</v>
      </c>
      <c r="Q93" s="41" t="str">
        <f>IFERROR(__xludf.DUMMYFUNCTION("""COMPUTED_VALUE"""),"python")</f>
        <v>python</v>
      </c>
      <c r="R93" s="41" t="str">
        <f>IFERROR(__xludf.DUMMYFUNCTION("""COMPUTED_VALUE"""),"multiple")</f>
        <v>multiple</v>
      </c>
      <c r="S93" s="41" t="str">
        <f>IFERROR(__xludf.DUMMYFUNCTION("""COMPUTED_VALUE"""),"kubernetes")</f>
        <v>kubernetes</v>
      </c>
      <c r="T93" s="41" t="str">
        <f>IFERROR(__xludf.DUMMYFUNCTION("""COMPUTED_VALUE"""),"redis")</f>
        <v>redis</v>
      </c>
      <c r="U93" s="41" t="str">
        <f>IFERROR(__xludf.DUMMYFUNCTION("""COMPUTED_VALUE"""),"")</f>
        <v/>
      </c>
      <c r="V93" s="41" t="str">
        <f>IFERROR(__xludf.DUMMYFUNCTION("""COMPUTED_VALUE"""),"")</f>
        <v/>
      </c>
      <c r="W93" s="41" t="str">
        <f>IFERROR(__xludf.DUMMYFUNCTION("""COMPUTED_VALUE"""),"")</f>
        <v/>
      </c>
      <c r="X93" s="41" t="str">
        <f>IFERROR(__xludf.DUMMYFUNCTION("""COMPUTED_VALUE"""),"")</f>
        <v/>
      </c>
      <c r="Y93" s="41" t="str">
        <f>IFERROR(__xludf.DUMMYFUNCTION("""COMPUTED_VALUE"""),"")</f>
        <v/>
      </c>
      <c r="Z93" s="41" t="str">
        <f>IFERROR(__xludf.DUMMYFUNCTION("""COMPUTED_VALUE"""),"")</f>
        <v/>
      </c>
      <c r="AA93" s="41" t="str">
        <f>IFERROR(__xludf.DUMMYFUNCTION("""COMPUTED_VALUE"""),"")</f>
        <v/>
      </c>
      <c r="AB93" s="38" t="str">
        <f>IFERROR(__xludf.DUMMYFUNCTION("""COMPUTED_VALUE"""),"")</f>
        <v/>
      </c>
    </row>
    <row r="94">
      <c r="A94" s="41" t="str">
        <f>IFERROR(__xludf.DUMMYFUNCTION("""COMPUTED_VALUE"""),"AWS, Azure, Elastic, Python. ")</f>
        <v>AWS, Azure, Elastic, Python. </v>
      </c>
      <c r="B94" s="42" t="s">
        <v>1233</v>
      </c>
      <c r="C94" s="41" t="s">
        <v>4128</v>
      </c>
      <c r="D94" s="41" t="s">
        <v>4129</v>
      </c>
      <c r="E94" s="41" t="s">
        <v>4130</v>
      </c>
      <c r="N94" s="38"/>
      <c r="P94" s="42" t="str">
        <f>IFERROR(__xludf.DUMMYFUNCTION("""COMPUTED_VALUE"""),"prodesk")</f>
        <v>prodesk</v>
      </c>
      <c r="Q94" s="41" t="str">
        <f>IFERROR(__xludf.DUMMYFUNCTION("""COMPUTED_VALUE"""),"ionic")</f>
        <v>ionic</v>
      </c>
      <c r="R94" s="41" t="str">
        <f>IFERROR(__xludf.DUMMYFUNCTION("""COMPUTED_VALUE"""),"gcp")</f>
        <v>gcp</v>
      </c>
      <c r="S94" s="41" t="str">
        <f>IFERROR(__xludf.DUMMYFUNCTION("""COMPUTED_VALUE"""),"vue")</f>
        <v>vue</v>
      </c>
      <c r="T94" s="41" t="str">
        <f>IFERROR(__xludf.DUMMYFUNCTION("""COMPUTED_VALUE"""),"vue")</f>
        <v>vue</v>
      </c>
      <c r="U94" s="41" t="str">
        <f>IFERROR(__xludf.DUMMYFUNCTION("""COMPUTED_VALUE"""),"")</f>
        <v/>
      </c>
      <c r="V94" s="41" t="str">
        <f>IFERROR(__xludf.DUMMYFUNCTION("""COMPUTED_VALUE"""),"")</f>
        <v/>
      </c>
      <c r="W94" s="41" t="str">
        <f>IFERROR(__xludf.DUMMYFUNCTION("""COMPUTED_VALUE"""),"")</f>
        <v/>
      </c>
      <c r="X94" s="41" t="str">
        <f>IFERROR(__xludf.DUMMYFUNCTION("""COMPUTED_VALUE"""),"")</f>
        <v/>
      </c>
      <c r="Y94" s="41" t="str">
        <f>IFERROR(__xludf.DUMMYFUNCTION("""COMPUTED_VALUE"""),"")</f>
        <v/>
      </c>
      <c r="Z94" s="41" t="str">
        <f>IFERROR(__xludf.DUMMYFUNCTION("""COMPUTED_VALUE"""),"")</f>
        <v/>
      </c>
      <c r="AA94" s="41" t="str">
        <f>IFERROR(__xludf.DUMMYFUNCTION("""COMPUTED_VALUE"""),"")</f>
        <v/>
      </c>
      <c r="AB94" s="38" t="str">
        <f>IFERROR(__xludf.DUMMYFUNCTION("""COMPUTED_VALUE"""),"")</f>
        <v/>
      </c>
    </row>
    <row r="95">
      <c r="A95" s="41" t="str">
        <f>IFERROR(__xludf.DUMMYFUNCTION("""COMPUTED_VALUE"""),"Documentation and website development")</f>
        <v>Documentation and website development</v>
      </c>
      <c r="B95" s="42" t="s">
        <v>629</v>
      </c>
      <c r="N95" s="38"/>
      <c r="P95" s="42" t="str">
        <f>IFERROR(__xludf.DUMMYFUNCTION("""COMPUTED_VALUE"""),"computer")</f>
        <v>computer</v>
      </c>
      <c r="Q95" s="41" t="str">
        <f>IFERROR(__xludf.DUMMYFUNCTION("""COMPUTED_VALUE"""),"kubernetes")</f>
        <v>kubernetes</v>
      </c>
      <c r="R95" s="41" t="str">
        <f>IFERROR(__xludf.DUMMYFUNCTION("""COMPUTED_VALUE"""),"services")</f>
        <v>services</v>
      </c>
      <c r="S95" s="41" t="str">
        <f>IFERROR(__xludf.DUMMYFUNCTION("""COMPUTED_VALUE"""),"js")</f>
        <v>js</v>
      </c>
      <c r="T95" s="41" t="str">
        <f>IFERROR(__xludf.DUMMYFUNCTION("""COMPUTED_VALUE"""),"html")</f>
        <v>html</v>
      </c>
      <c r="U95" s="41" t="str">
        <f>IFERROR(__xludf.DUMMYFUNCTION("""COMPUTED_VALUE"""),"")</f>
        <v/>
      </c>
      <c r="V95" s="41" t="str">
        <f>IFERROR(__xludf.DUMMYFUNCTION("""COMPUTED_VALUE"""),"")</f>
        <v/>
      </c>
      <c r="W95" s="41" t="str">
        <f>IFERROR(__xludf.DUMMYFUNCTION("""COMPUTED_VALUE"""),"")</f>
        <v/>
      </c>
      <c r="X95" s="41" t="str">
        <f>IFERROR(__xludf.DUMMYFUNCTION("""COMPUTED_VALUE"""),"")</f>
        <v/>
      </c>
      <c r="Y95" s="41" t="str">
        <f>IFERROR(__xludf.DUMMYFUNCTION("""COMPUTED_VALUE"""),"")</f>
        <v/>
      </c>
      <c r="Z95" s="41" t="str">
        <f>IFERROR(__xludf.DUMMYFUNCTION("""COMPUTED_VALUE"""),"")</f>
        <v/>
      </c>
      <c r="AA95" s="41" t="str">
        <f>IFERROR(__xludf.DUMMYFUNCTION("""COMPUTED_VALUE"""),"")</f>
        <v/>
      </c>
      <c r="AB95" s="38" t="str">
        <f>IFERROR(__xludf.DUMMYFUNCTION("""COMPUTED_VALUE"""),"")</f>
        <v/>
      </c>
    </row>
    <row r="96">
      <c r="A96" s="41" t="str">
        <f>IFERROR(__xludf.DUMMYFUNCTION("""COMPUTED_VALUE"""),"Java, Spring-boot")</f>
        <v>Java, Spring-boot</v>
      </c>
      <c r="B96" s="42" t="s">
        <v>224</v>
      </c>
      <c r="C96" s="41" t="s">
        <v>4131</v>
      </c>
      <c r="N96" s="38"/>
      <c r="P96" s="42" t="str">
        <f>IFERROR(__xludf.DUMMYFUNCTION("""COMPUTED_VALUE"""),"python")</f>
        <v>python</v>
      </c>
      <c r="Q96" s="41" t="str">
        <f>IFERROR(__xludf.DUMMYFUNCTION("""COMPUTED_VALUE"""),"html")</f>
        <v>html</v>
      </c>
      <c r="R96" s="41" t="str">
        <f>IFERROR(__xludf.DUMMYFUNCTION("""COMPUTED_VALUE"""),"kubernetes")</f>
        <v>kubernetes</v>
      </c>
      <c r="S96" s="41" t="str">
        <f>IFERROR(__xludf.DUMMYFUNCTION("""COMPUTED_VALUE"""),"php")</f>
        <v>php</v>
      </c>
      <c r="T96" s="41" t="str">
        <f>IFERROR(__xludf.DUMMYFUNCTION("""COMPUTED_VALUE"""),"websocket")</f>
        <v>websocket</v>
      </c>
      <c r="U96" s="41" t="str">
        <f>IFERROR(__xludf.DUMMYFUNCTION("""COMPUTED_VALUE"""),"")</f>
        <v/>
      </c>
      <c r="V96" s="41" t="str">
        <f>IFERROR(__xludf.DUMMYFUNCTION("""COMPUTED_VALUE"""),"")</f>
        <v/>
      </c>
      <c r="W96" s="41" t="str">
        <f>IFERROR(__xludf.DUMMYFUNCTION("""COMPUTED_VALUE"""),"")</f>
        <v/>
      </c>
      <c r="X96" s="41" t="str">
        <f>IFERROR(__xludf.DUMMYFUNCTION("""COMPUTED_VALUE"""),"")</f>
        <v/>
      </c>
      <c r="Y96" s="41" t="str">
        <f>IFERROR(__xludf.DUMMYFUNCTION("""COMPUTED_VALUE"""),"")</f>
        <v/>
      </c>
      <c r="Z96" s="41" t="str">
        <f>IFERROR(__xludf.DUMMYFUNCTION("""COMPUTED_VALUE"""),"")</f>
        <v/>
      </c>
      <c r="AA96" s="41" t="str">
        <f>IFERROR(__xludf.DUMMYFUNCTION("""COMPUTED_VALUE"""),"")</f>
        <v/>
      </c>
      <c r="AB96" s="38" t="str">
        <f>IFERROR(__xludf.DUMMYFUNCTION("""COMPUTED_VALUE"""),"")</f>
        <v/>
      </c>
    </row>
    <row r="97">
      <c r="A97" s="41" t="str">
        <f>IFERROR(__xludf.DUMMYFUNCTION("""COMPUTED_VALUE"""),"Typescript, Reactjs, Nodejs, MongoDB")</f>
        <v>Typescript, Reactjs, Nodejs, MongoDB</v>
      </c>
      <c r="B97" s="42" t="s">
        <v>4052</v>
      </c>
      <c r="C97" s="41" t="s">
        <v>4005</v>
      </c>
      <c r="D97" s="41" t="s">
        <v>4004</v>
      </c>
      <c r="E97" s="41" t="s">
        <v>4074</v>
      </c>
      <c r="N97" s="38"/>
      <c r="P97" s="42" t="str">
        <f>IFERROR(__xludf.DUMMYFUNCTION("""COMPUTED_VALUE"""),"react")</f>
        <v>react</v>
      </c>
      <c r="Q97" s="41" t="str">
        <f>IFERROR(__xludf.DUMMYFUNCTION("""COMPUTED_VALUE"""),"holistics")</f>
        <v>holistics</v>
      </c>
      <c r="R97" s="41" t="str">
        <f>IFERROR(__xludf.DUMMYFUNCTION("""COMPUTED_VALUE"""),"sql")</f>
        <v>sql</v>
      </c>
      <c r="S97" s="41" t="str">
        <f>IFERROR(__xludf.DUMMYFUNCTION("""COMPUTED_VALUE"""),"jquery")</f>
        <v>jquery</v>
      </c>
      <c r="T97" s="41" t="str">
        <f>IFERROR(__xludf.DUMMYFUNCTION("""COMPUTED_VALUE"""),"ai/ml")</f>
        <v>ai/ml</v>
      </c>
      <c r="U97" s="41" t="str">
        <f>IFERROR(__xludf.DUMMYFUNCTION("""COMPUTED_VALUE"""),"")</f>
        <v/>
      </c>
      <c r="V97" s="41" t="str">
        <f>IFERROR(__xludf.DUMMYFUNCTION("""COMPUTED_VALUE"""),"")</f>
        <v/>
      </c>
      <c r="W97" s="41" t="str">
        <f>IFERROR(__xludf.DUMMYFUNCTION("""COMPUTED_VALUE"""),"")</f>
        <v/>
      </c>
      <c r="X97" s="41" t="str">
        <f>IFERROR(__xludf.DUMMYFUNCTION("""COMPUTED_VALUE"""),"")</f>
        <v/>
      </c>
      <c r="Y97" s="41" t="str">
        <f>IFERROR(__xludf.DUMMYFUNCTION("""COMPUTED_VALUE"""),"")</f>
        <v/>
      </c>
      <c r="Z97" s="41" t="str">
        <f>IFERROR(__xludf.DUMMYFUNCTION("""COMPUTED_VALUE"""),"")</f>
        <v/>
      </c>
      <c r="AA97" s="41" t="str">
        <f>IFERROR(__xludf.DUMMYFUNCTION("""COMPUTED_VALUE"""),"")</f>
        <v/>
      </c>
      <c r="AB97" s="38" t="str">
        <f>IFERROR(__xludf.DUMMYFUNCTION("""COMPUTED_VALUE"""),"")</f>
        <v/>
      </c>
    </row>
    <row r="98">
      <c r="A98" s="41" t="str">
        <f>IFERROR(__xludf.DUMMYFUNCTION("""COMPUTED_VALUE"""),"C# ")</f>
        <v>C# </v>
      </c>
      <c r="B98" s="42" t="s">
        <v>2599</v>
      </c>
      <c r="N98" s="38"/>
      <c r="P98" s="42" t="str">
        <f>IFERROR(__xludf.DUMMYFUNCTION("""COMPUTED_VALUE"""),"xcode")</f>
        <v>xcode</v>
      </c>
      <c r="Q98" s="41" t="str">
        <f>IFERROR(__xludf.DUMMYFUNCTION("""COMPUTED_VALUE"""),"react")</f>
        <v>react</v>
      </c>
      <c r="R98" s="41" t="str">
        <f>IFERROR(__xludf.DUMMYFUNCTION("""COMPUTED_VALUE"""),"docker")</f>
        <v>docker</v>
      </c>
      <c r="S98" s="41" t="str">
        <f>IFERROR(__xludf.DUMMYFUNCTION("""COMPUTED_VALUE"""),"mysql")</f>
        <v>mysql</v>
      </c>
      <c r="T98" s="41" t="str">
        <f>IFERROR(__xludf.DUMMYFUNCTION("""COMPUTED_VALUE"""),"laravel")</f>
        <v>laravel</v>
      </c>
      <c r="U98" s="41" t="str">
        <f>IFERROR(__xludf.DUMMYFUNCTION("""COMPUTED_VALUE"""),"")</f>
        <v/>
      </c>
      <c r="V98" s="41" t="str">
        <f>IFERROR(__xludf.DUMMYFUNCTION("""COMPUTED_VALUE"""),"")</f>
        <v/>
      </c>
      <c r="W98" s="41" t="str">
        <f>IFERROR(__xludf.DUMMYFUNCTION("""COMPUTED_VALUE"""),"")</f>
        <v/>
      </c>
      <c r="X98" s="41" t="str">
        <f>IFERROR(__xludf.DUMMYFUNCTION("""COMPUTED_VALUE"""),"")</f>
        <v/>
      </c>
      <c r="Y98" s="41" t="str">
        <f>IFERROR(__xludf.DUMMYFUNCTION("""COMPUTED_VALUE"""),"")</f>
        <v/>
      </c>
      <c r="Z98" s="41" t="str">
        <f>IFERROR(__xludf.DUMMYFUNCTION("""COMPUTED_VALUE"""),"")</f>
        <v/>
      </c>
      <c r="AA98" s="41" t="str">
        <f>IFERROR(__xludf.DUMMYFUNCTION("""COMPUTED_VALUE"""),"")</f>
        <v/>
      </c>
      <c r="AB98" s="38" t="str">
        <f>IFERROR(__xludf.DUMMYFUNCTION("""COMPUTED_VALUE"""),"")</f>
        <v/>
      </c>
    </row>
    <row r="99">
      <c r="A99" s="41" t="str">
        <f>IFERROR(__xludf.DUMMYFUNCTION("""COMPUTED_VALUE"""),"Javascript")</f>
        <v>Javascript</v>
      </c>
      <c r="B99" s="42" t="s">
        <v>712</v>
      </c>
      <c r="N99" s="38"/>
      <c r="P99" s="42" t="str">
        <f>IFERROR(__xludf.DUMMYFUNCTION("""COMPUTED_VALUE"""),"react")</f>
        <v>react</v>
      </c>
      <c r="Q99" s="41" t="str">
        <f>IFERROR(__xludf.DUMMYFUNCTION("""COMPUTED_VALUE"""),"spring")</f>
        <v>spring</v>
      </c>
      <c r="R99" s="41" t="str">
        <f>IFERROR(__xludf.DUMMYFUNCTION("""COMPUTED_VALUE"""),"sql")</f>
        <v>sql</v>
      </c>
      <c r="S99" s="41" t="str">
        <f>IFERROR(__xludf.DUMMYFUNCTION("""COMPUTED_VALUE"""),"docker")</f>
        <v>docker</v>
      </c>
      <c r="T99" s="41" t="str">
        <f>IFERROR(__xludf.DUMMYFUNCTION("""COMPUTED_VALUE"""),"")</f>
        <v/>
      </c>
      <c r="U99" s="41" t="str">
        <f>IFERROR(__xludf.DUMMYFUNCTION("""COMPUTED_VALUE"""),"")</f>
        <v/>
      </c>
      <c r="V99" s="41" t="str">
        <f>IFERROR(__xludf.DUMMYFUNCTION("""COMPUTED_VALUE"""),"")</f>
        <v/>
      </c>
      <c r="W99" s="41" t="str">
        <f>IFERROR(__xludf.DUMMYFUNCTION("""COMPUTED_VALUE"""),"")</f>
        <v/>
      </c>
      <c r="X99" s="41" t="str">
        <f>IFERROR(__xludf.DUMMYFUNCTION("""COMPUTED_VALUE"""),"")</f>
        <v/>
      </c>
      <c r="Y99" s="41" t="str">
        <f>IFERROR(__xludf.DUMMYFUNCTION("""COMPUTED_VALUE"""),"")</f>
        <v/>
      </c>
      <c r="Z99" s="41" t="str">
        <f>IFERROR(__xludf.DUMMYFUNCTION("""COMPUTED_VALUE"""),"")</f>
        <v/>
      </c>
      <c r="AA99" s="41" t="str">
        <f>IFERROR(__xludf.DUMMYFUNCTION("""COMPUTED_VALUE"""),"")</f>
        <v/>
      </c>
      <c r="AB99" s="38" t="str">
        <f>IFERROR(__xludf.DUMMYFUNCTION("""COMPUTED_VALUE"""),"")</f>
        <v/>
      </c>
    </row>
    <row r="100">
      <c r="A100" s="41" t="str">
        <f>IFERROR(__xludf.DUMMYFUNCTION("""COMPUTED_VALUE"""),"Nestjs,Vuejs,Google Cloud,PostgreSQL")</f>
        <v>Nestjs,Vuejs,Google Cloud,PostgreSQL</v>
      </c>
      <c r="B100" s="42" t="s">
        <v>4132</v>
      </c>
      <c r="C100" s="41" t="s">
        <v>3717</v>
      </c>
      <c r="D100" s="41" t="s">
        <v>4133</v>
      </c>
      <c r="E100" s="41" t="s">
        <v>4134</v>
      </c>
      <c r="N100" s="38"/>
      <c r="P100" s="42" t="str">
        <f>IFERROR(__xludf.DUMMYFUNCTION("""COMPUTED_VALUE"""),"nodejs")</f>
        <v>nodejs</v>
      </c>
      <c r="Q100" s="41" t="str">
        <f>IFERROR(__xludf.DUMMYFUNCTION("""COMPUTED_VALUE"""),"javascript")</f>
        <v>javascript</v>
      </c>
      <c r="R100" s="41" t="str">
        <f>IFERROR(__xludf.DUMMYFUNCTION("""COMPUTED_VALUE"""),"server")</f>
        <v>server</v>
      </c>
      <c r="S100" s="41" t="str">
        <f>IFERROR(__xludf.DUMMYFUNCTION("""COMPUTED_VALUE"""),"etc")</f>
        <v>etc</v>
      </c>
      <c r="T100" s="41" t="str">
        <f>IFERROR(__xludf.DUMMYFUNCTION("""COMPUTED_VALUE"""),"")</f>
        <v/>
      </c>
      <c r="U100" s="41" t="str">
        <f>IFERROR(__xludf.DUMMYFUNCTION("""COMPUTED_VALUE"""),"")</f>
        <v/>
      </c>
      <c r="V100" s="41" t="str">
        <f>IFERROR(__xludf.DUMMYFUNCTION("""COMPUTED_VALUE"""),"")</f>
        <v/>
      </c>
      <c r="W100" s="41" t="str">
        <f>IFERROR(__xludf.DUMMYFUNCTION("""COMPUTED_VALUE"""),"")</f>
        <v/>
      </c>
      <c r="X100" s="41" t="str">
        <f>IFERROR(__xludf.DUMMYFUNCTION("""COMPUTED_VALUE"""),"")</f>
        <v/>
      </c>
      <c r="Y100" s="41" t="str">
        <f>IFERROR(__xludf.DUMMYFUNCTION("""COMPUTED_VALUE"""),"")</f>
        <v/>
      </c>
      <c r="Z100" s="41" t="str">
        <f>IFERROR(__xludf.DUMMYFUNCTION("""COMPUTED_VALUE"""),"")</f>
        <v/>
      </c>
      <c r="AA100" s="41" t="str">
        <f>IFERROR(__xludf.DUMMYFUNCTION("""COMPUTED_VALUE"""),"")</f>
        <v/>
      </c>
      <c r="AB100" s="38" t="str">
        <f>IFERROR(__xludf.DUMMYFUNCTION("""COMPUTED_VALUE"""),"")</f>
        <v/>
      </c>
    </row>
    <row r="101">
      <c r="A101" s="41" t="str">
        <f>IFERROR(__xludf.DUMMYFUNCTION("""COMPUTED_VALUE"""),"C#, SQL Server")</f>
        <v>C#, SQL Server</v>
      </c>
      <c r="B101" s="42" t="s">
        <v>809</v>
      </c>
      <c r="C101" s="41" t="s">
        <v>3988</v>
      </c>
      <c r="N101" s="38"/>
      <c r="P101" s="42" t="str">
        <f>IFERROR(__xludf.DUMMYFUNCTION("""COMPUTED_VALUE"""),"python")</f>
        <v>python</v>
      </c>
      <c r="Q101" s="41" t="str">
        <f>IFERROR(__xludf.DUMMYFUNCTION("""COMPUTED_VALUE"""),"php")</f>
        <v>php</v>
      </c>
      <c r="R101" s="41" t="str">
        <f>IFERROR(__xludf.DUMMYFUNCTION("""COMPUTED_VALUE"""),"serverless")</f>
        <v>serverless</v>
      </c>
      <c r="S101" s="41" t="str">
        <f>IFERROR(__xludf.DUMMYFUNCTION("""COMPUTED_VALUE"""),"js")</f>
        <v>js</v>
      </c>
      <c r="T101" s="41" t="str">
        <f>IFERROR(__xludf.DUMMYFUNCTION("""COMPUTED_VALUE"""),"")</f>
        <v/>
      </c>
      <c r="U101" s="41" t="str">
        <f>IFERROR(__xludf.DUMMYFUNCTION("""COMPUTED_VALUE"""),"")</f>
        <v/>
      </c>
      <c r="V101" s="41" t="str">
        <f>IFERROR(__xludf.DUMMYFUNCTION("""COMPUTED_VALUE"""),"")</f>
        <v/>
      </c>
      <c r="W101" s="41" t="str">
        <f>IFERROR(__xludf.DUMMYFUNCTION("""COMPUTED_VALUE"""),"")</f>
        <v/>
      </c>
      <c r="X101" s="41" t="str">
        <f>IFERROR(__xludf.DUMMYFUNCTION("""COMPUTED_VALUE"""),"")</f>
        <v/>
      </c>
      <c r="Y101" s="41" t="str">
        <f>IFERROR(__xludf.DUMMYFUNCTION("""COMPUTED_VALUE"""),"")</f>
        <v/>
      </c>
      <c r="Z101" s="41" t="str">
        <f>IFERROR(__xludf.DUMMYFUNCTION("""COMPUTED_VALUE"""),"")</f>
        <v/>
      </c>
      <c r="AA101" s="41" t="str">
        <f>IFERROR(__xludf.DUMMYFUNCTION("""COMPUTED_VALUE"""),"")</f>
        <v/>
      </c>
      <c r="AB101" s="38" t="str">
        <f>IFERROR(__xludf.DUMMYFUNCTION("""COMPUTED_VALUE"""),"")</f>
        <v/>
      </c>
    </row>
    <row r="102">
      <c r="A102" s="41" t="str">
        <f>IFERROR(__xludf.DUMMYFUNCTION("""COMPUTED_VALUE"""),"PHP, MySQL, PowerBI")</f>
        <v>PHP, MySQL, PowerBI</v>
      </c>
      <c r="B102" s="42" t="s">
        <v>44</v>
      </c>
      <c r="C102" s="41" t="s">
        <v>4018</v>
      </c>
      <c r="D102" s="41" t="s">
        <v>4135</v>
      </c>
      <c r="N102" s="38"/>
      <c r="P102" s="42" t="str">
        <f>IFERROR(__xludf.DUMMYFUNCTION("""COMPUTED_VALUE"""),"c#")</f>
        <v>c#</v>
      </c>
      <c r="Q102" s="41" t="str">
        <f>IFERROR(__xludf.DUMMYFUNCTION("""COMPUTED_VALUE"""),"javascript")</f>
        <v>javascript</v>
      </c>
      <c r="R102" s="41" t="str">
        <f>IFERROR(__xludf.DUMMYFUNCTION("""COMPUTED_VALUE"""),"python")</f>
        <v>python</v>
      </c>
      <c r="S102" s="41" t="str">
        <f>IFERROR(__xludf.DUMMYFUNCTION("""COMPUTED_VALUE"""),"html")</f>
        <v>html</v>
      </c>
      <c r="T102" s="41" t="str">
        <f>IFERROR(__xludf.DUMMYFUNCTION("""COMPUTED_VALUE"""),"")</f>
        <v/>
      </c>
      <c r="U102" s="41" t="str">
        <f>IFERROR(__xludf.DUMMYFUNCTION("""COMPUTED_VALUE"""),"")</f>
        <v/>
      </c>
      <c r="V102" s="41" t="str">
        <f>IFERROR(__xludf.DUMMYFUNCTION("""COMPUTED_VALUE"""),"")</f>
        <v/>
      </c>
      <c r="W102" s="41" t="str">
        <f>IFERROR(__xludf.DUMMYFUNCTION("""COMPUTED_VALUE"""),"")</f>
        <v/>
      </c>
      <c r="X102" s="41" t="str">
        <f>IFERROR(__xludf.DUMMYFUNCTION("""COMPUTED_VALUE"""),"")</f>
        <v/>
      </c>
      <c r="Y102" s="41" t="str">
        <f>IFERROR(__xludf.DUMMYFUNCTION("""COMPUTED_VALUE"""),"")</f>
        <v/>
      </c>
      <c r="Z102" s="41" t="str">
        <f>IFERROR(__xludf.DUMMYFUNCTION("""COMPUTED_VALUE"""),"")</f>
        <v/>
      </c>
      <c r="AA102" s="41" t="str">
        <f>IFERROR(__xludf.DUMMYFUNCTION("""COMPUTED_VALUE"""),"")</f>
        <v/>
      </c>
      <c r="AB102" s="38" t="str">
        <f>IFERROR(__xludf.DUMMYFUNCTION("""COMPUTED_VALUE"""),"")</f>
        <v/>
      </c>
    </row>
    <row r="103">
      <c r="A103" s="41" t="str">
        <f>IFERROR(__xludf.DUMMYFUNCTION("""COMPUTED_VALUE"""),".NET, .NET Core, Redis, Azure DevOps, MSSQL")</f>
        <v>.NET, .NET Core, Redis, Azure DevOps, MSSQL</v>
      </c>
      <c r="B103" s="42" t="s">
        <v>163</v>
      </c>
      <c r="C103" s="41" t="s">
        <v>4136</v>
      </c>
      <c r="D103" s="41" t="s">
        <v>4137</v>
      </c>
      <c r="E103" s="41" t="s">
        <v>3986</v>
      </c>
      <c r="F103" s="41" t="s">
        <v>4138</v>
      </c>
      <c r="N103" s="38"/>
      <c r="P103" s="42" t="str">
        <f>IFERROR(__xludf.DUMMYFUNCTION("""COMPUTED_VALUE"""),"java")</f>
        <v>java</v>
      </c>
      <c r="Q103" s="41" t="str">
        <f>IFERROR(__xludf.DUMMYFUNCTION("""COMPUTED_VALUE"""),"pytorch.")</f>
        <v>pytorch.</v>
      </c>
      <c r="R103" s="41" t="str">
        <f>IFERROR(__xludf.DUMMYFUNCTION("""COMPUTED_VALUE"""),"flutter")</f>
        <v>flutter</v>
      </c>
      <c r="S103" s="41" t="str">
        <f>IFERROR(__xludf.DUMMYFUNCTION("""COMPUTED_VALUE"""),"hadoop")</f>
        <v>hadoop</v>
      </c>
      <c r="T103" s="41" t="str">
        <f>IFERROR(__xludf.DUMMYFUNCTION("""COMPUTED_VALUE"""),"")</f>
        <v/>
      </c>
      <c r="U103" s="41" t="str">
        <f>IFERROR(__xludf.DUMMYFUNCTION("""COMPUTED_VALUE"""),"")</f>
        <v/>
      </c>
      <c r="V103" s="41" t="str">
        <f>IFERROR(__xludf.DUMMYFUNCTION("""COMPUTED_VALUE"""),"")</f>
        <v/>
      </c>
      <c r="W103" s="41" t="str">
        <f>IFERROR(__xludf.DUMMYFUNCTION("""COMPUTED_VALUE"""),"")</f>
        <v/>
      </c>
      <c r="X103" s="41" t="str">
        <f>IFERROR(__xludf.DUMMYFUNCTION("""COMPUTED_VALUE"""),"")</f>
        <v/>
      </c>
      <c r="Y103" s="41" t="str">
        <f>IFERROR(__xludf.DUMMYFUNCTION("""COMPUTED_VALUE"""),"")</f>
        <v/>
      </c>
      <c r="Z103" s="41" t="str">
        <f>IFERROR(__xludf.DUMMYFUNCTION("""COMPUTED_VALUE"""),"")</f>
        <v/>
      </c>
      <c r="AA103" s="41" t="str">
        <f>IFERROR(__xludf.DUMMYFUNCTION("""COMPUTED_VALUE"""),"")</f>
        <v/>
      </c>
      <c r="AB103" s="38" t="str">
        <f>IFERROR(__xludf.DUMMYFUNCTION("""COMPUTED_VALUE"""),"")</f>
        <v/>
      </c>
    </row>
    <row r="104">
      <c r="A104" s="41" t="str">
        <f>IFERROR(__xludf.DUMMYFUNCTION("""COMPUTED_VALUE"""),"SQL &amp; Python")</f>
        <v>SQL &amp; Python</v>
      </c>
      <c r="B104" s="42" t="s">
        <v>243</v>
      </c>
      <c r="N104" s="38"/>
      <c r="P104" s="42" t="str">
        <f>IFERROR(__xludf.DUMMYFUNCTION("""COMPUTED_VALUE"""),"jsp")</f>
        <v>jsp</v>
      </c>
      <c r="Q104" s="41" t="str">
        <f>IFERROR(__xludf.DUMMYFUNCTION("""COMPUTED_VALUE"""),"vue.js")</f>
        <v>vue.js</v>
      </c>
      <c r="R104" s="41" t="str">
        <f>IFERROR(__xludf.DUMMYFUNCTION("""COMPUTED_VALUE"""),"javascript")</f>
        <v>javascript</v>
      </c>
      <c r="S104" s="41" t="str">
        <f>IFERROR(__xludf.DUMMYFUNCTION("""COMPUTED_VALUE"""),"mongo")</f>
        <v>mongo</v>
      </c>
      <c r="T104" s="41" t="str">
        <f>IFERROR(__xludf.DUMMYFUNCTION("""COMPUTED_VALUE"""),"")</f>
        <v/>
      </c>
      <c r="U104" s="41" t="str">
        <f>IFERROR(__xludf.DUMMYFUNCTION("""COMPUTED_VALUE"""),"")</f>
        <v/>
      </c>
      <c r="V104" s="41" t="str">
        <f>IFERROR(__xludf.DUMMYFUNCTION("""COMPUTED_VALUE"""),"")</f>
        <v/>
      </c>
      <c r="W104" s="41" t="str">
        <f>IFERROR(__xludf.DUMMYFUNCTION("""COMPUTED_VALUE"""),"")</f>
        <v/>
      </c>
      <c r="X104" s="41" t="str">
        <f>IFERROR(__xludf.DUMMYFUNCTION("""COMPUTED_VALUE"""),"")</f>
        <v/>
      </c>
      <c r="Y104" s="41" t="str">
        <f>IFERROR(__xludf.DUMMYFUNCTION("""COMPUTED_VALUE"""),"")</f>
        <v/>
      </c>
      <c r="Z104" s="41" t="str">
        <f>IFERROR(__xludf.DUMMYFUNCTION("""COMPUTED_VALUE"""),"")</f>
        <v/>
      </c>
      <c r="AA104" s="41" t="str">
        <f>IFERROR(__xludf.DUMMYFUNCTION("""COMPUTED_VALUE"""),"")</f>
        <v/>
      </c>
      <c r="AB104" s="38" t="str">
        <f>IFERROR(__xludf.DUMMYFUNCTION("""COMPUTED_VALUE"""),"")</f>
        <v/>
      </c>
    </row>
    <row r="105">
      <c r="A105" s="41" t="str">
        <f>IFERROR(__xludf.DUMMYFUNCTION("""COMPUTED_VALUE"""),"Django")</f>
        <v>Django</v>
      </c>
      <c r="B105" s="42" t="s">
        <v>658</v>
      </c>
      <c r="N105" s="38"/>
      <c r="P105" s="42" t="str">
        <f>IFERROR(__xludf.DUMMYFUNCTION("""COMPUTED_VALUE"""),"laravel")</f>
        <v>laravel</v>
      </c>
      <c r="Q105" s="41" t="str">
        <f>IFERROR(__xludf.DUMMYFUNCTION("""COMPUTED_VALUE"""),".net")</f>
        <v>.net</v>
      </c>
      <c r="R105" s="41" t="str">
        <f>IFERROR(__xludf.DUMMYFUNCTION("""COMPUTED_VALUE"""),"php")</f>
        <v>php</v>
      </c>
      <c r="S105" s="41" t="str">
        <f>IFERROR(__xludf.DUMMYFUNCTION("""COMPUTED_VALUE"""),"java")</f>
        <v>java</v>
      </c>
      <c r="T105" s="41" t="str">
        <f>IFERROR(__xludf.DUMMYFUNCTION("""COMPUTED_VALUE"""),"")</f>
        <v/>
      </c>
      <c r="U105" s="41" t="str">
        <f>IFERROR(__xludf.DUMMYFUNCTION("""COMPUTED_VALUE"""),"")</f>
        <v/>
      </c>
      <c r="V105" s="41" t="str">
        <f>IFERROR(__xludf.DUMMYFUNCTION("""COMPUTED_VALUE"""),"")</f>
        <v/>
      </c>
      <c r="W105" s="41" t="str">
        <f>IFERROR(__xludf.DUMMYFUNCTION("""COMPUTED_VALUE"""),"")</f>
        <v/>
      </c>
      <c r="X105" s="41" t="str">
        <f>IFERROR(__xludf.DUMMYFUNCTION("""COMPUTED_VALUE"""),"")</f>
        <v/>
      </c>
      <c r="Y105" s="41" t="str">
        <f>IFERROR(__xludf.DUMMYFUNCTION("""COMPUTED_VALUE"""),"")</f>
        <v/>
      </c>
      <c r="Z105" s="41" t="str">
        <f>IFERROR(__xludf.DUMMYFUNCTION("""COMPUTED_VALUE"""),"")</f>
        <v/>
      </c>
      <c r="AA105" s="41" t="str">
        <f>IFERROR(__xludf.DUMMYFUNCTION("""COMPUTED_VALUE"""),"")</f>
        <v/>
      </c>
      <c r="AB105" s="38" t="str">
        <f>IFERROR(__xludf.DUMMYFUNCTION("""COMPUTED_VALUE"""),"")</f>
        <v/>
      </c>
    </row>
    <row r="106">
      <c r="A106" s="41" t="str">
        <f>IFERROR(__xludf.DUMMYFUNCTION("""COMPUTED_VALUE"""),"python, mysql, mssql, shell")</f>
        <v>python, mysql, mssql, shell</v>
      </c>
      <c r="B106" s="42" t="s">
        <v>508</v>
      </c>
      <c r="C106" s="41" t="s">
        <v>3981</v>
      </c>
      <c r="D106" s="41" t="s">
        <v>4139</v>
      </c>
      <c r="E106" s="41" t="s">
        <v>4140</v>
      </c>
      <c r="N106" s="38"/>
      <c r="P106" s="42" t="str">
        <f>IFERROR(__xludf.DUMMYFUNCTION("""COMPUTED_VALUE"""),"java")</f>
        <v>java</v>
      </c>
      <c r="Q106" s="41" t="str">
        <f>IFERROR(__xludf.DUMMYFUNCTION("""COMPUTED_VALUE"""),"python")</f>
        <v>python</v>
      </c>
      <c r="R106" s="41" t="str">
        <f>IFERROR(__xludf.DUMMYFUNCTION("""COMPUTED_VALUE"""),"java")</f>
        <v>java</v>
      </c>
      <c r="S106" s="41" t="str">
        <f>IFERROR(__xludf.DUMMYFUNCTION("""COMPUTED_VALUE"""),"spring")</f>
        <v>spring</v>
      </c>
      <c r="T106" s="41" t="str">
        <f>IFERROR(__xludf.DUMMYFUNCTION("""COMPUTED_VALUE"""),"")</f>
        <v/>
      </c>
      <c r="U106" s="41" t="str">
        <f>IFERROR(__xludf.DUMMYFUNCTION("""COMPUTED_VALUE"""),"")</f>
        <v/>
      </c>
      <c r="V106" s="41" t="str">
        <f>IFERROR(__xludf.DUMMYFUNCTION("""COMPUTED_VALUE"""),"")</f>
        <v/>
      </c>
      <c r="W106" s="41" t="str">
        <f>IFERROR(__xludf.DUMMYFUNCTION("""COMPUTED_VALUE"""),"")</f>
        <v/>
      </c>
      <c r="X106" s="41" t="str">
        <f>IFERROR(__xludf.DUMMYFUNCTION("""COMPUTED_VALUE"""),"")</f>
        <v/>
      </c>
      <c r="Y106" s="41" t="str">
        <f>IFERROR(__xludf.DUMMYFUNCTION("""COMPUTED_VALUE"""),"")</f>
        <v/>
      </c>
      <c r="Z106" s="41" t="str">
        <f>IFERROR(__xludf.DUMMYFUNCTION("""COMPUTED_VALUE"""),"")</f>
        <v/>
      </c>
      <c r="AA106" s="41" t="str">
        <f>IFERROR(__xludf.DUMMYFUNCTION("""COMPUTED_VALUE"""),"")</f>
        <v/>
      </c>
      <c r="AB106" s="38" t="str">
        <f>IFERROR(__xludf.DUMMYFUNCTION("""COMPUTED_VALUE"""),"")</f>
        <v/>
      </c>
    </row>
    <row r="107">
      <c r="A107" s="41" t="str">
        <f>IFERROR(__xludf.DUMMYFUNCTION("""COMPUTED_VALUE"""),"Java, SQL, Talend")</f>
        <v>Java, SQL, Talend</v>
      </c>
      <c r="B107" s="42" t="s">
        <v>224</v>
      </c>
      <c r="C107" s="41" t="s">
        <v>4120</v>
      </c>
      <c r="D107" s="41" t="s">
        <v>4141</v>
      </c>
      <c r="N107" s="38"/>
      <c r="P107" s="42" t="str">
        <f>IFERROR(__xludf.DUMMYFUNCTION("""COMPUTED_VALUE"""),"aws")</f>
        <v>aws</v>
      </c>
      <c r="Q107" s="41" t="str">
        <f>IFERROR(__xludf.DUMMYFUNCTION("""COMPUTED_VALUE"""),"deep")</f>
        <v>deep</v>
      </c>
      <c r="R107" s="41" t="str">
        <f>IFERROR(__xludf.DUMMYFUNCTION("""COMPUTED_VALUE"""),"database")</f>
        <v>database</v>
      </c>
      <c r="S107" s="41" t="str">
        <f>IFERROR(__xludf.DUMMYFUNCTION("""COMPUTED_VALUE"""),"android")</f>
        <v>android</v>
      </c>
      <c r="T107" s="41" t="str">
        <f>IFERROR(__xludf.DUMMYFUNCTION("""COMPUTED_VALUE"""),"")</f>
        <v/>
      </c>
      <c r="U107" s="41" t="str">
        <f>IFERROR(__xludf.DUMMYFUNCTION("""COMPUTED_VALUE"""),"")</f>
        <v/>
      </c>
      <c r="V107" s="41" t="str">
        <f>IFERROR(__xludf.DUMMYFUNCTION("""COMPUTED_VALUE"""),"")</f>
        <v/>
      </c>
      <c r="W107" s="41" t="str">
        <f>IFERROR(__xludf.DUMMYFUNCTION("""COMPUTED_VALUE"""),"")</f>
        <v/>
      </c>
      <c r="X107" s="41" t="str">
        <f>IFERROR(__xludf.DUMMYFUNCTION("""COMPUTED_VALUE"""),"")</f>
        <v/>
      </c>
      <c r="Y107" s="41" t="str">
        <f>IFERROR(__xludf.DUMMYFUNCTION("""COMPUTED_VALUE"""),"")</f>
        <v/>
      </c>
      <c r="Z107" s="41" t="str">
        <f>IFERROR(__xludf.DUMMYFUNCTION("""COMPUTED_VALUE"""),"")</f>
        <v/>
      </c>
      <c r="AA107" s="41" t="str">
        <f>IFERROR(__xludf.DUMMYFUNCTION("""COMPUTED_VALUE"""),"")</f>
        <v/>
      </c>
      <c r="AB107" s="38" t="str">
        <f>IFERROR(__xludf.DUMMYFUNCTION("""COMPUTED_VALUE"""),"")</f>
        <v/>
      </c>
    </row>
    <row r="108">
      <c r="A108" s="41" t="str">
        <f>IFERROR(__xludf.DUMMYFUNCTION("""COMPUTED_VALUE"""),"Kubernetes,Alicloud,MS Team")</f>
        <v>Kubernetes,Alicloud,MS Team</v>
      </c>
      <c r="B108" s="42" t="s">
        <v>3903</v>
      </c>
      <c r="C108" s="41" t="s">
        <v>4142</v>
      </c>
      <c r="D108" s="41" t="s">
        <v>4143</v>
      </c>
      <c r="N108" s="38"/>
      <c r="P108" s="42" t="str">
        <f>IFERROR(__xludf.DUMMYFUNCTION("""COMPUTED_VALUE"""),"django")</f>
        <v>django</v>
      </c>
      <c r="Q108" s="41" t="str">
        <f>IFERROR(__xludf.DUMMYFUNCTION("""COMPUTED_VALUE"""),"learning")</f>
        <v>learning</v>
      </c>
      <c r="R108" s="41" t="str">
        <f>IFERROR(__xludf.DUMMYFUNCTION("""COMPUTED_VALUE"""),"javascript")</f>
        <v>javascript</v>
      </c>
      <c r="S108" s="41" t="str">
        <f>IFERROR(__xludf.DUMMYFUNCTION("""COMPUTED_VALUE"""),"studio")</f>
        <v>studio</v>
      </c>
      <c r="T108" s="41" t="str">
        <f>IFERROR(__xludf.DUMMYFUNCTION("""COMPUTED_VALUE"""),"")</f>
        <v/>
      </c>
      <c r="U108" s="41" t="str">
        <f>IFERROR(__xludf.DUMMYFUNCTION("""COMPUTED_VALUE"""),"")</f>
        <v/>
      </c>
      <c r="V108" s="41" t="str">
        <f>IFERROR(__xludf.DUMMYFUNCTION("""COMPUTED_VALUE"""),"")</f>
        <v/>
      </c>
      <c r="W108" s="41" t="str">
        <f>IFERROR(__xludf.DUMMYFUNCTION("""COMPUTED_VALUE"""),"")</f>
        <v/>
      </c>
      <c r="X108" s="41" t="str">
        <f>IFERROR(__xludf.DUMMYFUNCTION("""COMPUTED_VALUE"""),"")</f>
        <v/>
      </c>
      <c r="Y108" s="41" t="str">
        <f>IFERROR(__xludf.DUMMYFUNCTION("""COMPUTED_VALUE"""),"")</f>
        <v/>
      </c>
      <c r="Z108" s="41" t="str">
        <f>IFERROR(__xludf.DUMMYFUNCTION("""COMPUTED_VALUE"""),"")</f>
        <v/>
      </c>
      <c r="AA108" s="41" t="str">
        <f>IFERROR(__xludf.DUMMYFUNCTION("""COMPUTED_VALUE"""),"")</f>
        <v/>
      </c>
      <c r="AB108" s="38" t="str">
        <f>IFERROR(__xludf.DUMMYFUNCTION("""COMPUTED_VALUE"""),"")</f>
        <v/>
      </c>
    </row>
    <row r="109">
      <c r="A109" s="41" t="str">
        <f>IFERROR(__xludf.DUMMYFUNCTION("""COMPUTED_VALUE"""),"Asp.net, Angular")</f>
        <v>Asp.net, Angular</v>
      </c>
      <c r="B109" s="42" t="s">
        <v>4144</v>
      </c>
      <c r="C109" s="41" t="s">
        <v>3998</v>
      </c>
      <c r="N109" s="38"/>
      <c r="P109" s="42" t="str">
        <f>IFERROR(__xludf.DUMMYFUNCTION("""COMPUTED_VALUE"""),"nodejs")</f>
        <v>nodejs</v>
      </c>
      <c r="Q109" s="41" t="str">
        <f>IFERROR(__xludf.DUMMYFUNCTION("""COMPUTED_VALUE"""),"typescript")</f>
        <v>typescript</v>
      </c>
      <c r="R109" s="41" t="str">
        <f>IFERROR(__xludf.DUMMYFUNCTION("""COMPUTED_VALUE"""),"azure")</f>
        <v>azure</v>
      </c>
      <c r="S109" s="41" t="str">
        <f>IFERROR(__xludf.DUMMYFUNCTION("""COMPUTED_VALUE"""),"gitlab")</f>
        <v>gitlab</v>
      </c>
      <c r="T109" s="41" t="str">
        <f>IFERROR(__xludf.DUMMYFUNCTION("""COMPUTED_VALUE"""),"")</f>
        <v/>
      </c>
      <c r="U109" s="41" t="str">
        <f>IFERROR(__xludf.DUMMYFUNCTION("""COMPUTED_VALUE"""),"")</f>
        <v/>
      </c>
      <c r="V109" s="41" t="str">
        <f>IFERROR(__xludf.DUMMYFUNCTION("""COMPUTED_VALUE"""),"")</f>
        <v/>
      </c>
      <c r="W109" s="41" t="str">
        <f>IFERROR(__xludf.DUMMYFUNCTION("""COMPUTED_VALUE"""),"")</f>
        <v/>
      </c>
      <c r="X109" s="41" t="str">
        <f>IFERROR(__xludf.DUMMYFUNCTION("""COMPUTED_VALUE"""),"")</f>
        <v/>
      </c>
      <c r="Y109" s="41" t="str">
        <f>IFERROR(__xludf.DUMMYFUNCTION("""COMPUTED_VALUE"""),"")</f>
        <v/>
      </c>
      <c r="Z109" s="41" t="str">
        <f>IFERROR(__xludf.DUMMYFUNCTION("""COMPUTED_VALUE"""),"")</f>
        <v/>
      </c>
      <c r="AA109" s="41" t="str">
        <f>IFERROR(__xludf.DUMMYFUNCTION("""COMPUTED_VALUE"""),"")</f>
        <v/>
      </c>
      <c r="AB109" s="38" t="str">
        <f>IFERROR(__xludf.DUMMYFUNCTION("""COMPUTED_VALUE"""),"")</f>
        <v/>
      </c>
    </row>
    <row r="110">
      <c r="A110" s="41" t="str">
        <f>IFERROR(__xludf.DUMMYFUNCTION("""COMPUTED_VALUE"""),"Linux, aws, python, js")</f>
        <v>Linux, aws, python, js</v>
      </c>
      <c r="B110" s="42" t="s">
        <v>4118</v>
      </c>
      <c r="C110" s="41" t="s">
        <v>4034</v>
      </c>
      <c r="D110" s="41" t="s">
        <v>4033</v>
      </c>
      <c r="E110" s="41" t="s">
        <v>3964</v>
      </c>
      <c r="N110" s="38"/>
      <c r="P110" s="42" t="str">
        <f>IFERROR(__xludf.DUMMYFUNCTION("""COMPUTED_VALUE"""),"python")</f>
        <v>python</v>
      </c>
      <c r="Q110" s="41" t="str">
        <f>IFERROR(__xludf.DUMMYFUNCTION("""COMPUTED_VALUE"""),"spring")</f>
        <v>spring</v>
      </c>
      <c r="R110" s="41" t="str">
        <f>IFERROR(__xludf.DUMMYFUNCTION("""COMPUTED_VALUE"""),"devops")</f>
        <v>devops</v>
      </c>
      <c r="S110" s="41" t="str">
        <f>IFERROR(__xludf.DUMMYFUNCTION("""COMPUTED_VALUE"""),"express")</f>
        <v>express</v>
      </c>
      <c r="T110" s="41" t="str">
        <f>IFERROR(__xludf.DUMMYFUNCTION("""COMPUTED_VALUE"""),"")</f>
        <v/>
      </c>
      <c r="U110" s="41" t="str">
        <f>IFERROR(__xludf.DUMMYFUNCTION("""COMPUTED_VALUE"""),"")</f>
        <v/>
      </c>
      <c r="V110" s="41" t="str">
        <f>IFERROR(__xludf.DUMMYFUNCTION("""COMPUTED_VALUE"""),"")</f>
        <v/>
      </c>
      <c r="W110" s="41" t="str">
        <f>IFERROR(__xludf.DUMMYFUNCTION("""COMPUTED_VALUE"""),"")</f>
        <v/>
      </c>
      <c r="X110" s="41" t="str">
        <f>IFERROR(__xludf.DUMMYFUNCTION("""COMPUTED_VALUE"""),"")</f>
        <v/>
      </c>
      <c r="Y110" s="41" t="str">
        <f>IFERROR(__xludf.DUMMYFUNCTION("""COMPUTED_VALUE"""),"")</f>
        <v/>
      </c>
      <c r="Z110" s="41" t="str">
        <f>IFERROR(__xludf.DUMMYFUNCTION("""COMPUTED_VALUE"""),"")</f>
        <v/>
      </c>
      <c r="AA110" s="41" t="str">
        <f>IFERROR(__xludf.DUMMYFUNCTION("""COMPUTED_VALUE"""),"")</f>
        <v/>
      </c>
      <c r="AB110" s="38" t="str">
        <f>IFERROR(__xludf.DUMMYFUNCTION("""COMPUTED_VALUE"""),"")</f>
        <v/>
      </c>
    </row>
    <row r="111">
      <c r="A111" s="41" t="str">
        <f>IFERROR(__xludf.DUMMYFUNCTION("""COMPUTED_VALUE"""),"Ruby, rails, coldfusion, html, css, javascript, sql")</f>
        <v>Ruby, rails, coldfusion, html, css, javascript, sql</v>
      </c>
      <c r="B111" s="42" t="s">
        <v>1393</v>
      </c>
      <c r="C111" s="41" t="s">
        <v>4145</v>
      </c>
      <c r="D111" s="41" t="s">
        <v>4146</v>
      </c>
      <c r="E111" s="41" t="s">
        <v>4147</v>
      </c>
      <c r="F111" s="41" t="s">
        <v>4148</v>
      </c>
      <c r="G111" s="41" t="s">
        <v>3980</v>
      </c>
      <c r="H111" s="41" t="s">
        <v>4149</v>
      </c>
      <c r="N111" s="38"/>
      <c r="P111" s="42" t="str">
        <f>IFERROR(__xludf.DUMMYFUNCTION("""COMPUTED_VALUE"""),"aws")</f>
        <v>aws</v>
      </c>
      <c r="Q111" s="41" t="str">
        <f>IFERROR(__xludf.DUMMYFUNCTION("""COMPUTED_VALUE"""),"boot")</f>
        <v>boot</v>
      </c>
      <c r="R111" s="41" t="str">
        <f>IFERROR(__xludf.DUMMYFUNCTION("""COMPUTED_VALUE"""),"microsoft")</f>
        <v>microsoft</v>
      </c>
      <c r="S111" s="41" t="str">
        <f>IFERROR(__xludf.DUMMYFUNCTION("""COMPUTED_VALUE"""),"mysql")</f>
        <v>mysql</v>
      </c>
      <c r="T111" s="41" t="str">
        <f>IFERROR(__xludf.DUMMYFUNCTION("""COMPUTED_VALUE"""),"")</f>
        <v/>
      </c>
      <c r="U111" s="41" t="str">
        <f>IFERROR(__xludf.DUMMYFUNCTION("""COMPUTED_VALUE"""),"")</f>
        <v/>
      </c>
      <c r="V111" s="41" t="str">
        <f>IFERROR(__xludf.DUMMYFUNCTION("""COMPUTED_VALUE"""),"")</f>
        <v/>
      </c>
      <c r="W111" s="41" t="str">
        <f>IFERROR(__xludf.DUMMYFUNCTION("""COMPUTED_VALUE"""),"")</f>
        <v/>
      </c>
      <c r="X111" s="41" t="str">
        <f>IFERROR(__xludf.DUMMYFUNCTION("""COMPUTED_VALUE"""),"")</f>
        <v/>
      </c>
      <c r="Y111" s="41" t="str">
        <f>IFERROR(__xludf.DUMMYFUNCTION("""COMPUTED_VALUE"""),"")</f>
        <v/>
      </c>
      <c r="Z111" s="41" t="str">
        <f>IFERROR(__xludf.DUMMYFUNCTION("""COMPUTED_VALUE"""),"")</f>
        <v/>
      </c>
      <c r="AA111" s="41" t="str">
        <f>IFERROR(__xludf.DUMMYFUNCTION("""COMPUTED_VALUE"""),"")</f>
        <v/>
      </c>
      <c r="AB111" s="38" t="str">
        <f>IFERROR(__xludf.DUMMYFUNCTION("""COMPUTED_VALUE"""),"")</f>
        <v/>
      </c>
    </row>
    <row r="112">
      <c r="A112" s="41" t="str">
        <f>IFERROR(__xludf.DUMMYFUNCTION("""COMPUTED_VALUE"""),"Coldfusion")</f>
        <v>Coldfusion</v>
      </c>
      <c r="B112" s="42" t="s">
        <v>507</v>
      </c>
      <c r="N112" s="38"/>
      <c r="P112" s="42" t="str">
        <f>IFERROR(__xludf.DUMMYFUNCTION("""COMPUTED_VALUE"""),"linux")</f>
        <v>linux</v>
      </c>
      <c r="Q112" s="41" t="str">
        <f>IFERROR(__xludf.DUMMYFUNCTION("""COMPUTED_VALUE"""),"php")</f>
        <v>php</v>
      </c>
      <c r="R112" s="41" t="str">
        <f>IFERROR(__xludf.DUMMYFUNCTION("""COMPUTED_VALUE"""),"azure")</f>
        <v>azure</v>
      </c>
      <c r="S112" s="41" t="str">
        <f>IFERROR(__xludf.DUMMYFUNCTION("""COMPUTED_VALUE"""),"java")</f>
        <v>java</v>
      </c>
      <c r="T112" s="41" t="str">
        <f>IFERROR(__xludf.DUMMYFUNCTION("""COMPUTED_VALUE"""),"")</f>
        <v/>
      </c>
      <c r="U112" s="41" t="str">
        <f>IFERROR(__xludf.DUMMYFUNCTION("""COMPUTED_VALUE"""),"")</f>
        <v/>
      </c>
      <c r="V112" s="41" t="str">
        <f>IFERROR(__xludf.DUMMYFUNCTION("""COMPUTED_VALUE"""),"")</f>
        <v/>
      </c>
      <c r="W112" s="41" t="str">
        <f>IFERROR(__xludf.DUMMYFUNCTION("""COMPUTED_VALUE"""),"")</f>
        <v/>
      </c>
      <c r="X112" s="41" t="str">
        <f>IFERROR(__xludf.DUMMYFUNCTION("""COMPUTED_VALUE"""),"")</f>
        <v/>
      </c>
      <c r="Y112" s="41" t="str">
        <f>IFERROR(__xludf.DUMMYFUNCTION("""COMPUTED_VALUE"""),"")</f>
        <v/>
      </c>
      <c r="Z112" s="41" t="str">
        <f>IFERROR(__xludf.DUMMYFUNCTION("""COMPUTED_VALUE"""),"")</f>
        <v/>
      </c>
      <c r="AA112" s="41" t="str">
        <f>IFERROR(__xludf.DUMMYFUNCTION("""COMPUTED_VALUE"""),"")</f>
        <v/>
      </c>
      <c r="AB112" s="38" t="str">
        <f>IFERROR(__xludf.DUMMYFUNCTION("""COMPUTED_VALUE"""),"")</f>
        <v/>
      </c>
    </row>
    <row r="113">
      <c r="A113" s="41" t="str">
        <f>IFERROR(__xludf.DUMMYFUNCTION("""COMPUTED_VALUE"""),"Java")</f>
        <v>Java</v>
      </c>
      <c r="B113" s="42" t="s">
        <v>224</v>
      </c>
      <c r="N113" s="38"/>
      <c r="P113" s="42" t="str">
        <f>IFERROR(__xludf.DUMMYFUNCTION("""COMPUTED_VALUE"""),"django")</f>
        <v>django</v>
      </c>
      <c r="Q113" s="41" t="str">
        <f>IFERROR(__xludf.DUMMYFUNCTION("""COMPUTED_VALUE"""),"nodejs")</f>
        <v>nodejs</v>
      </c>
      <c r="R113" s="41" t="str">
        <f>IFERROR(__xludf.DUMMYFUNCTION("""COMPUTED_VALUE"""),"rails")</f>
        <v>rails</v>
      </c>
      <c r="S113" s="41" t="str">
        <f>IFERROR(__xludf.DUMMYFUNCTION("""COMPUTED_VALUE"""),"jquery")</f>
        <v>jquery</v>
      </c>
      <c r="T113" s="41" t="str">
        <f>IFERROR(__xludf.DUMMYFUNCTION("""COMPUTED_VALUE"""),"")</f>
        <v/>
      </c>
      <c r="U113" s="41" t="str">
        <f>IFERROR(__xludf.DUMMYFUNCTION("""COMPUTED_VALUE"""),"")</f>
        <v/>
      </c>
      <c r="V113" s="41" t="str">
        <f>IFERROR(__xludf.DUMMYFUNCTION("""COMPUTED_VALUE"""),"")</f>
        <v/>
      </c>
      <c r="W113" s="41" t="str">
        <f>IFERROR(__xludf.DUMMYFUNCTION("""COMPUTED_VALUE"""),"")</f>
        <v/>
      </c>
      <c r="X113" s="41" t="str">
        <f>IFERROR(__xludf.DUMMYFUNCTION("""COMPUTED_VALUE"""),"")</f>
        <v/>
      </c>
      <c r="Y113" s="41" t="str">
        <f>IFERROR(__xludf.DUMMYFUNCTION("""COMPUTED_VALUE"""),"")</f>
        <v/>
      </c>
      <c r="Z113" s="41" t="str">
        <f>IFERROR(__xludf.DUMMYFUNCTION("""COMPUTED_VALUE"""),"")</f>
        <v/>
      </c>
      <c r="AA113" s="41" t="str">
        <f>IFERROR(__xludf.DUMMYFUNCTION("""COMPUTED_VALUE"""),"")</f>
        <v/>
      </c>
      <c r="AB113" s="38" t="str">
        <f>IFERROR(__xludf.DUMMYFUNCTION("""COMPUTED_VALUE"""),"")</f>
        <v/>
      </c>
    </row>
    <row r="114">
      <c r="A114" s="41" t="str">
        <f>IFERROR(__xludf.DUMMYFUNCTION("""COMPUTED_VALUE"""),"Java")</f>
        <v>Java</v>
      </c>
      <c r="B114" s="42" t="s">
        <v>224</v>
      </c>
      <c r="N114" s="38"/>
      <c r="P114" s="42" t="str">
        <f>IFERROR(__xludf.DUMMYFUNCTION("""COMPUTED_VALUE"""),"kubernetes")</f>
        <v>kubernetes</v>
      </c>
      <c r="Q114" s="41" t="str">
        <f>IFERROR(__xludf.DUMMYFUNCTION("""COMPUTED_VALUE"""),"nodejs")</f>
        <v>nodejs</v>
      </c>
      <c r="R114" s="41" t="str">
        <f>IFERROR(__xludf.DUMMYFUNCTION("""COMPUTED_VALUE"""),"node")</f>
        <v>node</v>
      </c>
      <c r="S114" s="41" t="str">
        <f>IFERROR(__xludf.DUMMYFUNCTION("""COMPUTED_VALUE"""),"graphql")</f>
        <v>graphql</v>
      </c>
      <c r="T114" s="41" t="str">
        <f>IFERROR(__xludf.DUMMYFUNCTION("""COMPUTED_VALUE"""),"")</f>
        <v/>
      </c>
      <c r="U114" s="41" t="str">
        <f>IFERROR(__xludf.DUMMYFUNCTION("""COMPUTED_VALUE"""),"")</f>
        <v/>
      </c>
      <c r="V114" s="41" t="str">
        <f>IFERROR(__xludf.DUMMYFUNCTION("""COMPUTED_VALUE"""),"")</f>
        <v/>
      </c>
      <c r="W114" s="41" t="str">
        <f>IFERROR(__xludf.DUMMYFUNCTION("""COMPUTED_VALUE"""),"")</f>
        <v/>
      </c>
      <c r="X114" s="41" t="str">
        <f>IFERROR(__xludf.DUMMYFUNCTION("""COMPUTED_VALUE"""),"")</f>
        <v/>
      </c>
      <c r="Y114" s="41" t="str">
        <f>IFERROR(__xludf.DUMMYFUNCTION("""COMPUTED_VALUE"""),"")</f>
        <v/>
      </c>
      <c r="Z114" s="41" t="str">
        <f>IFERROR(__xludf.DUMMYFUNCTION("""COMPUTED_VALUE"""),"")</f>
        <v/>
      </c>
      <c r="AA114" s="41" t="str">
        <f>IFERROR(__xludf.DUMMYFUNCTION("""COMPUTED_VALUE"""),"")</f>
        <v/>
      </c>
      <c r="AB114" s="38" t="str">
        <f>IFERROR(__xludf.DUMMYFUNCTION("""COMPUTED_VALUE"""),"")</f>
        <v/>
      </c>
    </row>
    <row r="115">
      <c r="A115" s="41" t="str">
        <f>IFERROR(__xludf.DUMMYFUNCTION("""COMPUTED_VALUE"""),"Java, python")</f>
        <v>Java, python</v>
      </c>
      <c r="B115" s="42" t="s">
        <v>224</v>
      </c>
      <c r="C115" s="41" t="s">
        <v>4033</v>
      </c>
      <c r="N115" s="38"/>
      <c r="P115" s="42" t="str">
        <f>IFERROR(__xludf.DUMMYFUNCTION("""COMPUTED_VALUE"""),"rpa")</f>
        <v>rpa</v>
      </c>
      <c r="Q115" s="41" t="str">
        <f>IFERROR(__xludf.DUMMYFUNCTION("""COMPUTED_VALUE"""),"c#")</f>
        <v>c#</v>
      </c>
      <c r="R115" s="41" t="str">
        <f>IFERROR(__xludf.DUMMYFUNCTION("""COMPUTED_VALUE"""),"bi")</f>
        <v>bi</v>
      </c>
      <c r="S115" s="41" t="str">
        <f>IFERROR(__xludf.DUMMYFUNCTION("""COMPUTED_VALUE"""),"nodejs")</f>
        <v>nodejs</v>
      </c>
      <c r="T115" s="41" t="str">
        <f>IFERROR(__xludf.DUMMYFUNCTION("""COMPUTED_VALUE"""),"")</f>
        <v/>
      </c>
      <c r="U115" s="41" t="str">
        <f>IFERROR(__xludf.DUMMYFUNCTION("""COMPUTED_VALUE"""),"")</f>
        <v/>
      </c>
      <c r="V115" s="41" t="str">
        <f>IFERROR(__xludf.DUMMYFUNCTION("""COMPUTED_VALUE"""),"")</f>
        <v/>
      </c>
      <c r="W115" s="41" t="str">
        <f>IFERROR(__xludf.DUMMYFUNCTION("""COMPUTED_VALUE"""),"")</f>
        <v/>
      </c>
      <c r="X115" s="41" t="str">
        <f>IFERROR(__xludf.DUMMYFUNCTION("""COMPUTED_VALUE"""),"")</f>
        <v/>
      </c>
      <c r="Y115" s="41" t="str">
        <f>IFERROR(__xludf.DUMMYFUNCTION("""COMPUTED_VALUE"""),"")</f>
        <v/>
      </c>
      <c r="Z115" s="41" t="str">
        <f>IFERROR(__xludf.DUMMYFUNCTION("""COMPUTED_VALUE"""),"")</f>
        <v/>
      </c>
      <c r="AA115" s="41" t="str">
        <f>IFERROR(__xludf.DUMMYFUNCTION("""COMPUTED_VALUE"""),"")</f>
        <v/>
      </c>
      <c r="AB115" s="38" t="str">
        <f>IFERROR(__xludf.DUMMYFUNCTION("""COMPUTED_VALUE"""),"")</f>
        <v/>
      </c>
    </row>
    <row r="116">
      <c r="A116" s="41" t="str">
        <f>IFERROR(__xludf.DUMMYFUNCTION("""COMPUTED_VALUE"""),"any")</f>
        <v>any</v>
      </c>
      <c r="B116" s="42" t="s">
        <v>2204</v>
      </c>
      <c r="N116" s="38"/>
      <c r="P116" s="42" t="str">
        <f>IFERROR(__xludf.DUMMYFUNCTION("""COMPUTED_VALUE"""),"cloud")</f>
        <v>cloud</v>
      </c>
      <c r="Q116" s="41" t="str">
        <f>IFERROR(__xludf.DUMMYFUNCTION("""COMPUTED_VALUE"""),"cloud")</f>
        <v>cloud</v>
      </c>
      <c r="R116" s="41" t="str">
        <f>IFERROR(__xludf.DUMMYFUNCTION("""COMPUTED_VALUE"""),"tool")</f>
        <v>tool</v>
      </c>
      <c r="S116" s="41" t="str">
        <f>IFERROR(__xludf.DUMMYFUNCTION("""COMPUTED_VALUE"""),"postgresql")</f>
        <v>postgresql</v>
      </c>
      <c r="T116" s="41" t="str">
        <f>IFERROR(__xludf.DUMMYFUNCTION("""COMPUTED_VALUE"""),"")</f>
        <v/>
      </c>
      <c r="U116" s="41" t="str">
        <f>IFERROR(__xludf.DUMMYFUNCTION("""COMPUTED_VALUE"""),"")</f>
        <v/>
      </c>
      <c r="V116" s="41" t="str">
        <f>IFERROR(__xludf.DUMMYFUNCTION("""COMPUTED_VALUE"""),"")</f>
        <v/>
      </c>
      <c r="W116" s="41" t="str">
        <f>IFERROR(__xludf.DUMMYFUNCTION("""COMPUTED_VALUE"""),"")</f>
        <v/>
      </c>
      <c r="X116" s="41" t="str">
        <f>IFERROR(__xludf.DUMMYFUNCTION("""COMPUTED_VALUE"""),"")</f>
        <v/>
      </c>
      <c r="Y116" s="41" t="str">
        <f>IFERROR(__xludf.DUMMYFUNCTION("""COMPUTED_VALUE"""),"")</f>
        <v/>
      </c>
      <c r="Z116" s="41" t="str">
        <f>IFERROR(__xludf.DUMMYFUNCTION("""COMPUTED_VALUE"""),"")</f>
        <v/>
      </c>
      <c r="AA116" s="41" t="str">
        <f>IFERROR(__xludf.DUMMYFUNCTION("""COMPUTED_VALUE"""),"")</f>
        <v/>
      </c>
      <c r="AB116" s="38" t="str">
        <f>IFERROR(__xludf.DUMMYFUNCTION("""COMPUTED_VALUE"""),"")</f>
        <v/>
      </c>
    </row>
    <row r="117">
      <c r="A117" s="41" t="str">
        <f>IFERROR(__xludf.DUMMYFUNCTION("""COMPUTED_VALUE"""),"Laravel, Ionic")</f>
        <v>Laravel, Ionic</v>
      </c>
      <c r="B117" s="42" t="s">
        <v>103</v>
      </c>
      <c r="C117" s="41" t="s">
        <v>4150</v>
      </c>
      <c r="N117" s="38"/>
      <c r="P117" s="42" t="str">
        <f>IFERROR(__xludf.DUMMYFUNCTION("""COMPUTED_VALUE"""),"erp")</f>
        <v>erp</v>
      </c>
      <c r="Q117" s="41" t="str">
        <f>IFERROR(__xludf.DUMMYFUNCTION("""COMPUTED_VALUE"""),"django")</f>
        <v>django</v>
      </c>
      <c r="R117" s="41" t="str">
        <f>IFERROR(__xludf.DUMMYFUNCTION("""COMPUTED_VALUE"""),"vue.js")</f>
        <v>vue.js</v>
      </c>
      <c r="S117" s="41" t="str">
        <f>IFERROR(__xludf.DUMMYFUNCTION("""COMPUTED_VALUE"""),"vscode")</f>
        <v>vscode</v>
      </c>
      <c r="T117" s="41" t="str">
        <f>IFERROR(__xludf.DUMMYFUNCTION("""COMPUTED_VALUE"""),"")</f>
        <v/>
      </c>
      <c r="U117" s="41" t="str">
        <f>IFERROR(__xludf.DUMMYFUNCTION("""COMPUTED_VALUE"""),"")</f>
        <v/>
      </c>
      <c r="V117" s="41" t="str">
        <f>IFERROR(__xludf.DUMMYFUNCTION("""COMPUTED_VALUE"""),"")</f>
        <v/>
      </c>
      <c r="W117" s="41" t="str">
        <f>IFERROR(__xludf.DUMMYFUNCTION("""COMPUTED_VALUE"""),"")</f>
        <v/>
      </c>
      <c r="X117" s="41" t="str">
        <f>IFERROR(__xludf.DUMMYFUNCTION("""COMPUTED_VALUE"""),"")</f>
        <v/>
      </c>
      <c r="Y117" s="41" t="str">
        <f>IFERROR(__xludf.DUMMYFUNCTION("""COMPUTED_VALUE"""),"")</f>
        <v/>
      </c>
      <c r="Z117" s="41" t="str">
        <f>IFERROR(__xludf.DUMMYFUNCTION("""COMPUTED_VALUE"""),"")</f>
        <v/>
      </c>
      <c r="AA117" s="41" t="str">
        <f>IFERROR(__xludf.DUMMYFUNCTION("""COMPUTED_VALUE"""),"")</f>
        <v/>
      </c>
      <c r="AB117" s="38" t="str">
        <f>IFERROR(__xludf.DUMMYFUNCTION("""COMPUTED_VALUE"""),"")</f>
        <v/>
      </c>
    </row>
    <row r="118">
      <c r="A118" s="41" t="str">
        <f>IFERROR(__xludf.DUMMYFUNCTION("""COMPUTED_VALUE"""),"Laravel, kubernetes, gcloud (gke mainly), nodejs, etc")</f>
        <v>Laravel, kubernetes, gcloud (gke mainly), nodejs, etc</v>
      </c>
      <c r="B118" s="42" t="s">
        <v>103</v>
      </c>
      <c r="C118" s="41" t="s">
        <v>4151</v>
      </c>
      <c r="D118" s="41" t="s">
        <v>4152</v>
      </c>
      <c r="E118" s="41" t="s">
        <v>4049</v>
      </c>
      <c r="F118" s="41" t="s">
        <v>4153</v>
      </c>
      <c r="N118" s="38"/>
      <c r="P118" s="42" t="str">
        <f>IFERROR(__xludf.DUMMYFUNCTION("""COMPUTED_VALUE"""),"c++")</f>
        <v>c++</v>
      </c>
      <c r="Q118" s="41" t="str">
        <f>IFERROR(__xludf.DUMMYFUNCTION("""COMPUTED_VALUE"""),"slack")</f>
        <v>slack</v>
      </c>
      <c r="R118" s="41" t="str">
        <f>IFERROR(__xludf.DUMMYFUNCTION("""COMPUTED_VALUE"""),"aws")</f>
        <v>aws</v>
      </c>
      <c r="S118" s="41" t="str">
        <f>IFERROR(__xludf.DUMMYFUNCTION("""COMPUTED_VALUE"""),"spark")</f>
        <v>spark</v>
      </c>
      <c r="T118" s="41" t="str">
        <f>IFERROR(__xludf.DUMMYFUNCTION("""COMPUTED_VALUE"""),"")</f>
        <v/>
      </c>
      <c r="U118" s="41" t="str">
        <f>IFERROR(__xludf.DUMMYFUNCTION("""COMPUTED_VALUE"""),"")</f>
        <v/>
      </c>
      <c r="V118" s="41" t="str">
        <f>IFERROR(__xludf.DUMMYFUNCTION("""COMPUTED_VALUE"""),"")</f>
        <v/>
      </c>
      <c r="W118" s="41" t="str">
        <f>IFERROR(__xludf.DUMMYFUNCTION("""COMPUTED_VALUE"""),"")</f>
        <v/>
      </c>
      <c r="X118" s="41" t="str">
        <f>IFERROR(__xludf.DUMMYFUNCTION("""COMPUTED_VALUE"""),"")</f>
        <v/>
      </c>
      <c r="Y118" s="41" t="str">
        <f>IFERROR(__xludf.DUMMYFUNCTION("""COMPUTED_VALUE"""),"")</f>
        <v/>
      </c>
      <c r="Z118" s="41" t="str">
        <f>IFERROR(__xludf.DUMMYFUNCTION("""COMPUTED_VALUE"""),"")</f>
        <v/>
      </c>
      <c r="AA118" s="41" t="str">
        <f>IFERROR(__xludf.DUMMYFUNCTION("""COMPUTED_VALUE"""),"")</f>
        <v/>
      </c>
      <c r="AB118" s="38" t="str">
        <f>IFERROR(__xludf.DUMMYFUNCTION("""COMPUTED_VALUE"""),"")</f>
        <v/>
      </c>
    </row>
    <row r="119">
      <c r="A119" s="41" t="str">
        <f>IFERROR(__xludf.DUMMYFUNCTION("""COMPUTED_VALUE"""),"Java")</f>
        <v>Java</v>
      </c>
      <c r="B119" s="42" t="s">
        <v>224</v>
      </c>
      <c r="N119" s="38"/>
      <c r="P119" s="42" t="str">
        <f>IFERROR(__xludf.DUMMYFUNCTION("""COMPUTED_VALUE"""),"kotlin")</f>
        <v>kotlin</v>
      </c>
      <c r="Q119" s="41" t="str">
        <f>IFERROR(__xludf.DUMMYFUNCTION("""COMPUTED_VALUE"""),"php")</f>
        <v>php</v>
      </c>
      <c r="R119" s="41" t="str">
        <f>IFERROR(__xludf.DUMMYFUNCTION("""COMPUTED_VALUE"""),"nodejs")</f>
        <v>nodejs</v>
      </c>
      <c r="S119" s="41" t="str">
        <f>IFERROR(__xludf.DUMMYFUNCTION("""COMPUTED_VALUE"""),"hyper-v")</f>
        <v>hyper-v</v>
      </c>
      <c r="T119" s="41" t="str">
        <f>IFERROR(__xludf.DUMMYFUNCTION("""COMPUTED_VALUE"""),"")</f>
        <v/>
      </c>
      <c r="U119" s="41" t="str">
        <f>IFERROR(__xludf.DUMMYFUNCTION("""COMPUTED_VALUE"""),"")</f>
        <v/>
      </c>
      <c r="V119" s="41" t="str">
        <f>IFERROR(__xludf.DUMMYFUNCTION("""COMPUTED_VALUE"""),"")</f>
        <v/>
      </c>
      <c r="W119" s="41" t="str">
        <f>IFERROR(__xludf.DUMMYFUNCTION("""COMPUTED_VALUE"""),"")</f>
        <v/>
      </c>
      <c r="X119" s="41" t="str">
        <f>IFERROR(__xludf.DUMMYFUNCTION("""COMPUTED_VALUE"""),"")</f>
        <v/>
      </c>
      <c r="Y119" s="41" t="str">
        <f>IFERROR(__xludf.DUMMYFUNCTION("""COMPUTED_VALUE"""),"")</f>
        <v/>
      </c>
      <c r="Z119" s="41" t="str">
        <f>IFERROR(__xludf.DUMMYFUNCTION("""COMPUTED_VALUE"""),"")</f>
        <v/>
      </c>
      <c r="AA119" s="41" t="str">
        <f>IFERROR(__xludf.DUMMYFUNCTION("""COMPUTED_VALUE"""),"")</f>
        <v/>
      </c>
      <c r="AB119" s="38" t="str">
        <f>IFERROR(__xludf.DUMMYFUNCTION("""COMPUTED_VALUE"""),"")</f>
        <v/>
      </c>
    </row>
    <row r="120">
      <c r="A120" s="41" t="str">
        <f>IFERROR(__xludf.DUMMYFUNCTION("""COMPUTED_VALUE"""),"J2EE")</f>
        <v>J2EE</v>
      </c>
      <c r="B120" s="42" t="s">
        <v>1731</v>
      </c>
      <c r="N120" s="38"/>
      <c r="P120" s="42" t="str">
        <f>IFERROR(__xludf.DUMMYFUNCTION("""COMPUTED_VALUE"""),"aws")</f>
        <v>aws</v>
      </c>
      <c r="Q120" s="41" t="str">
        <f>IFERROR(__xludf.DUMMYFUNCTION("""COMPUTED_VALUE"""),"reactjs")</f>
        <v>reactjs</v>
      </c>
      <c r="R120" s="41" t="str">
        <f>IFERROR(__xludf.DUMMYFUNCTION("""COMPUTED_VALUE"""),"docker")</f>
        <v>docker</v>
      </c>
      <c r="S120" s="41" t="str">
        <f>IFERROR(__xludf.DUMMYFUNCTION("""COMPUTED_VALUE"""),"nodejs")</f>
        <v>nodejs</v>
      </c>
      <c r="T120" s="41" t="str">
        <f>IFERROR(__xludf.DUMMYFUNCTION("""COMPUTED_VALUE"""),"")</f>
        <v/>
      </c>
      <c r="U120" s="41" t="str">
        <f>IFERROR(__xludf.DUMMYFUNCTION("""COMPUTED_VALUE"""),"")</f>
        <v/>
      </c>
      <c r="V120" s="41" t="str">
        <f>IFERROR(__xludf.DUMMYFUNCTION("""COMPUTED_VALUE"""),"")</f>
        <v/>
      </c>
      <c r="W120" s="41" t="str">
        <f>IFERROR(__xludf.DUMMYFUNCTION("""COMPUTED_VALUE"""),"")</f>
        <v/>
      </c>
      <c r="X120" s="41" t="str">
        <f>IFERROR(__xludf.DUMMYFUNCTION("""COMPUTED_VALUE"""),"")</f>
        <v/>
      </c>
      <c r="Y120" s="41" t="str">
        <f>IFERROR(__xludf.DUMMYFUNCTION("""COMPUTED_VALUE"""),"")</f>
        <v/>
      </c>
      <c r="Z120" s="41" t="str">
        <f>IFERROR(__xludf.DUMMYFUNCTION("""COMPUTED_VALUE"""),"")</f>
        <v/>
      </c>
      <c r="AA120" s="41" t="str">
        <f>IFERROR(__xludf.DUMMYFUNCTION("""COMPUTED_VALUE"""),"")</f>
        <v/>
      </c>
      <c r="AB120" s="38" t="str">
        <f>IFERROR(__xludf.DUMMYFUNCTION("""COMPUTED_VALUE"""),"")</f>
        <v/>
      </c>
    </row>
    <row r="121">
      <c r="A121" s="41" t="str">
        <f>IFERROR(__xludf.DUMMYFUNCTION("""COMPUTED_VALUE"""),"MERN stack ")</f>
        <v>MERN stack </v>
      </c>
      <c r="B121" s="42" t="s">
        <v>2642</v>
      </c>
      <c r="N121" s="38"/>
      <c r="P121" s="42" t="str">
        <f>IFERROR(__xludf.DUMMYFUNCTION("""COMPUTED_VALUE"""),"documentation")</f>
        <v>documentation</v>
      </c>
      <c r="Q121" s="41" t="str">
        <f>IFERROR(__xludf.DUMMYFUNCTION("""COMPUTED_VALUE"""),"net")</f>
        <v>net</v>
      </c>
      <c r="R121" s="41" t="str">
        <f>IFERROR(__xludf.DUMMYFUNCTION("""COMPUTED_VALUE"""),"power")</f>
        <v>power</v>
      </c>
      <c r="S121" s="41" t="str">
        <f>IFERROR(__xludf.DUMMYFUNCTION("""COMPUTED_VALUE"""),"/express")</f>
        <v>/express</v>
      </c>
      <c r="T121" s="41" t="str">
        <f>IFERROR(__xludf.DUMMYFUNCTION("""COMPUTED_VALUE"""),"")</f>
        <v/>
      </c>
      <c r="U121" s="41" t="str">
        <f>IFERROR(__xludf.DUMMYFUNCTION("""COMPUTED_VALUE"""),"")</f>
        <v/>
      </c>
      <c r="V121" s="41" t="str">
        <f>IFERROR(__xludf.DUMMYFUNCTION("""COMPUTED_VALUE"""),"")</f>
        <v/>
      </c>
      <c r="W121" s="41" t="str">
        <f>IFERROR(__xludf.DUMMYFUNCTION("""COMPUTED_VALUE"""),"")</f>
        <v/>
      </c>
      <c r="X121" s="41" t="str">
        <f>IFERROR(__xludf.DUMMYFUNCTION("""COMPUTED_VALUE"""),"")</f>
        <v/>
      </c>
      <c r="Y121" s="41" t="str">
        <f>IFERROR(__xludf.DUMMYFUNCTION("""COMPUTED_VALUE"""),"")</f>
        <v/>
      </c>
      <c r="Z121" s="41" t="str">
        <f>IFERROR(__xludf.DUMMYFUNCTION("""COMPUTED_VALUE"""),"")</f>
        <v/>
      </c>
      <c r="AA121" s="41" t="str">
        <f>IFERROR(__xludf.DUMMYFUNCTION("""COMPUTED_VALUE"""),"")</f>
        <v/>
      </c>
      <c r="AB121" s="38" t="str">
        <f>IFERROR(__xludf.DUMMYFUNCTION("""COMPUTED_VALUE"""),"")</f>
        <v/>
      </c>
    </row>
    <row r="122">
      <c r="A122" s="41" t="str">
        <f>IFERROR(__xludf.DUMMYFUNCTION("""COMPUTED_VALUE"""),"C#,HTML,JS")</f>
        <v>C#,HTML,JS</v>
      </c>
      <c r="B122" s="42" t="s">
        <v>809</v>
      </c>
      <c r="C122" s="41" t="s">
        <v>4154</v>
      </c>
      <c r="D122" s="41" t="s">
        <v>4047</v>
      </c>
      <c r="N122" s="38"/>
      <c r="P122" s="42" t="str">
        <f>IFERROR(__xludf.DUMMYFUNCTION("""COMPUTED_VALUE"""),"and")</f>
        <v>and</v>
      </c>
      <c r="Q122" s="41" t="str">
        <f>IFERROR(__xludf.DUMMYFUNCTION("""COMPUTED_VALUE"""),"core")</f>
        <v>core</v>
      </c>
      <c r="R122" s="41" t="str">
        <f>IFERROR(__xludf.DUMMYFUNCTION("""COMPUTED_VALUE"""),"bi")</f>
        <v>bi</v>
      </c>
      <c r="S122" s="41" t="str">
        <f>IFERROR(__xludf.DUMMYFUNCTION("""COMPUTED_VALUE"""),"nodejs")</f>
        <v>nodejs</v>
      </c>
      <c r="T122" s="41" t="str">
        <f>IFERROR(__xludf.DUMMYFUNCTION("""COMPUTED_VALUE"""),"")</f>
        <v/>
      </c>
      <c r="U122" s="41" t="str">
        <f>IFERROR(__xludf.DUMMYFUNCTION("""COMPUTED_VALUE"""),"")</f>
        <v/>
      </c>
      <c r="V122" s="41" t="str">
        <f>IFERROR(__xludf.DUMMYFUNCTION("""COMPUTED_VALUE"""),"")</f>
        <v/>
      </c>
      <c r="W122" s="41" t="str">
        <f>IFERROR(__xludf.DUMMYFUNCTION("""COMPUTED_VALUE"""),"")</f>
        <v/>
      </c>
      <c r="X122" s="41" t="str">
        <f>IFERROR(__xludf.DUMMYFUNCTION("""COMPUTED_VALUE"""),"")</f>
        <v/>
      </c>
      <c r="Y122" s="41" t="str">
        <f>IFERROR(__xludf.DUMMYFUNCTION("""COMPUTED_VALUE"""),"")</f>
        <v/>
      </c>
      <c r="Z122" s="41" t="str">
        <f>IFERROR(__xludf.DUMMYFUNCTION("""COMPUTED_VALUE"""),"")</f>
        <v/>
      </c>
      <c r="AA122" s="41" t="str">
        <f>IFERROR(__xludf.DUMMYFUNCTION("""COMPUTED_VALUE"""),"")</f>
        <v/>
      </c>
      <c r="AB122" s="38" t="str">
        <f>IFERROR(__xludf.DUMMYFUNCTION("""COMPUTED_VALUE"""),"")</f>
        <v/>
      </c>
    </row>
    <row r="123">
      <c r="A123" s="41" t="str">
        <f>IFERROR(__xludf.DUMMYFUNCTION("""COMPUTED_VALUE"""),"Aws, Holistics, Hex")</f>
        <v>Aws, Holistics, Hex</v>
      </c>
      <c r="B123" s="42" t="s">
        <v>4006</v>
      </c>
      <c r="C123" s="41" t="s">
        <v>4155</v>
      </c>
      <c r="D123" s="41" t="s">
        <v>4156</v>
      </c>
      <c r="N123" s="38"/>
      <c r="P123" s="42" t="str">
        <f>IFERROR(__xludf.DUMMYFUNCTION("""COMPUTED_VALUE"""),"website")</f>
        <v>website</v>
      </c>
      <c r="Q123" s="41" t="str">
        <f>IFERROR(__xludf.DUMMYFUNCTION("""COMPUTED_VALUE"""),"aws")</f>
        <v>aws</v>
      </c>
      <c r="R123" s="41" t="str">
        <f>IFERROR(__xludf.DUMMYFUNCTION("""COMPUTED_VALUE"""),"sql")</f>
        <v>sql</v>
      </c>
      <c r="S123" s="41" t="str">
        <f>IFERROR(__xludf.DUMMYFUNCTION("""COMPUTED_VALUE"""),"bootstrap")</f>
        <v>bootstrap</v>
      </c>
      <c r="T123" s="41" t="str">
        <f>IFERROR(__xludf.DUMMYFUNCTION("""COMPUTED_VALUE"""),"")</f>
        <v/>
      </c>
      <c r="U123" s="41" t="str">
        <f>IFERROR(__xludf.DUMMYFUNCTION("""COMPUTED_VALUE"""),"")</f>
        <v/>
      </c>
      <c r="V123" s="41" t="str">
        <f>IFERROR(__xludf.DUMMYFUNCTION("""COMPUTED_VALUE"""),"")</f>
        <v/>
      </c>
      <c r="W123" s="41" t="str">
        <f>IFERROR(__xludf.DUMMYFUNCTION("""COMPUTED_VALUE"""),"")</f>
        <v/>
      </c>
      <c r="X123" s="41" t="str">
        <f>IFERROR(__xludf.DUMMYFUNCTION("""COMPUTED_VALUE"""),"")</f>
        <v/>
      </c>
      <c r="Y123" s="41" t="str">
        <f>IFERROR(__xludf.DUMMYFUNCTION("""COMPUTED_VALUE"""),"")</f>
        <v/>
      </c>
      <c r="Z123" s="41" t="str">
        <f>IFERROR(__xludf.DUMMYFUNCTION("""COMPUTED_VALUE"""),"")</f>
        <v/>
      </c>
      <c r="AA123" s="41" t="str">
        <f>IFERROR(__xludf.DUMMYFUNCTION("""COMPUTED_VALUE"""),"")</f>
        <v/>
      </c>
      <c r="AB123" s="38" t="str">
        <f>IFERROR(__xludf.DUMMYFUNCTION("""COMPUTED_VALUE"""),"")</f>
        <v/>
      </c>
    </row>
    <row r="124">
      <c r="A124" s="41" t="str">
        <f>IFERROR(__xludf.DUMMYFUNCTION("""COMPUTED_VALUE"""),".NET")</f>
        <v>.NET</v>
      </c>
      <c r="B124" s="42" t="s">
        <v>163</v>
      </c>
      <c r="N124" s="38"/>
      <c r="P124" s="42" t="str">
        <f>IFERROR(__xludf.DUMMYFUNCTION("""COMPUTED_VALUE"""),"development")</f>
        <v>development</v>
      </c>
      <c r="Q124" s="41" t="str">
        <f>IFERROR(__xludf.DUMMYFUNCTION("""COMPUTED_VALUE"""),"python")</f>
        <v>python</v>
      </c>
      <c r="R124" s="41" t="str">
        <f>IFERROR(__xludf.DUMMYFUNCTION("""COMPUTED_VALUE"""),"server")</f>
        <v>server</v>
      </c>
      <c r="S124" s="41" t="str">
        <f>IFERROR(__xludf.DUMMYFUNCTION("""COMPUTED_VALUE"""),"azure")</f>
        <v>azure</v>
      </c>
      <c r="T124" s="41" t="str">
        <f>IFERROR(__xludf.DUMMYFUNCTION("""COMPUTED_VALUE"""),"")</f>
        <v/>
      </c>
      <c r="U124" s="41" t="str">
        <f>IFERROR(__xludf.DUMMYFUNCTION("""COMPUTED_VALUE"""),"")</f>
        <v/>
      </c>
      <c r="V124" s="41" t="str">
        <f>IFERROR(__xludf.DUMMYFUNCTION("""COMPUTED_VALUE"""),"")</f>
        <v/>
      </c>
      <c r="W124" s="41" t="str">
        <f>IFERROR(__xludf.DUMMYFUNCTION("""COMPUTED_VALUE"""),"")</f>
        <v/>
      </c>
      <c r="X124" s="41" t="str">
        <f>IFERROR(__xludf.DUMMYFUNCTION("""COMPUTED_VALUE"""),"")</f>
        <v/>
      </c>
      <c r="Y124" s="41" t="str">
        <f>IFERROR(__xludf.DUMMYFUNCTION("""COMPUTED_VALUE"""),"")</f>
        <v/>
      </c>
      <c r="Z124" s="41" t="str">
        <f>IFERROR(__xludf.DUMMYFUNCTION("""COMPUTED_VALUE"""),"")</f>
        <v/>
      </c>
      <c r="AA124" s="41" t="str">
        <f>IFERROR(__xludf.DUMMYFUNCTION("""COMPUTED_VALUE"""),"")</f>
        <v/>
      </c>
      <c r="AB124" s="38" t="str">
        <f>IFERROR(__xludf.DUMMYFUNCTION("""COMPUTED_VALUE"""),"")</f>
        <v/>
      </c>
    </row>
    <row r="125">
      <c r="A125" s="41" t="str">
        <f>IFERROR(__xludf.DUMMYFUNCTION("""COMPUTED_VALUE"""),"Javascript, React, HTML, CSS, GraphQL, MongoDB, Nodejs")</f>
        <v>Javascript, React, HTML, CSS, GraphQL, MongoDB, Nodejs</v>
      </c>
      <c r="B125" s="42" t="s">
        <v>712</v>
      </c>
      <c r="C125" s="41" t="s">
        <v>4012</v>
      </c>
      <c r="D125" s="41" t="s">
        <v>4113</v>
      </c>
      <c r="E125" s="41" t="s">
        <v>4114</v>
      </c>
      <c r="F125" s="41" t="s">
        <v>4157</v>
      </c>
      <c r="G125" s="41" t="s">
        <v>4074</v>
      </c>
      <c r="H125" s="41" t="s">
        <v>4004</v>
      </c>
      <c r="N125" s="38"/>
      <c r="P125" s="42" t="str">
        <f>IFERROR(__xludf.DUMMYFUNCTION("""COMPUTED_VALUE"""),"java")</f>
        <v>java</v>
      </c>
      <c r="Q125" s="41" t="str">
        <f>IFERROR(__xludf.DUMMYFUNCTION("""COMPUTED_VALUE"""),"swift")</f>
        <v>swift</v>
      </c>
      <c r="R125" s="41" t="str">
        <f>IFERROR(__xludf.DUMMYFUNCTION("""COMPUTED_VALUE"""),"typescript")</f>
        <v>typescript</v>
      </c>
      <c r="S125" s="41" t="str">
        <f>IFERROR(__xludf.DUMMYFUNCTION("""COMPUTED_VALUE"""),"services")</f>
        <v>services</v>
      </c>
      <c r="T125" s="41" t="str">
        <f>IFERROR(__xludf.DUMMYFUNCTION("""COMPUTED_VALUE"""),"")</f>
        <v/>
      </c>
      <c r="U125" s="41" t="str">
        <f>IFERROR(__xludf.DUMMYFUNCTION("""COMPUTED_VALUE"""),"")</f>
        <v/>
      </c>
      <c r="V125" s="41" t="str">
        <f>IFERROR(__xludf.DUMMYFUNCTION("""COMPUTED_VALUE"""),"")</f>
        <v/>
      </c>
      <c r="W125" s="41" t="str">
        <f>IFERROR(__xludf.DUMMYFUNCTION("""COMPUTED_VALUE"""),"")</f>
        <v/>
      </c>
      <c r="X125" s="41" t="str">
        <f>IFERROR(__xludf.DUMMYFUNCTION("""COMPUTED_VALUE"""),"")</f>
        <v/>
      </c>
      <c r="Y125" s="41" t="str">
        <f>IFERROR(__xludf.DUMMYFUNCTION("""COMPUTED_VALUE"""),"")</f>
        <v/>
      </c>
      <c r="Z125" s="41" t="str">
        <f>IFERROR(__xludf.DUMMYFUNCTION("""COMPUTED_VALUE"""),"")</f>
        <v/>
      </c>
      <c r="AA125" s="41" t="str">
        <f>IFERROR(__xludf.DUMMYFUNCTION("""COMPUTED_VALUE"""),"")</f>
        <v/>
      </c>
      <c r="AB125" s="38" t="str">
        <f>IFERROR(__xludf.DUMMYFUNCTION("""COMPUTED_VALUE"""),"")</f>
        <v/>
      </c>
    </row>
    <row r="126">
      <c r="A126" s="41" t="str">
        <f>IFERROR(__xludf.DUMMYFUNCTION("""COMPUTED_VALUE"""),"Laptop")</f>
        <v>Laptop</v>
      </c>
      <c r="B126" s="42" t="s">
        <v>87</v>
      </c>
      <c r="N126" s="38"/>
      <c r="P126" s="42" t="str">
        <f>IFERROR(__xludf.DUMMYFUNCTION("""COMPUTED_VALUE"""),"typescript")</f>
        <v>typescript</v>
      </c>
      <c r="Q126" s="41" t="str">
        <f>IFERROR(__xludf.DUMMYFUNCTION("""COMPUTED_VALUE"""),"pks")</f>
        <v>pks</v>
      </c>
      <c r="R126" s="41" t="str">
        <f>IFERROR(__xludf.DUMMYFUNCTION("""COMPUTED_VALUE"""),"mysql")</f>
        <v>mysql</v>
      </c>
      <c r="S126" s="41" t="str">
        <f>IFERROR(__xludf.DUMMYFUNCTION("""COMPUTED_VALUE"""),"etc")</f>
        <v>etc</v>
      </c>
      <c r="T126" s="41" t="str">
        <f>IFERROR(__xludf.DUMMYFUNCTION("""COMPUTED_VALUE"""),"")</f>
        <v/>
      </c>
      <c r="U126" s="41" t="str">
        <f>IFERROR(__xludf.DUMMYFUNCTION("""COMPUTED_VALUE"""),"")</f>
        <v/>
      </c>
      <c r="V126" s="41" t="str">
        <f>IFERROR(__xludf.DUMMYFUNCTION("""COMPUTED_VALUE"""),"")</f>
        <v/>
      </c>
      <c r="W126" s="41" t="str">
        <f>IFERROR(__xludf.DUMMYFUNCTION("""COMPUTED_VALUE"""),"")</f>
        <v/>
      </c>
      <c r="X126" s="41" t="str">
        <f>IFERROR(__xludf.DUMMYFUNCTION("""COMPUTED_VALUE"""),"")</f>
        <v/>
      </c>
      <c r="Y126" s="41" t="str">
        <f>IFERROR(__xludf.DUMMYFUNCTION("""COMPUTED_VALUE"""),"")</f>
        <v/>
      </c>
      <c r="Z126" s="41" t="str">
        <f>IFERROR(__xludf.DUMMYFUNCTION("""COMPUTED_VALUE"""),"")</f>
        <v/>
      </c>
      <c r="AA126" s="41" t="str">
        <f>IFERROR(__xludf.DUMMYFUNCTION("""COMPUTED_VALUE"""),"")</f>
        <v/>
      </c>
      <c r="AB126" s="38" t="str">
        <f>IFERROR(__xludf.DUMMYFUNCTION("""COMPUTED_VALUE"""),"")</f>
        <v/>
      </c>
    </row>
    <row r="127">
      <c r="A127" s="41" t="str">
        <f>IFERROR(__xludf.DUMMYFUNCTION("""COMPUTED_VALUE"""),"java,spring")</f>
        <v>java,spring</v>
      </c>
      <c r="B127" s="42" t="s">
        <v>1483</v>
      </c>
      <c r="C127" s="41" t="s">
        <v>4158</v>
      </c>
      <c r="N127" s="38"/>
      <c r="P127" s="42" t="str">
        <f>IFERROR(__xludf.DUMMYFUNCTION("""COMPUTED_VALUE"""),"c#")</f>
        <v>c#</v>
      </c>
      <c r="Q127" s="41" t="str">
        <f>IFERROR(__xludf.DUMMYFUNCTION("""COMPUTED_VALUE"""),"nifi")</f>
        <v>nifi</v>
      </c>
      <c r="R127" s="41" t="str">
        <f>IFERROR(__xludf.DUMMYFUNCTION("""COMPUTED_VALUE"""),"reactjs")</f>
        <v>reactjs</v>
      </c>
      <c r="S127" s="41" t="str">
        <f>IFERROR(__xludf.DUMMYFUNCTION("""COMPUTED_VALUE"""),"postgresql")</f>
        <v>postgresql</v>
      </c>
      <c r="T127" s="41" t="str">
        <f>IFERROR(__xludf.DUMMYFUNCTION("""COMPUTED_VALUE"""),"")</f>
        <v/>
      </c>
      <c r="U127" s="41" t="str">
        <f>IFERROR(__xludf.DUMMYFUNCTION("""COMPUTED_VALUE"""),"")</f>
        <v/>
      </c>
      <c r="V127" s="41" t="str">
        <f>IFERROR(__xludf.DUMMYFUNCTION("""COMPUTED_VALUE"""),"")</f>
        <v/>
      </c>
      <c r="W127" s="41" t="str">
        <f>IFERROR(__xludf.DUMMYFUNCTION("""COMPUTED_VALUE"""),"")</f>
        <v/>
      </c>
      <c r="X127" s="41" t="str">
        <f>IFERROR(__xludf.DUMMYFUNCTION("""COMPUTED_VALUE"""),"")</f>
        <v/>
      </c>
      <c r="Y127" s="41" t="str">
        <f>IFERROR(__xludf.DUMMYFUNCTION("""COMPUTED_VALUE"""),"")</f>
        <v/>
      </c>
      <c r="Z127" s="41" t="str">
        <f>IFERROR(__xludf.DUMMYFUNCTION("""COMPUTED_VALUE"""),"")</f>
        <v/>
      </c>
      <c r="AA127" s="41" t="str">
        <f>IFERROR(__xludf.DUMMYFUNCTION("""COMPUTED_VALUE"""),"")</f>
        <v/>
      </c>
      <c r="AB127" s="38" t="str">
        <f>IFERROR(__xludf.DUMMYFUNCTION("""COMPUTED_VALUE"""),"")</f>
        <v/>
      </c>
    </row>
    <row r="128">
      <c r="A128" s="41" t="str">
        <f>IFERROR(__xludf.DUMMYFUNCTION("""COMPUTED_VALUE"""),"Quill (Quintiq Logic Language)")</f>
        <v>Quill (Quintiq Logic Language)</v>
      </c>
      <c r="B128" s="42" t="s">
        <v>1930</v>
      </c>
      <c r="N128" s="38"/>
      <c r="P128" s="42" t="str">
        <f>IFERROR(__xludf.DUMMYFUNCTION("""COMPUTED_VALUE"""),"javascript")</f>
        <v>javascript</v>
      </c>
      <c r="Q128" s="41" t="str">
        <f>IFERROR(__xludf.DUMMYFUNCTION("""COMPUTED_VALUE"""),"aws")</f>
        <v>aws</v>
      </c>
      <c r="R128" s="41" t="str">
        <f>IFERROR(__xludf.DUMMYFUNCTION("""COMPUTED_VALUE"""),"sql")</f>
        <v>sql</v>
      </c>
      <c r="S128" s="41" t="str">
        <f>IFERROR(__xludf.DUMMYFUNCTION("""COMPUTED_VALUE"""),"sql")</f>
        <v>sql</v>
      </c>
      <c r="T128" s="41" t="str">
        <f>IFERROR(__xludf.DUMMYFUNCTION("""COMPUTED_VALUE"""),"")</f>
        <v/>
      </c>
      <c r="U128" s="41" t="str">
        <f>IFERROR(__xludf.DUMMYFUNCTION("""COMPUTED_VALUE"""),"")</f>
        <v/>
      </c>
      <c r="V128" s="41" t="str">
        <f>IFERROR(__xludf.DUMMYFUNCTION("""COMPUTED_VALUE"""),"")</f>
        <v/>
      </c>
      <c r="W128" s="41" t="str">
        <f>IFERROR(__xludf.DUMMYFUNCTION("""COMPUTED_VALUE"""),"")</f>
        <v/>
      </c>
      <c r="X128" s="41" t="str">
        <f>IFERROR(__xludf.DUMMYFUNCTION("""COMPUTED_VALUE"""),"")</f>
        <v/>
      </c>
      <c r="Y128" s="41" t="str">
        <f>IFERROR(__xludf.DUMMYFUNCTION("""COMPUTED_VALUE"""),"")</f>
        <v/>
      </c>
      <c r="Z128" s="41" t="str">
        <f>IFERROR(__xludf.DUMMYFUNCTION("""COMPUTED_VALUE"""),"")</f>
        <v/>
      </c>
      <c r="AA128" s="41" t="str">
        <f>IFERROR(__xludf.DUMMYFUNCTION("""COMPUTED_VALUE"""),"")</f>
        <v/>
      </c>
      <c r="AB128" s="38" t="str">
        <f>IFERROR(__xludf.DUMMYFUNCTION("""COMPUTED_VALUE"""),"")</f>
        <v/>
      </c>
    </row>
    <row r="129">
      <c r="A129" s="41" t="str">
        <f>IFERROR(__xludf.DUMMYFUNCTION("""COMPUTED_VALUE"""),"Laptop")</f>
        <v>Laptop</v>
      </c>
      <c r="B129" s="42" t="s">
        <v>87</v>
      </c>
      <c r="N129" s="38"/>
      <c r="P129" s="42" t="str">
        <f>IFERROR(__xludf.DUMMYFUNCTION("""COMPUTED_VALUE"""),"nestjs")</f>
        <v>nestjs</v>
      </c>
      <c r="Q129" s="41" t="str">
        <f>IFERROR(__xludf.DUMMYFUNCTION("""COMPUTED_VALUE"""),"vuejs")</f>
        <v>vuejs</v>
      </c>
      <c r="R129" s="41" t="str">
        <f>IFERROR(__xludf.DUMMYFUNCTION("""COMPUTED_VALUE"""),"react")</f>
        <v>react</v>
      </c>
      <c r="S129" s="41" t="str">
        <f>IFERROR(__xludf.DUMMYFUNCTION("""COMPUTED_VALUE"""),"typescript")</f>
        <v>typescript</v>
      </c>
      <c r="T129" s="41" t="str">
        <f>IFERROR(__xludf.DUMMYFUNCTION("""COMPUTED_VALUE"""),"")</f>
        <v/>
      </c>
      <c r="U129" s="41" t="str">
        <f>IFERROR(__xludf.DUMMYFUNCTION("""COMPUTED_VALUE"""),"")</f>
        <v/>
      </c>
      <c r="V129" s="41" t="str">
        <f>IFERROR(__xludf.DUMMYFUNCTION("""COMPUTED_VALUE"""),"")</f>
        <v/>
      </c>
      <c r="W129" s="41" t="str">
        <f>IFERROR(__xludf.DUMMYFUNCTION("""COMPUTED_VALUE"""),"")</f>
        <v/>
      </c>
      <c r="X129" s="41" t="str">
        <f>IFERROR(__xludf.DUMMYFUNCTION("""COMPUTED_VALUE"""),"")</f>
        <v/>
      </c>
      <c r="Y129" s="41" t="str">
        <f>IFERROR(__xludf.DUMMYFUNCTION("""COMPUTED_VALUE"""),"")</f>
        <v/>
      </c>
      <c r="Z129" s="41" t="str">
        <f>IFERROR(__xludf.DUMMYFUNCTION("""COMPUTED_VALUE"""),"")</f>
        <v/>
      </c>
      <c r="AA129" s="41" t="str">
        <f>IFERROR(__xludf.DUMMYFUNCTION("""COMPUTED_VALUE"""),"")</f>
        <v/>
      </c>
      <c r="AB129" s="38" t="str">
        <f>IFERROR(__xludf.DUMMYFUNCTION("""COMPUTED_VALUE"""),"")</f>
        <v/>
      </c>
    </row>
    <row r="130">
      <c r="A130" s="41" t="str">
        <f>IFERROR(__xludf.DUMMYFUNCTION("""COMPUTED_VALUE"""),"React,Javascript,CSS,Frontend ")</f>
        <v>React,Javascript,CSS,Frontend </v>
      </c>
      <c r="B130" s="42" t="s">
        <v>1979</v>
      </c>
      <c r="C130" s="41" t="s">
        <v>712</v>
      </c>
      <c r="D130" s="41" t="s">
        <v>4159</v>
      </c>
      <c r="E130" s="41" t="s">
        <v>4160</v>
      </c>
      <c r="N130" s="38"/>
      <c r="P130" s="42" t="str">
        <f>IFERROR(__xludf.DUMMYFUNCTION("""COMPUTED_VALUE"""),"c#")</f>
        <v>c#</v>
      </c>
      <c r="Q130" s="41" t="str">
        <f>IFERROR(__xludf.DUMMYFUNCTION("""COMPUTED_VALUE"""),"c#")</f>
        <v>c#</v>
      </c>
      <c r="R130" s="41" t="str">
        <f>IFERROR(__xludf.DUMMYFUNCTION("""COMPUTED_VALUE"""),"deploybot")</f>
        <v>deploybot</v>
      </c>
      <c r="S130" s="41" t="str">
        <f>IFERROR(__xludf.DUMMYFUNCTION("""COMPUTED_VALUE"""),"web")</f>
        <v>web</v>
      </c>
      <c r="T130" s="41" t="str">
        <f>IFERROR(__xludf.DUMMYFUNCTION("""COMPUTED_VALUE"""),"")</f>
        <v/>
      </c>
      <c r="U130" s="41" t="str">
        <f>IFERROR(__xludf.DUMMYFUNCTION("""COMPUTED_VALUE"""),"")</f>
        <v/>
      </c>
      <c r="V130" s="41" t="str">
        <f>IFERROR(__xludf.DUMMYFUNCTION("""COMPUTED_VALUE"""),"")</f>
        <v/>
      </c>
      <c r="W130" s="41" t="str">
        <f>IFERROR(__xludf.DUMMYFUNCTION("""COMPUTED_VALUE"""),"")</f>
        <v/>
      </c>
      <c r="X130" s="41" t="str">
        <f>IFERROR(__xludf.DUMMYFUNCTION("""COMPUTED_VALUE"""),"")</f>
        <v/>
      </c>
      <c r="Y130" s="41" t="str">
        <f>IFERROR(__xludf.DUMMYFUNCTION("""COMPUTED_VALUE"""),"")</f>
        <v/>
      </c>
      <c r="Z130" s="41" t="str">
        <f>IFERROR(__xludf.DUMMYFUNCTION("""COMPUTED_VALUE"""),"")</f>
        <v/>
      </c>
      <c r="AA130" s="41" t="str">
        <f>IFERROR(__xludf.DUMMYFUNCTION("""COMPUTED_VALUE"""),"")</f>
        <v/>
      </c>
      <c r="AB130" s="38" t="str">
        <f>IFERROR(__xludf.DUMMYFUNCTION("""COMPUTED_VALUE"""),"")</f>
        <v/>
      </c>
    </row>
    <row r="131">
      <c r="A131" s="41" t="str">
        <f>IFERROR(__xludf.DUMMYFUNCTION("""COMPUTED_VALUE"""),"Java, PHP, JS, HTML5")</f>
        <v>Java, PHP, JS, HTML5</v>
      </c>
      <c r="B131" s="42" t="s">
        <v>224</v>
      </c>
      <c r="C131" s="41" t="s">
        <v>4123</v>
      </c>
      <c r="D131" s="41" t="s">
        <v>4161</v>
      </c>
      <c r="E131" s="41" t="s">
        <v>4162</v>
      </c>
      <c r="N131" s="38"/>
      <c r="P131" s="42" t="str">
        <f>IFERROR(__xludf.DUMMYFUNCTION("""COMPUTED_VALUE"""),"php")</f>
        <v>php</v>
      </c>
      <c r="Q131" s="41" t="str">
        <f>IFERROR(__xludf.DUMMYFUNCTION("""COMPUTED_VALUE"""),"docker")</f>
        <v>docker</v>
      </c>
      <c r="R131" s="41" t="str">
        <f>IFERROR(__xludf.DUMMYFUNCTION("""COMPUTED_VALUE"""),".net")</f>
        <v>.net</v>
      </c>
      <c r="S131" s="41" t="str">
        <f>IFERROR(__xludf.DUMMYFUNCTION("""COMPUTED_VALUE"""),"dev")</f>
        <v>dev</v>
      </c>
      <c r="T131" s="41" t="str">
        <f>IFERROR(__xludf.DUMMYFUNCTION("""COMPUTED_VALUE"""),"")</f>
        <v/>
      </c>
      <c r="U131" s="41" t="str">
        <f>IFERROR(__xludf.DUMMYFUNCTION("""COMPUTED_VALUE"""),"")</f>
        <v/>
      </c>
      <c r="V131" s="41" t="str">
        <f>IFERROR(__xludf.DUMMYFUNCTION("""COMPUTED_VALUE"""),"")</f>
        <v/>
      </c>
      <c r="W131" s="41" t="str">
        <f>IFERROR(__xludf.DUMMYFUNCTION("""COMPUTED_VALUE"""),"")</f>
        <v/>
      </c>
      <c r="X131" s="41" t="str">
        <f>IFERROR(__xludf.DUMMYFUNCTION("""COMPUTED_VALUE"""),"")</f>
        <v/>
      </c>
      <c r="Y131" s="41" t="str">
        <f>IFERROR(__xludf.DUMMYFUNCTION("""COMPUTED_VALUE"""),"")</f>
        <v/>
      </c>
      <c r="Z131" s="41" t="str">
        <f>IFERROR(__xludf.DUMMYFUNCTION("""COMPUTED_VALUE"""),"")</f>
        <v/>
      </c>
      <c r="AA131" s="41" t="str">
        <f>IFERROR(__xludf.DUMMYFUNCTION("""COMPUTED_VALUE"""),"")</f>
        <v/>
      </c>
      <c r="AB131" s="38" t="str">
        <f>IFERROR(__xludf.DUMMYFUNCTION("""COMPUTED_VALUE"""),"")</f>
        <v/>
      </c>
    </row>
    <row r="132">
      <c r="A132" s="41" t="str">
        <f>IFERROR(__xludf.DUMMYFUNCTION("""COMPUTED_VALUE"""),"Aws, javascript")</f>
        <v>Aws, javascript</v>
      </c>
      <c r="B132" s="42" t="s">
        <v>4006</v>
      </c>
      <c r="C132" s="41" t="s">
        <v>3980</v>
      </c>
      <c r="N132" s="38"/>
      <c r="P132" s="42" t="str">
        <f>IFERROR(__xludf.DUMMYFUNCTION("""COMPUTED_VALUE"""),".net")</f>
        <v>.net</v>
      </c>
      <c r="Q132" s="41" t="str">
        <f>IFERROR(__xludf.DUMMYFUNCTION("""COMPUTED_VALUE"""),"golang")</f>
        <v>golang</v>
      </c>
      <c r="R132" s="41" t="str">
        <f>IFERROR(__xludf.DUMMYFUNCTION("""COMPUTED_VALUE"""),"javascript")</f>
        <v>javascript</v>
      </c>
      <c r="S132" s="41" t="str">
        <f>IFERROR(__xludf.DUMMYFUNCTION("""COMPUTED_VALUE"""),"aws")</f>
        <v>aws</v>
      </c>
      <c r="T132" s="41" t="str">
        <f>IFERROR(__xludf.DUMMYFUNCTION("""COMPUTED_VALUE"""),"")</f>
        <v/>
      </c>
      <c r="U132" s="41" t="str">
        <f>IFERROR(__xludf.DUMMYFUNCTION("""COMPUTED_VALUE"""),"")</f>
        <v/>
      </c>
      <c r="V132" s="41" t="str">
        <f>IFERROR(__xludf.DUMMYFUNCTION("""COMPUTED_VALUE"""),"")</f>
        <v/>
      </c>
      <c r="W132" s="41" t="str">
        <f>IFERROR(__xludf.DUMMYFUNCTION("""COMPUTED_VALUE"""),"")</f>
        <v/>
      </c>
      <c r="X132" s="41" t="str">
        <f>IFERROR(__xludf.DUMMYFUNCTION("""COMPUTED_VALUE"""),"")</f>
        <v/>
      </c>
      <c r="Y132" s="41" t="str">
        <f>IFERROR(__xludf.DUMMYFUNCTION("""COMPUTED_VALUE"""),"")</f>
        <v/>
      </c>
      <c r="Z132" s="41" t="str">
        <f>IFERROR(__xludf.DUMMYFUNCTION("""COMPUTED_VALUE"""),"")</f>
        <v/>
      </c>
      <c r="AA132" s="41" t="str">
        <f>IFERROR(__xludf.DUMMYFUNCTION("""COMPUTED_VALUE"""),"")</f>
        <v/>
      </c>
      <c r="AB132" s="38" t="str">
        <f>IFERROR(__xludf.DUMMYFUNCTION("""COMPUTED_VALUE"""),"")</f>
        <v/>
      </c>
    </row>
    <row r="133">
      <c r="A133" s="41" t="str">
        <f>IFERROR(__xludf.DUMMYFUNCTION("""COMPUTED_VALUE"""),"Python, Pytorch. ")</f>
        <v>Python, Pytorch. </v>
      </c>
      <c r="B133" s="42" t="s">
        <v>78</v>
      </c>
      <c r="C133" s="41" t="s">
        <v>4163</v>
      </c>
      <c r="N133" s="38"/>
      <c r="P133" s="42" t="str">
        <f>IFERROR(__xludf.DUMMYFUNCTION("""COMPUTED_VALUE"""),"sql")</f>
        <v>sql</v>
      </c>
      <c r="Q133" s="41" t="str">
        <f>IFERROR(__xludf.DUMMYFUNCTION("""COMPUTED_VALUE"""),"react")</f>
        <v>react</v>
      </c>
      <c r="R133" s="41" t="str">
        <f>IFERROR(__xludf.DUMMYFUNCTION("""COMPUTED_VALUE"""),"kubernetes")</f>
        <v>kubernetes</v>
      </c>
      <c r="S133" s="41" t="str">
        <f>IFERROR(__xludf.DUMMYFUNCTION("""COMPUTED_VALUE"""),"mouse")</f>
        <v>mouse</v>
      </c>
      <c r="T133" s="41" t="str">
        <f>IFERROR(__xludf.DUMMYFUNCTION("""COMPUTED_VALUE"""),"")</f>
        <v/>
      </c>
      <c r="U133" s="41" t="str">
        <f>IFERROR(__xludf.DUMMYFUNCTION("""COMPUTED_VALUE"""),"")</f>
        <v/>
      </c>
      <c r="V133" s="41" t="str">
        <f>IFERROR(__xludf.DUMMYFUNCTION("""COMPUTED_VALUE"""),"")</f>
        <v/>
      </c>
      <c r="W133" s="41" t="str">
        <f>IFERROR(__xludf.DUMMYFUNCTION("""COMPUTED_VALUE"""),"")</f>
        <v/>
      </c>
      <c r="X133" s="41" t="str">
        <f>IFERROR(__xludf.DUMMYFUNCTION("""COMPUTED_VALUE"""),"")</f>
        <v/>
      </c>
      <c r="Y133" s="41" t="str">
        <f>IFERROR(__xludf.DUMMYFUNCTION("""COMPUTED_VALUE"""),"")</f>
        <v/>
      </c>
      <c r="Z133" s="41" t="str">
        <f>IFERROR(__xludf.DUMMYFUNCTION("""COMPUTED_VALUE"""),"")</f>
        <v/>
      </c>
      <c r="AA133" s="41" t="str">
        <f>IFERROR(__xludf.DUMMYFUNCTION("""COMPUTED_VALUE"""),"")</f>
        <v/>
      </c>
      <c r="AB133" s="38" t="str">
        <f>IFERROR(__xludf.DUMMYFUNCTION("""COMPUTED_VALUE"""),"")</f>
        <v/>
      </c>
    </row>
    <row r="134">
      <c r="A134" s="41" t="str">
        <f>IFERROR(__xludf.DUMMYFUNCTION("""COMPUTED_VALUE"""),"ASP .NET, Vue.js ")</f>
        <v>ASP .NET, Vue.js </v>
      </c>
      <c r="B134" s="42" t="s">
        <v>4164</v>
      </c>
      <c r="C134" s="41" t="s">
        <v>4165</v>
      </c>
      <c r="N134" s="38"/>
      <c r="P134" s="42" t="str">
        <f>IFERROR(__xludf.DUMMYFUNCTION("""COMPUTED_VALUE"""),"&amp;")</f>
        <v>&amp;</v>
      </c>
      <c r="Q134" s="41" t="str">
        <f>IFERROR(__xludf.DUMMYFUNCTION("""COMPUTED_VALUE"""),"native")</f>
        <v>native</v>
      </c>
      <c r="R134" s="41" t="str">
        <f>IFERROR(__xludf.DUMMYFUNCTION("""COMPUTED_VALUE"""),"kotlin")</f>
        <v>kotlin</v>
      </c>
      <c r="S134" s="41" t="str">
        <f>IFERROR(__xludf.DUMMYFUNCTION("""COMPUTED_VALUE"""),"scss")</f>
        <v>scss</v>
      </c>
      <c r="T134" s="41" t="str">
        <f>IFERROR(__xludf.DUMMYFUNCTION("""COMPUTED_VALUE"""),"")</f>
        <v/>
      </c>
      <c r="U134" s="41" t="str">
        <f>IFERROR(__xludf.DUMMYFUNCTION("""COMPUTED_VALUE"""),"")</f>
        <v/>
      </c>
      <c r="V134" s="41" t="str">
        <f>IFERROR(__xludf.DUMMYFUNCTION("""COMPUTED_VALUE"""),"")</f>
        <v/>
      </c>
      <c r="W134" s="41" t="str">
        <f>IFERROR(__xludf.DUMMYFUNCTION("""COMPUTED_VALUE"""),"")</f>
        <v/>
      </c>
      <c r="X134" s="41" t="str">
        <f>IFERROR(__xludf.DUMMYFUNCTION("""COMPUTED_VALUE"""),"")</f>
        <v/>
      </c>
      <c r="Y134" s="41" t="str">
        <f>IFERROR(__xludf.DUMMYFUNCTION("""COMPUTED_VALUE"""),"")</f>
        <v/>
      </c>
      <c r="Z134" s="41" t="str">
        <f>IFERROR(__xludf.DUMMYFUNCTION("""COMPUTED_VALUE"""),"")</f>
        <v/>
      </c>
      <c r="AA134" s="41" t="str">
        <f>IFERROR(__xludf.DUMMYFUNCTION("""COMPUTED_VALUE"""),"")</f>
        <v/>
      </c>
      <c r="AB134" s="38" t="str">
        <f>IFERROR(__xludf.DUMMYFUNCTION("""COMPUTED_VALUE"""),"")</f>
        <v/>
      </c>
    </row>
    <row r="135">
      <c r="A135" s="41" t="str">
        <f>IFERROR(__xludf.DUMMYFUNCTION("""COMPUTED_VALUE"""),"Web , .Net, javascript,mssql")</f>
        <v>Web , .Net, javascript,mssql</v>
      </c>
      <c r="B135" s="42" t="s">
        <v>4166</v>
      </c>
      <c r="C135" s="41" t="s">
        <v>4108</v>
      </c>
      <c r="D135" s="41" t="s">
        <v>3980</v>
      </c>
      <c r="E135" s="41" t="s">
        <v>4167</v>
      </c>
      <c r="N135" s="38"/>
      <c r="P135" s="42" t="str">
        <f>IFERROR(__xludf.DUMMYFUNCTION("""COMPUTED_VALUE"""),"python")</f>
        <v>python</v>
      </c>
      <c r="Q135" s="41" t="str">
        <f>IFERROR(__xludf.DUMMYFUNCTION("""COMPUTED_VALUE"""),"reactjs")</f>
        <v>reactjs</v>
      </c>
      <c r="R135" s="41" t="str">
        <f>IFERROR(__xludf.DUMMYFUNCTION("""COMPUTED_VALUE"""),"javascript")</f>
        <v>javascript</v>
      </c>
      <c r="S135" s="41" t="str">
        <f>IFERROR(__xludf.DUMMYFUNCTION("""COMPUTED_VALUE"""),"jira")</f>
        <v>jira</v>
      </c>
      <c r="T135" s="41" t="str">
        <f>IFERROR(__xludf.DUMMYFUNCTION("""COMPUTED_VALUE"""),"")</f>
        <v/>
      </c>
      <c r="U135" s="41" t="str">
        <f>IFERROR(__xludf.DUMMYFUNCTION("""COMPUTED_VALUE"""),"")</f>
        <v/>
      </c>
      <c r="V135" s="41" t="str">
        <f>IFERROR(__xludf.DUMMYFUNCTION("""COMPUTED_VALUE"""),"")</f>
        <v/>
      </c>
      <c r="W135" s="41" t="str">
        <f>IFERROR(__xludf.DUMMYFUNCTION("""COMPUTED_VALUE"""),"")</f>
        <v/>
      </c>
      <c r="X135" s="41" t="str">
        <f>IFERROR(__xludf.DUMMYFUNCTION("""COMPUTED_VALUE"""),"")</f>
        <v/>
      </c>
      <c r="Y135" s="41" t="str">
        <f>IFERROR(__xludf.DUMMYFUNCTION("""COMPUTED_VALUE"""),"")</f>
        <v/>
      </c>
      <c r="Z135" s="41" t="str">
        <f>IFERROR(__xludf.DUMMYFUNCTION("""COMPUTED_VALUE"""),"")</f>
        <v/>
      </c>
      <c r="AA135" s="41" t="str">
        <f>IFERROR(__xludf.DUMMYFUNCTION("""COMPUTED_VALUE"""),"")</f>
        <v/>
      </c>
      <c r="AB135" s="38" t="str">
        <f>IFERROR(__xludf.DUMMYFUNCTION("""COMPUTED_VALUE"""),"")</f>
        <v/>
      </c>
    </row>
    <row r="136">
      <c r="A136" s="41" t="str">
        <f>IFERROR(__xludf.DUMMYFUNCTION("""COMPUTED_VALUE"""),"Don't understand")</f>
        <v>Don't understand</v>
      </c>
      <c r="B136" s="42" t="s">
        <v>995</v>
      </c>
      <c r="N136" s="38"/>
      <c r="P136" s="42" t="str">
        <f>IFERROR(__xludf.DUMMYFUNCTION("""COMPUTED_VALUE"""),"django")</f>
        <v>django</v>
      </c>
      <c r="Q136" s="41" t="str">
        <f>IFERROR(__xludf.DUMMYFUNCTION("""COMPUTED_VALUE"""),"java")</f>
        <v>java</v>
      </c>
      <c r="R136" s="41" t="str">
        <f>IFERROR(__xludf.DUMMYFUNCTION("""COMPUTED_VALUE"""),"terraform")</f>
        <v>terraform</v>
      </c>
      <c r="S136" s="41" t="str">
        <f>IFERROR(__xludf.DUMMYFUNCTION("""COMPUTED_VALUE"""),"nodejs")</f>
        <v>nodejs</v>
      </c>
      <c r="T136" s="41" t="str">
        <f>IFERROR(__xludf.DUMMYFUNCTION("""COMPUTED_VALUE"""),"")</f>
        <v/>
      </c>
      <c r="U136" s="41" t="str">
        <f>IFERROR(__xludf.DUMMYFUNCTION("""COMPUTED_VALUE"""),"")</f>
        <v/>
      </c>
      <c r="V136" s="41" t="str">
        <f>IFERROR(__xludf.DUMMYFUNCTION("""COMPUTED_VALUE"""),"")</f>
        <v/>
      </c>
      <c r="W136" s="41" t="str">
        <f>IFERROR(__xludf.DUMMYFUNCTION("""COMPUTED_VALUE"""),"")</f>
        <v/>
      </c>
      <c r="X136" s="41" t="str">
        <f>IFERROR(__xludf.DUMMYFUNCTION("""COMPUTED_VALUE"""),"")</f>
        <v/>
      </c>
      <c r="Y136" s="41" t="str">
        <f>IFERROR(__xludf.DUMMYFUNCTION("""COMPUTED_VALUE"""),"")</f>
        <v/>
      </c>
      <c r="Z136" s="41" t="str">
        <f>IFERROR(__xludf.DUMMYFUNCTION("""COMPUTED_VALUE"""),"")</f>
        <v/>
      </c>
      <c r="AA136" s="41" t="str">
        <f>IFERROR(__xludf.DUMMYFUNCTION("""COMPUTED_VALUE"""),"")</f>
        <v/>
      </c>
      <c r="AB136" s="38" t="str">
        <f>IFERROR(__xludf.DUMMYFUNCTION("""COMPUTED_VALUE"""),"")</f>
        <v/>
      </c>
    </row>
    <row r="137">
      <c r="A137" s="41" t="str">
        <f>IFERROR(__xludf.DUMMYFUNCTION("""COMPUTED_VALUE"""),"JavaScript, Python")</f>
        <v>JavaScript, Python</v>
      </c>
      <c r="B137" s="42" t="s">
        <v>731</v>
      </c>
      <c r="C137" s="41" t="s">
        <v>4053</v>
      </c>
      <c r="N137" s="38"/>
      <c r="P137" s="42" t="str">
        <f>IFERROR(__xludf.DUMMYFUNCTION("""COMPUTED_VALUE"""),"python")</f>
        <v>python</v>
      </c>
      <c r="Q137" s="41" t="str">
        <f>IFERROR(__xludf.DUMMYFUNCTION("""COMPUTED_VALUE"""),"python")</f>
        <v>python</v>
      </c>
      <c r="R137" s="41" t="str">
        <f>IFERROR(__xludf.DUMMYFUNCTION("""COMPUTED_VALUE"""),"hardware")</f>
        <v>hardware</v>
      </c>
      <c r="S137" s="41" t="str">
        <f>IFERROR(__xludf.DUMMYFUNCTION("""COMPUTED_VALUE"""),"gcp")</f>
        <v>gcp</v>
      </c>
      <c r="T137" s="41" t="str">
        <f>IFERROR(__xludf.DUMMYFUNCTION("""COMPUTED_VALUE"""),"")</f>
        <v/>
      </c>
      <c r="U137" s="41" t="str">
        <f>IFERROR(__xludf.DUMMYFUNCTION("""COMPUTED_VALUE"""),"")</f>
        <v/>
      </c>
      <c r="V137" s="41" t="str">
        <f>IFERROR(__xludf.DUMMYFUNCTION("""COMPUTED_VALUE"""),"")</f>
        <v/>
      </c>
      <c r="W137" s="41" t="str">
        <f>IFERROR(__xludf.DUMMYFUNCTION("""COMPUTED_VALUE"""),"")</f>
        <v/>
      </c>
      <c r="X137" s="41" t="str">
        <f>IFERROR(__xludf.DUMMYFUNCTION("""COMPUTED_VALUE"""),"")</f>
        <v/>
      </c>
      <c r="Y137" s="41" t="str">
        <f>IFERROR(__xludf.DUMMYFUNCTION("""COMPUTED_VALUE"""),"")</f>
        <v/>
      </c>
      <c r="Z137" s="41" t="str">
        <f>IFERROR(__xludf.DUMMYFUNCTION("""COMPUTED_VALUE"""),"")</f>
        <v/>
      </c>
      <c r="AA137" s="41" t="str">
        <f>IFERROR(__xludf.DUMMYFUNCTION("""COMPUTED_VALUE"""),"")</f>
        <v/>
      </c>
      <c r="AB137" s="38" t="str">
        <f>IFERROR(__xludf.DUMMYFUNCTION("""COMPUTED_VALUE"""),"")</f>
        <v/>
      </c>
    </row>
    <row r="138">
      <c r="A138" s="41" t="str">
        <f>IFERROR(__xludf.DUMMYFUNCTION("""COMPUTED_VALUE"""),"Python, Deep Learning")</f>
        <v>Python, Deep Learning</v>
      </c>
      <c r="B138" s="42" t="s">
        <v>78</v>
      </c>
      <c r="C138" s="41" t="s">
        <v>4168</v>
      </c>
      <c r="N138" s="38"/>
      <c r="P138" s="42" t="str">
        <f>IFERROR(__xludf.DUMMYFUNCTION("""COMPUTED_VALUE"""),"java")</f>
        <v>java</v>
      </c>
      <c r="Q138" s="41" t="str">
        <f>IFERROR(__xludf.DUMMYFUNCTION("""COMPUTED_VALUE"""),"angular")</f>
        <v>angular</v>
      </c>
      <c r="R138" s="41" t="str">
        <f>IFERROR(__xludf.DUMMYFUNCTION("""COMPUTED_VALUE"""),"spring")</f>
        <v>spring</v>
      </c>
      <c r="S138" s="41" t="str">
        <f>IFERROR(__xludf.DUMMYFUNCTION("""COMPUTED_VALUE"""),"salesforce")</f>
        <v>salesforce</v>
      </c>
      <c r="T138" s="41" t="str">
        <f>IFERROR(__xludf.DUMMYFUNCTION("""COMPUTED_VALUE"""),"")</f>
        <v/>
      </c>
      <c r="U138" s="41" t="str">
        <f>IFERROR(__xludf.DUMMYFUNCTION("""COMPUTED_VALUE"""),"")</f>
        <v/>
      </c>
      <c r="V138" s="41" t="str">
        <f>IFERROR(__xludf.DUMMYFUNCTION("""COMPUTED_VALUE"""),"")</f>
        <v/>
      </c>
      <c r="W138" s="41" t="str">
        <f>IFERROR(__xludf.DUMMYFUNCTION("""COMPUTED_VALUE"""),"")</f>
        <v/>
      </c>
      <c r="X138" s="41" t="str">
        <f>IFERROR(__xludf.DUMMYFUNCTION("""COMPUTED_VALUE"""),"")</f>
        <v/>
      </c>
      <c r="Y138" s="41" t="str">
        <f>IFERROR(__xludf.DUMMYFUNCTION("""COMPUTED_VALUE"""),"")</f>
        <v/>
      </c>
      <c r="Z138" s="41" t="str">
        <f>IFERROR(__xludf.DUMMYFUNCTION("""COMPUTED_VALUE"""),"")</f>
        <v/>
      </c>
      <c r="AA138" s="41" t="str">
        <f>IFERROR(__xludf.DUMMYFUNCTION("""COMPUTED_VALUE"""),"")</f>
        <v/>
      </c>
      <c r="AB138" s="38" t="str">
        <f>IFERROR(__xludf.DUMMYFUNCTION("""COMPUTED_VALUE"""),"")</f>
        <v/>
      </c>
    </row>
    <row r="139">
      <c r="A139" s="41" t="str">
        <f>IFERROR(__xludf.DUMMYFUNCTION("""COMPUTED_VALUE"""),"NodeJs, Typescript, AWS")</f>
        <v>NodeJs, Typescript, AWS</v>
      </c>
      <c r="B139" s="42" t="s">
        <v>4169</v>
      </c>
      <c r="C139" s="41" t="s">
        <v>4126</v>
      </c>
      <c r="D139" s="41" t="s">
        <v>4042</v>
      </c>
      <c r="N139" s="38"/>
      <c r="P139" s="42" t="str">
        <f>IFERROR(__xludf.DUMMYFUNCTION("""COMPUTED_VALUE"""),"kubernetes")</f>
        <v>kubernetes</v>
      </c>
      <c r="Q139" s="41" t="str">
        <f>IFERROR(__xludf.DUMMYFUNCTION("""COMPUTED_VALUE"""),"javascript")</f>
        <v>javascript</v>
      </c>
      <c r="R139" s="41" t="str">
        <f>IFERROR(__xludf.DUMMYFUNCTION("""COMPUTED_VALUE"""),"sql")</f>
        <v>sql</v>
      </c>
      <c r="S139" s="41" t="str">
        <f>IFERROR(__xludf.DUMMYFUNCTION("""COMPUTED_VALUE"""),"kubernetes")</f>
        <v>kubernetes</v>
      </c>
      <c r="T139" s="41" t="str">
        <f>IFERROR(__xludf.DUMMYFUNCTION("""COMPUTED_VALUE"""),"")</f>
        <v/>
      </c>
      <c r="U139" s="41" t="str">
        <f>IFERROR(__xludf.DUMMYFUNCTION("""COMPUTED_VALUE"""),"")</f>
        <v/>
      </c>
      <c r="V139" s="41" t="str">
        <f>IFERROR(__xludf.DUMMYFUNCTION("""COMPUTED_VALUE"""),"")</f>
        <v/>
      </c>
      <c r="W139" s="41" t="str">
        <f>IFERROR(__xludf.DUMMYFUNCTION("""COMPUTED_VALUE"""),"")</f>
        <v/>
      </c>
      <c r="X139" s="41" t="str">
        <f>IFERROR(__xludf.DUMMYFUNCTION("""COMPUTED_VALUE"""),"")</f>
        <v/>
      </c>
      <c r="Y139" s="41" t="str">
        <f>IFERROR(__xludf.DUMMYFUNCTION("""COMPUTED_VALUE"""),"")</f>
        <v/>
      </c>
      <c r="Z139" s="41" t="str">
        <f>IFERROR(__xludf.DUMMYFUNCTION("""COMPUTED_VALUE"""),"")</f>
        <v/>
      </c>
      <c r="AA139" s="41" t="str">
        <f>IFERROR(__xludf.DUMMYFUNCTION("""COMPUTED_VALUE"""),"")</f>
        <v/>
      </c>
      <c r="AB139" s="38" t="str">
        <f>IFERROR(__xludf.DUMMYFUNCTION("""COMPUTED_VALUE"""),"")</f>
        <v/>
      </c>
    </row>
    <row r="140">
      <c r="A140" s="41" t="str">
        <f>IFERROR(__xludf.DUMMYFUNCTION("""COMPUTED_VALUE"""),"Ruby on Rails")</f>
        <v>Ruby on Rails</v>
      </c>
      <c r="B140" s="42" t="s">
        <v>358</v>
      </c>
      <c r="N140" s="38"/>
      <c r="P140" s="46" t="str">
        <f>IFERROR(__xludf.DUMMYFUNCTION("""COMPUTED_VALUE"""),"asp.net")</f>
        <v>asp.net</v>
      </c>
      <c r="Q140" s="41" t="str">
        <f>IFERROR(__xludf.DUMMYFUNCTION("""COMPUTED_VALUE"""),"ruby")</f>
        <v>ruby</v>
      </c>
      <c r="R140" s="41" t="str">
        <f>IFERROR(__xludf.DUMMYFUNCTION("""COMPUTED_VALUE"""),"nodejs")</f>
        <v>nodejs</v>
      </c>
      <c r="S140" s="41" t="str">
        <f>IFERROR(__xludf.DUMMYFUNCTION("""COMPUTED_VALUE"""),"java")</f>
        <v>java</v>
      </c>
      <c r="T140" s="41" t="str">
        <f>IFERROR(__xludf.DUMMYFUNCTION("""COMPUTED_VALUE"""),"")</f>
        <v/>
      </c>
      <c r="U140" s="41" t="str">
        <f>IFERROR(__xludf.DUMMYFUNCTION("""COMPUTED_VALUE"""),"")</f>
        <v/>
      </c>
      <c r="V140" s="41" t="str">
        <f>IFERROR(__xludf.DUMMYFUNCTION("""COMPUTED_VALUE"""),"")</f>
        <v/>
      </c>
      <c r="W140" s="41" t="str">
        <f>IFERROR(__xludf.DUMMYFUNCTION("""COMPUTED_VALUE"""),"")</f>
        <v/>
      </c>
      <c r="X140" s="41" t="str">
        <f>IFERROR(__xludf.DUMMYFUNCTION("""COMPUTED_VALUE"""),"")</f>
        <v/>
      </c>
      <c r="Y140" s="41" t="str">
        <f>IFERROR(__xludf.DUMMYFUNCTION("""COMPUTED_VALUE"""),"")</f>
        <v/>
      </c>
      <c r="Z140" s="41" t="str">
        <f>IFERROR(__xludf.DUMMYFUNCTION("""COMPUTED_VALUE"""),"")</f>
        <v/>
      </c>
      <c r="AA140" s="41" t="str">
        <f>IFERROR(__xludf.DUMMYFUNCTION("""COMPUTED_VALUE"""),"")</f>
        <v/>
      </c>
      <c r="AB140" s="38" t="str">
        <f>IFERROR(__xludf.DUMMYFUNCTION("""COMPUTED_VALUE"""),"")</f>
        <v/>
      </c>
    </row>
    <row r="141">
      <c r="A141" s="41" t="str">
        <f>IFERROR(__xludf.DUMMYFUNCTION("""COMPUTED_VALUE"""),"-")</f>
        <v>-</v>
      </c>
      <c r="B141" s="42" t="s">
        <v>72</v>
      </c>
      <c r="N141" s="38"/>
      <c r="P141" s="42" t="str">
        <f>IFERROR(__xludf.DUMMYFUNCTION("""COMPUTED_VALUE"""),"linux")</f>
        <v>linux</v>
      </c>
      <c r="Q141" s="41" t="str">
        <f>IFERROR(__xludf.DUMMYFUNCTION("""COMPUTED_VALUE"""),"perl")</f>
        <v>perl</v>
      </c>
      <c r="R141" s="41" t="str">
        <f>IFERROR(__xludf.DUMMYFUNCTION("""COMPUTED_VALUE"""),"xcode")</f>
        <v>xcode</v>
      </c>
      <c r="S141" s="41" t="str">
        <f>IFERROR(__xludf.DUMMYFUNCTION("""COMPUTED_VALUE"""),"mysql")</f>
        <v>mysql</v>
      </c>
      <c r="T141" s="41" t="str">
        <f>IFERROR(__xludf.DUMMYFUNCTION("""COMPUTED_VALUE"""),"")</f>
        <v/>
      </c>
      <c r="U141" s="41" t="str">
        <f>IFERROR(__xludf.DUMMYFUNCTION("""COMPUTED_VALUE"""),"")</f>
        <v/>
      </c>
      <c r="V141" s="41" t="str">
        <f>IFERROR(__xludf.DUMMYFUNCTION("""COMPUTED_VALUE"""),"")</f>
        <v/>
      </c>
      <c r="W141" s="41" t="str">
        <f>IFERROR(__xludf.DUMMYFUNCTION("""COMPUTED_VALUE"""),"")</f>
        <v/>
      </c>
      <c r="X141" s="41" t="str">
        <f>IFERROR(__xludf.DUMMYFUNCTION("""COMPUTED_VALUE"""),"")</f>
        <v/>
      </c>
      <c r="Y141" s="41" t="str">
        <f>IFERROR(__xludf.DUMMYFUNCTION("""COMPUTED_VALUE"""),"")</f>
        <v/>
      </c>
      <c r="Z141" s="41" t="str">
        <f>IFERROR(__xludf.DUMMYFUNCTION("""COMPUTED_VALUE"""),"")</f>
        <v/>
      </c>
      <c r="AA141" s="41" t="str">
        <f>IFERROR(__xludf.DUMMYFUNCTION("""COMPUTED_VALUE"""),"")</f>
        <v/>
      </c>
      <c r="AB141" s="38" t="str">
        <f>IFERROR(__xludf.DUMMYFUNCTION("""COMPUTED_VALUE"""),"")</f>
        <v/>
      </c>
    </row>
    <row r="142">
      <c r="A142" s="41" t="str">
        <f>IFERROR(__xludf.DUMMYFUNCTION("""COMPUTED_VALUE"""),"Native mob dev, spring boot")</f>
        <v>Native mob dev, spring boot</v>
      </c>
      <c r="B142" s="42" t="s">
        <v>4170</v>
      </c>
      <c r="C142" s="41" t="s">
        <v>4171</v>
      </c>
      <c r="N142" s="38"/>
      <c r="P142" s="42" t="str">
        <f>IFERROR(__xludf.DUMMYFUNCTION("""COMPUTED_VALUE"""),"ruby")</f>
        <v>ruby</v>
      </c>
      <c r="Q142" s="41" t="str">
        <f>IFERROR(__xludf.DUMMYFUNCTION("""COMPUTED_VALUE"""),"mobile")</f>
        <v>mobile</v>
      </c>
      <c r="R142" s="41" t="str">
        <f>IFERROR(__xludf.DUMMYFUNCTION("""COMPUTED_VALUE"""),"r")</f>
        <v>r</v>
      </c>
      <c r="S142" s="41" t="str">
        <f>IFERROR(__xludf.DUMMYFUNCTION("""COMPUTED_VALUE"""),"serverless")</f>
        <v>serverless</v>
      </c>
      <c r="T142" s="41" t="str">
        <f>IFERROR(__xludf.DUMMYFUNCTION("""COMPUTED_VALUE"""),"")</f>
        <v/>
      </c>
      <c r="U142" s="41" t="str">
        <f>IFERROR(__xludf.DUMMYFUNCTION("""COMPUTED_VALUE"""),"")</f>
        <v/>
      </c>
      <c r="V142" s="41" t="str">
        <f>IFERROR(__xludf.DUMMYFUNCTION("""COMPUTED_VALUE"""),"")</f>
        <v/>
      </c>
      <c r="W142" s="41" t="str">
        <f>IFERROR(__xludf.DUMMYFUNCTION("""COMPUTED_VALUE"""),"")</f>
        <v/>
      </c>
      <c r="X142" s="41" t="str">
        <f>IFERROR(__xludf.DUMMYFUNCTION("""COMPUTED_VALUE"""),"")</f>
        <v/>
      </c>
      <c r="Y142" s="41" t="str">
        <f>IFERROR(__xludf.DUMMYFUNCTION("""COMPUTED_VALUE"""),"")</f>
        <v/>
      </c>
      <c r="Z142" s="41" t="str">
        <f>IFERROR(__xludf.DUMMYFUNCTION("""COMPUTED_VALUE"""),"")</f>
        <v/>
      </c>
      <c r="AA142" s="41" t="str">
        <f>IFERROR(__xludf.DUMMYFUNCTION("""COMPUTED_VALUE"""),"")</f>
        <v/>
      </c>
      <c r="AB142" s="38" t="str">
        <f>IFERROR(__xludf.DUMMYFUNCTION("""COMPUTED_VALUE"""),"")</f>
        <v/>
      </c>
    </row>
    <row r="143">
      <c r="A143" s="41" t="str">
        <f>IFERROR(__xludf.DUMMYFUNCTION("""COMPUTED_VALUE"""),"Javascript, PHP")</f>
        <v>Javascript, PHP</v>
      </c>
      <c r="B143" s="42" t="s">
        <v>712</v>
      </c>
      <c r="C143" s="41" t="s">
        <v>4123</v>
      </c>
      <c r="N143" s="38"/>
      <c r="P143" s="42" t="str">
        <f>IFERROR(__xludf.DUMMYFUNCTION("""COMPUTED_VALUE"""),"coldfusion")</f>
        <v>coldfusion</v>
      </c>
      <c r="Q143" s="41" t="str">
        <f>IFERROR(__xludf.DUMMYFUNCTION("""COMPUTED_VALUE"""),"nodejs")</f>
        <v>nodejs</v>
      </c>
      <c r="R143" s="41" t="str">
        <f>IFERROR(__xludf.DUMMYFUNCTION("""COMPUTED_VALUE"""),"ts")</f>
        <v>ts</v>
      </c>
      <c r="S143" s="41" t="str">
        <f>IFERROR(__xludf.DUMMYFUNCTION("""COMPUTED_VALUE"""),"sql")</f>
        <v>sql</v>
      </c>
      <c r="T143" s="41" t="str">
        <f>IFERROR(__xludf.DUMMYFUNCTION("""COMPUTED_VALUE"""),"")</f>
        <v/>
      </c>
      <c r="U143" s="41" t="str">
        <f>IFERROR(__xludf.DUMMYFUNCTION("""COMPUTED_VALUE"""),"")</f>
        <v/>
      </c>
      <c r="V143" s="41" t="str">
        <f>IFERROR(__xludf.DUMMYFUNCTION("""COMPUTED_VALUE"""),"")</f>
        <v/>
      </c>
      <c r="W143" s="41" t="str">
        <f>IFERROR(__xludf.DUMMYFUNCTION("""COMPUTED_VALUE"""),"")</f>
        <v/>
      </c>
      <c r="X143" s="41" t="str">
        <f>IFERROR(__xludf.DUMMYFUNCTION("""COMPUTED_VALUE"""),"")</f>
        <v/>
      </c>
      <c r="Y143" s="41" t="str">
        <f>IFERROR(__xludf.DUMMYFUNCTION("""COMPUTED_VALUE"""),"")</f>
        <v/>
      </c>
      <c r="Z143" s="41" t="str">
        <f>IFERROR(__xludf.DUMMYFUNCTION("""COMPUTED_VALUE"""),"")</f>
        <v/>
      </c>
      <c r="AA143" s="41" t="str">
        <f>IFERROR(__xludf.DUMMYFUNCTION("""COMPUTED_VALUE"""),"")</f>
        <v/>
      </c>
      <c r="AB143" s="38" t="str">
        <f>IFERROR(__xludf.DUMMYFUNCTION("""COMPUTED_VALUE"""),"")</f>
        <v/>
      </c>
    </row>
    <row r="144">
      <c r="A144" s="41" t="str">
        <f>IFERROR(__xludf.DUMMYFUNCTION("""COMPUTED_VALUE"""),"JavaScript, NodeJS, HTML, CSS, VSCode, ExpressJS, Linux, Windows")</f>
        <v>JavaScript, NodeJS, HTML, CSS, VSCode, ExpressJS, Linux, Windows</v>
      </c>
      <c r="B144" s="42" t="s">
        <v>731</v>
      </c>
      <c r="C144" s="41" t="s">
        <v>4038</v>
      </c>
      <c r="D144" s="41" t="s">
        <v>4113</v>
      </c>
      <c r="E144" s="41" t="s">
        <v>4114</v>
      </c>
      <c r="F144" s="41" t="s">
        <v>4172</v>
      </c>
      <c r="G144" s="41" t="s">
        <v>4173</v>
      </c>
      <c r="H144" s="41" t="s">
        <v>4174</v>
      </c>
      <c r="I144" s="41" t="s">
        <v>4175</v>
      </c>
      <c r="N144" s="38"/>
      <c r="P144" s="42" t="str">
        <f>IFERROR(__xludf.DUMMYFUNCTION("""COMPUTED_VALUE"""),"java")</f>
        <v>java</v>
      </c>
      <c r="Q144" s="45" t="str">
        <f>IFERROR(__xludf.DUMMYFUNCTION("""COMPUTED_VALUE"""),"asp.net")</f>
        <v>asp.net</v>
      </c>
      <c r="R144" s="41" t="str">
        <f>IFERROR(__xludf.DUMMYFUNCTION("""COMPUTED_VALUE"""),".net")</f>
        <v>.net</v>
      </c>
      <c r="S144" s="41" t="str">
        <f>IFERROR(__xludf.DUMMYFUNCTION("""COMPUTED_VALUE"""),"aws")</f>
        <v>aws</v>
      </c>
      <c r="T144" s="41" t="str">
        <f>IFERROR(__xludf.DUMMYFUNCTION("""COMPUTED_VALUE"""),"")</f>
        <v/>
      </c>
      <c r="U144" s="41" t="str">
        <f>IFERROR(__xludf.DUMMYFUNCTION("""COMPUTED_VALUE"""),"")</f>
        <v/>
      </c>
      <c r="V144" s="41" t="str">
        <f>IFERROR(__xludf.DUMMYFUNCTION("""COMPUTED_VALUE"""),"")</f>
        <v/>
      </c>
      <c r="W144" s="41" t="str">
        <f>IFERROR(__xludf.DUMMYFUNCTION("""COMPUTED_VALUE"""),"")</f>
        <v/>
      </c>
      <c r="X144" s="41" t="str">
        <f>IFERROR(__xludf.DUMMYFUNCTION("""COMPUTED_VALUE"""),"")</f>
        <v/>
      </c>
      <c r="Y144" s="41" t="str">
        <f>IFERROR(__xludf.DUMMYFUNCTION("""COMPUTED_VALUE"""),"")</f>
        <v/>
      </c>
      <c r="Z144" s="41" t="str">
        <f>IFERROR(__xludf.DUMMYFUNCTION("""COMPUTED_VALUE"""),"")</f>
        <v/>
      </c>
      <c r="AA144" s="41" t="str">
        <f>IFERROR(__xludf.DUMMYFUNCTION("""COMPUTED_VALUE"""),"")</f>
        <v/>
      </c>
      <c r="AB144" s="38" t="str">
        <f>IFERROR(__xludf.DUMMYFUNCTION("""COMPUTED_VALUE"""),"")</f>
        <v/>
      </c>
    </row>
    <row r="145">
      <c r="A145" s="41" t="str">
        <f>IFERROR(__xludf.DUMMYFUNCTION("""COMPUTED_VALUE"""),"Java")</f>
        <v>Java</v>
      </c>
      <c r="B145" s="42" t="s">
        <v>224</v>
      </c>
      <c r="N145" s="38"/>
      <c r="P145" s="42" t="str">
        <f>IFERROR(__xludf.DUMMYFUNCTION("""COMPUTED_VALUE"""),"java")</f>
        <v>java</v>
      </c>
      <c r="Q145" s="41" t="str">
        <f>IFERROR(__xludf.DUMMYFUNCTION("""COMPUTED_VALUE"""),"javascript")</f>
        <v>javascript</v>
      </c>
      <c r="R145" s="41" t="str">
        <f>IFERROR(__xludf.DUMMYFUNCTION("""COMPUTED_VALUE"""),"nodejs")</f>
        <v>nodejs</v>
      </c>
      <c r="S145" s="41" t="str">
        <f>IFERROR(__xludf.DUMMYFUNCTION("""COMPUTED_VALUE"""),"mongodb")</f>
        <v>mongodb</v>
      </c>
      <c r="T145" s="41" t="str">
        <f>IFERROR(__xludf.DUMMYFUNCTION("""COMPUTED_VALUE"""),"")</f>
        <v/>
      </c>
      <c r="U145" s="41" t="str">
        <f>IFERROR(__xludf.DUMMYFUNCTION("""COMPUTED_VALUE"""),"")</f>
        <v/>
      </c>
      <c r="V145" s="41" t="str">
        <f>IFERROR(__xludf.DUMMYFUNCTION("""COMPUTED_VALUE"""),"")</f>
        <v/>
      </c>
      <c r="W145" s="41" t="str">
        <f>IFERROR(__xludf.DUMMYFUNCTION("""COMPUTED_VALUE"""),"")</f>
        <v/>
      </c>
      <c r="X145" s="41" t="str">
        <f>IFERROR(__xludf.DUMMYFUNCTION("""COMPUTED_VALUE"""),"")</f>
        <v/>
      </c>
      <c r="Y145" s="41" t="str">
        <f>IFERROR(__xludf.DUMMYFUNCTION("""COMPUTED_VALUE"""),"")</f>
        <v/>
      </c>
      <c r="Z145" s="41" t="str">
        <f>IFERROR(__xludf.DUMMYFUNCTION("""COMPUTED_VALUE"""),"")</f>
        <v/>
      </c>
      <c r="AA145" s="41" t="str">
        <f>IFERROR(__xludf.DUMMYFUNCTION("""COMPUTED_VALUE"""),"")</f>
        <v/>
      </c>
      <c r="AB145" s="38" t="str">
        <f>IFERROR(__xludf.DUMMYFUNCTION("""COMPUTED_VALUE"""),"")</f>
        <v/>
      </c>
    </row>
    <row r="146">
      <c r="A146" s="41" t="str">
        <f>IFERROR(__xludf.DUMMYFUNCTION("""COMPUTED_VALUE"""),"C#,NodeJS,Raspberry Pi, Android, Flutter")</f>
        <v>C#,NodeJS,Raspberry Pi, Android, Flutter</v>
      </c>
      <c r="B146" s="42" t="s">
        <v>809</v>
      </c>
      <c r="C146" s="41" t="s">
        <v>1842</v>
      </c>
      <c r="D146" s="41" t="s">
        <v>4176</v>
      </c>
      <c r="E146" s="41" t="s">
        <v>4040</v>
      </c>
      <c r="F146" s="41" t="s">
        <v>4058</v>
      </c>
      <c r="N146" s="38"/>
      <c r="P146" s="42" t="str">
        <f>IFERROR(__xludf.DUMMYFUNCTION("""COMPUTED_VALUE"""),"java")</f>
        <v>java</v>
      </c>
      <c r="Q146" s="41" t="str">
        <f>IFERROR(__xludf.DUMMYFUNCTION("""COMPUTED_VALUE"""),"typescript")</f>
        <v>typescript</v>
      </c>
      <c r="R146" s="41" t="str">
        <f>IFERROR(__xludf.DUMMYFUNCTION("""COMPUTED_VALUE"""),"nuxtjs")</f>
        <v>nuxtjs</v>
      </c>
      <c r="S146" s="41" t="str">
        <f>IFERROR(__xludf.DUMMYFUNCTION("""COMPUTED_VALUE"""),"psql")</f>
        <v>psql</v>
      </c>
      <c r="T146" s="41" t="str">
        <f>IFERROR(__xludf.DUMMYFUNCTION("""COMPUTED_VALUE"""),"")</f>
        <v/>
      </c>
      <c r="U146" s="41" t="str">
        <f>IFERROR(__xludf.DUMMYFUNCTION("""COMPUTED_VALUE"""),"")</f>
        <v/>
      </c>
      <c r="V146" s="41" t="str">
        <f>IFERROR(__xludf.DUMMYFUNCTION("""COMPUTED_VALUE"""),"")</f>
        <v/>
      </c>
      <c r="W146" s="41" t="str">
        <f>IFERROR(__xludf.DUMMYFUNCTION("""COMPUTED_VALUE"""),"")</f>
        <v/>
      </c>
      <c r="X146" s="41" t="str">
        <f>IFERROR(__xludf.DUMMYFUNCTION("""COMPUTED_VALUE"""),"")</f>
        <v/>
      </c>
      <c r="Y146" s="41" t="str">
        <f>IFERROR(__xludf.DUMMYFUNCTION("""COMPUTED_VALUE"""),"")</f>
        <v/>
      </c>
      <c r="Z146" s="41" t="str">
        <f>IFERROR(__xludf.DUMMYFUNCTION("""COMPUTED_VALUE"""),"")</f>
        <v/>
      </c>
      <c r="AA146" s="41" t="str">
        <f>IFERROR(__xludf.DUMMYFUNCTION("""COMPUTED_VALUE"""),"")</f>
        <v/>
      </c>
      <c r="AB146" s="38" t="str">
        <f>IFERROR(__xludf.DUMMYFUNCTION("""COMPUTED_VALUE"""),"")</f>
        <v/>
      </c>
    </row>
    <row r="147">
      <c r="A147" s="41" t="str">
        <f>IFERROR(__xludf.DUMMYFUNCTION("""COMPUTED_VALUE"""),"Google Cloud Platform, C#, React")</f>
        <v>Google Cloud Platform, C#, React</v>
      </c>
      <c r="B147" s="42" t="s">
        <v>4177</v>
      </c>
      <c r="C147" s="41" t="s">
        <v>3975</v>
      </c>
      <c r="D147" s="41" t="s">
        <v>4012</v>
      </c>
      <c r="N147" s="38"/>
      <c r="P147" s="42" t="str">
        <f>IFERROR(__xludf.DUMMYFUNCTION("""COMPUTED_VALUE"""),"any")</f>
        <v>any</v>
      </c>
      <c r="Q147" s="41" t="str">
        <f>IFERROR(__xludf.DUMMYFUNCTION("""COMPUTED_VALUE"""),"react")</f>
        <v>react</v>
      </c>
      <c r="R147" s="41" t="str">
        <f>IFERROR(__xludf.DUMMYFUNCTION("""COMPUTED_VALUE"""),"vue")</f>
        <v>vue</v>
      </c>
      <c r="S147" s="41" t="str">
        <f>IFERROR(__xludf.DUMMYFUNCTION("""COMPUTED_VALUE"""),"scss")</f>
        <v>scss</v>
      </c>
      <c r="T147" s="41" t="str">
        <f>IFERROR(__xludf.DUMMYFUNCTION("""COMPUTED_VALUE"""),"")</f>
        <v/>
      </c>
      <c r="U147" s="41" t="str">
        <f>IFERROR(__xludf.DUMMYFUNCTION("""COMPUTED_VALUE"""),"")</f>
        <v/>
      </c>
      <c r="V147" s="41" t="str">
        <f>IFERROR(__xludf.DUMMYFUNCTION("""COMPUTED_VALUE"""),"")</f>
        <v/>
      </c>
      <c r="W147" s="41" t="str">
        <f>IFERROR(__xludf.DUMMYFUNCTION("""COMPUTED_VALUE"""),"")</f>
        <v/>
      </c>
      <c r="X147" s="41" t="str">
        <f>IFERROR(__xludf.DUMMYFUNCTION("""COMPUTED_VALUE"""),"")</f>
        <v/>
      </c>
      <c r="Y147" s="41" t="str">
        <f>IFERROR(__xludf.DUMMYFUNCTION("""COMPUTED_VALUE"""),"")</f>
        <v/>
      </c>
      <c r="Z147" s="41" t="str">
        <f>IFERROR(__xludf.DUMMYFUNCTION("""COMPUTED_VALUE"""),"")</f>
        <v/>
      </c>
      <c r="AA147" s="41" t="str">
        <f>IFERROR(__xludf.DUMMYFUNCTION("""COMPUTED_VALUE"""),"")</f>
        <v/>
      </c>
      <c r="AB147" s="38" t="str">
        <f>IFERROR(__xludf.DUMMYFUNCTION("""COMPUTED_VALUE"""),"")</f>
        <v/>
      </c>
    </row>
    <row r="148">
      <c r="A148" s="41" t="str">
        <f>IFERROR(__xludf.DUMMYFUNCTION("""COMPUTED_VALUE"""),"Azure, Cloud, Microsoft stack")</f>
        <v>Azure, Cloud, Microsoft stack</v>
      </c>
      <c r="B148" s="42" t="s">
        <v>135</v>
      </c>
      <c r="C148" s="41" t="s">
        <v>4178</v>
      </c>
      <c r="D148" s="41" t="s">
        <v>4179</v>
      </c>
      <c r="N148" s="38"/>
      <c r="P148" s="42" t="str">
        <f>IFERROR(__xludf.DUMMYFUNCTION("""COMPUTED_VALUE"""),"laravel")</f>
        <v>laravel</v>
      </c>
      <c r="Q148" s="41" t="str">
        <f>IFERROR(__xludf.DUMMYFUNCTION("""COMPUTED_VALUE"""),"javascript")</f>
        <v>javascript</v>
      </c>
      <c r="R148" s="41" t="str">
        <f>IFERROR(__xludf.DUMMYFUNCTION("""COMPUTED_VALUE"""),"nodejs")</f>
        <v>nodejs</v>
      </c>
      <c r="S148" s="41" t="str">
        <f>IFERROR(__xludf.DUMMYFUNCTION("""COMPUTED_VALUE"""),"react")</f>
        <v>react</v>
      </c>
      <c r="T148" s="41" t="str">
        <f>IFERROR(__xludf.DUMMYFUNCTION("""COMPUTED_VALUE"""),"")</f>
        <v/>
      </c>
      <c r="U148" s="41" t="str">
        <f>IFERROR(__xludf.DUMMYFUNCTION("""COMPUTED_VALUE"""),"")</f>
        <v/>
      </c>
      <c r="V148" s="41" t="str">
        <f>IFERROR(__xludf.DUMMYFUNCTION("""COMPUTED_VALUE"""),"")</f>
        <v/>
      </c>
      <c r="W148" s="41" t="str">
        <f>IFERROR(__xludf.DUMMYFUNCTION("""COMPUTED_VALUE"""),"")</f>
        <v/>
      </c>
      <c r="X148" s="41" t="str">
        <f>IFERROR(__xludf.DUMMYFUNCTION("""COMPUTED_VALUE"""),"")</f>
        <v/>
      </c>
      <c r="Y148" s="41" t="str">
        <f>IFERROR(__xludf.DUMMYFUNCTION("""COMPUTED_VALUE"""),"")</f>
        <v/>
      </c>
      <c r="Z148" s="41" t="str">
        <f>IFERROR(__xludf.DUMMYFUNCTION("""COMPUTED_VALUE"""),"")</f>
        <v/>
      </c>
      <c r="AA148" s="41" t="str">
        <f>IFERROR(__xludf.DUMMYFUNCTION("""COMPUTED_VALUE"""),"")</f>
        <v/>
      </c>
      <c r="AB148" s="38" t="str">
        <f>IFERROR(__xludf.DUMMYFUNCTION("""COMPUTED_VALUE"""),"")</f>
        <v/>
      </c>
    </row>
    <row r="149">
      <c r="A149" s="41" t="str">
        <f>IFERROR(__xludf.DUMMYFUNCTION("""COMPUTED_VALUE"""),"Node js, Django, React, Python")</f>
        <v>Node js, Django, React, Python</v>
      </c>
      <c r="B149" s="42" t="s">
        <v>1298</v>
      </c>
      <c r="C149" s="41" t="s">
        <v>4083</v>
      </c>
      <c r="D149" s="41" t="s">
        <v>4012</v>
      </c>
      <c r="E149" s="41" t="s">
        <v>4053</v>
      </c>
      <c r="N149" s="38"/>
      <c r="P149" s="42" t="str">
        <f>IFERROR(__xludf.DUMMYFUNCTION("""COMPUTED_VALUE"""),"laravel")</f>
        <v>laravel</v>
      </c>
      <c r="Q149" s="41" t="str">
        <f>IFERROR(__xludf.DUMMYFUNCTION("""COMPUTED_VALUE"""),"jquery")</f>
        <v>jquery</v>
      </c>
      <c r="R149" s="41" t="str">
        <f>IFERROR(__xludf.DUMMYFUNCTION("""COMPUTED_VALUE"""),"vue")</f>
        <v>vue</v>
      </c>
      <c r="S149" s="41" t="str">
        <f>IFERROR(__xludf.DUMMYFUNCTION("""COMPUTED_VALUE"""),"mvvm")</f>
        <v>mvvm</v>
      </c>
      <c r="T149" s="41" t="str">
        <f>IFERROR(__xludf.DUMMYFUNCTION("""COMPUTED_VALUE"""),"")</f>
        <v/>
      </c>
      <c r="U149" s="41" t="str">
        <f>IFERROR(__xludf.DUMMYFUNCTION("""COMPUTED_VALUE"""),"")</f>
        <v/>
      </c>
      <c r="V149" s="41" t="str">
        <f>IFERROR(__xludf.DUMMYFUNCTION("""COMPUTED_VALUE"""),"")</f>
        <v/>
      </c>
      <c r="W149" s="41" t="str">
        <f>IFERROR(__xludf.DUMMYFUNCTION("""COMPUTED_VALUE"""),"")</f>
        <v/>
      </c>
      <c r="X149" s="41" t="str">
        <f>IFERROR(__xludf.DUMMYFUNCTION("""COMPUTED_VALUE"""),"")</f>
        <v/>
      </c>
      <c r="Y149" s="41" t="str">
        <f>IFERROR(__xludf.DUMMYFUNCTION("""COMPUTED_VALUE"""),"")</f>
        <v/>
      </c>
      <c r="Z149" s="41" t="str">
        <f>IFERROR(__xludf.DUMMYFUNCTION("""COMPUTED_VALUE"""),"")</f>
        <v/>
      </c>
      <c r="AA149" s="41" t="str">
        <f>IFERROR(__xludf.DUMMYFUNCTION("""COMPUTED_VALUE"""),"")</f>
        <v/>
      </c>
      <c r="AB149" s="38" t="str">
        <f>IFERROR(__xludf.DUMMYFUNCTION("""COMPUTED_VALUE"""),"")</f>
        <v/>
      </c>
    </row>
    <row r="150">
      <c r="A150" s="41" t="str">
        <f>IFERROR(__xludf.DUMMYFUNCTION("""COMPUTED_VALUE"""),"Salesforce, slack, tableau, workday")</f>
        <v>Salesforce, slack, tableau, workday</v>
      </c>
      <c r="B150" s="42" t="s">
        <v>1922</v>
      </c>
      <c r="C150" s="41" t="s">
        <v>3963</v>
      </c>
      <c r="D150" s="41" t="s">
        <v>4180</v>
      </c>
      <c r="E150" s="41" t="s">
        <v>4181</v>
      </c>
      <c r="N150" s="38"/>
      <c r="P150" s="42" t="str">
        <f>IFERROR(__xludf.DUMMYFUNCTION("""COMPUTED_VALUE"""),"java")</f>
        <v>java</v>
      </c>
      <c r="Q150" s="41" t="str">
        <f>IFERROR(__xludf.DUMMYFUNCTION("""COMPUTED_VALUE"""),"php")</f>
        <v>php</v>
      </c>
      <c r="R150" s="41" t="str">
        <f>IFERROR(__xludf.DUMMYFUNCTION("""COMPUTED_VALUE"""),"react")</f>
        <v>react</v>
      </c>
      <c r="S150" s="41" t="str">
        <f>IFERROR(__xludf.DUMMYFUNCTION("""COMPUTED_VALUE"""),"django")</f>
        <v>django</v>
      </c>
      <c r="T150" s="41" t="str">
        <f>IFERROR(__xludf.DUMMYFUNCTION("""COMPUTED_VALUE"""),"")</f>
        <v/>
      </c>
      <c r="U150" s="41" t="str">
        <f>IFERROR(__xludf.DUMMYFUNCTION("""COMPUTED_VALUE"""),"")</f>
        <v/>
      </c>
      <c r="V150" s="41" t="str">
        <f>IFERROR(__xludf.DUMMYFUNCTION("""COMPUTED_VALUE"""),"")</f>
        <v/>
      </c>
      <c r="W150" s="41" t="str">
        <f>IFERROR(__xludf.DUMMYFUNCTION("""COMPUTED_VALUE"""),"")</f>
        <v/>
      </c>
      <c r="X150" s="41" t="str">
        <f>IFERROR(__xludf.DUMMYFUNCTION("""COMPUTED_VALUE"""),"")</f>
        <v/>
      </c>
      <c r="Y150" s="41" t="str">
        <f>IFERROR(__xludf.DUMMYFUNCTION("""COMPUTED_VALUE"""),"")</f>
        <v/>
      </c>
      <c r="Z150" s="41" t="str">
        <f>IFERROR(__xludf.DUMMYFUNCTION("""COMPUTED_VALUE"""),"")</f>
        <v/>
      </c>
      <c r="AA150" s="41" t="str">
        <f>IFERROR(__xludf.DUMMYFUNCTION("""COMPUTED_VALUE"""),"")</f>
        <v/>
      </c>
      <c r="AB150" s="38" t="str">
        <f>IFERROR(__xludf.DUMMYFUNCTION("""COMPUTED_VALUE"""),"")</f>
        <v/>
      </c>
    </row>
    <row r="151">
      <c r="A151" s="41" t="str">
        <f>IFERROR(__xludf.DUMMYFUNCTION("""COMPUTED_VALUE"""),"Python ")</f>
        <v>Python </v>
      </c>
      <c r="B151" s="42" t="s">
        <v>2554</v>
      </c>
      <c r="N151" s="38"/>
      <c r="P151" s="42" t="str">
        <f>IFERROR(__xludf.DUMMYFUNCTION("""COMPUTED_VALUE"""),"j2ee")</f>
        <v>j2ee</v>
      </c>
      <c r="Q151" s="41" t="str">
        <f>IFERROR(__xludf.DUMMYFUNCTION("""COMPUTED_VALUE"""),"laravel")</f>
        <v>laravel</v>
      </c>
      <c r="R151" s="41" t="str">
        <f>IFERROR(__xludf.DUMMYFUNCTION("""COMPUTED_VALUE"""),".net")</f>
        <v>.net</v>
      </c>
      <c r="S151" s="41" t="str">
        <f>IFERROR(__xludf.DUMMYFUNCTION("""COMPUTED_VALUE"""),"")</f>
        <v/>
      </c>
      <c r="T151" s="41" t="str">
        <f>IFERROR(__xludf.DUMMYFUNCTION("""COMPUTED_VALUE"""),"")</f>
        <v/>
      </c>
      <c r="U151" s="41" t="str">
        <f>IFERROR(__xludf.DUMMYFUNCTION("""COMPUTED_VALUE"""),"")</f>
        <v/>
      </c>
      <c r="V151" s="41" t="str">
        <f>IFERROR(__xludf.DUMMYFUNCTION("""COMPUTED_VALUE"""),"")</f>
        <v/>
      </c>
      <c r="W151" s="41" t="str">
        <f>IFERROR(__xludf.DUMMYFUNCTION("""COMPUTED_VALUE"""),"")</f>
        <v/>
      </c>
      <c r="X151" s="41" t="str">
        <f>IFERROR(__xludf.DUMMYFUNCTION("""COMPUTED_VALUE"""),"")</f>
        <v/>
      </c>
      <c r="Y151" s="41" t="str">
        <f>IFERROR(__xludf.DUMMYFUNCTION("""COMPUTED_VALUE"""),"")</f>
        <v/>
      </c>
      <c r="Z151" s="41" t="str">
        <f>IFERROR(__xludf.DUMMYFUNCTION("""COMPUTED_VALUE"""),"")</f>
        <v/>
      </c>
      <c r="AA151" s="41" t="str">
        <f>IFERROR(__xludf.DUMMYFUNCTION("""COMPUTED_VALUE"""),"")</f>
        <v/>
      </c>
      <c r="AB151" s="38" t="str">
        <f>IFERROR(__xludf.DUMMYFUNCTION("""COMPUTED_VALUE"""),"")</f>
        <v/>
      </c>
    </row>
    <row r="152">
      <c r="A152" s="41" t="str">
        <f>IFERROR(__xludf.DUMMYFUNCTION("""COMPUTED_VALUE"""),"NodeJS")</f>
        <v>NodeJS</v>
      </c>
      <c r="B152" s="42" t="s">
        <v>1842</v>
      </c>
      <c r="N152" s="38"/>
      <c r="P152" s="42" t="str">
        <f>IFERROR(__xludf.DUMMYFUNCTION("""COMPUTED_VALUE"""),"mern")</f>
        <v>mern</v>
      </c>
      <c r="Q152" s="41" t="str">
        <f>IFERROR(__xludf.DUMMYFUNCTION("""COMPUTED_VALUE"""),"nodejs")</f>
        <v>nodejs</v>
      </c>
      <c r="R152" s="41" t="str">
        <f>IFERROR(__xludf.DUMMYFUNCTION("""COMPUTED_VALUE"""),"core")</f>
        <v>core</v>
      </c>
      <c r="S152" s="41" t="str">
        <f>IFERROR(__xludf.DUMMYFUNCTION("""COMPUTED_VALUE"""),"")</f>
        <v/>
      </c>
      <c r="T152" s="41" t="str">
        <f>IFERROR(__xludf.DUMMYFUNCTION("""COMPUTED_VALUE"""),"")</f>
        <v/>
      </c>
      <c r="U152" s="41" t="str">
        <f>IFERROR(__xludf.DUMMYFUNCTION("""COMPUTED_VALUE"""),"")</f>
        <v/>
      </c>
      <c r="V152" s="41" t="str">
        <f>IFERROR(__xludf.DUMMYFUNCTION("""COMPUTED_VALUE"""),"")</f>
        <v/>
      </c>
      <c r="W152" s="41" t="str">
        <f>IFERROR(__xludf.DUMMYFUNCTION("""COMPUTED_VALUE"""),"")</f>
        <v/>
      </c>
      <c r="X152" s="41" t="str">
        <f>IFERROR(__xludf.DUMMYFUNCTION("""COMPUTED_VALUE"""),"")</f>
        <v/>
      </c>
      <c r="Y152" s="41" t="str">
        <f>IFERROR(__xludf.DUMMYFUNCTION("""COMPUTED_VALUE"""),"")</f>
        <v/>
      </c>
      <c r="Z152" s="41" t="str">
        <f>IFERROR(__xludf.DUMMYFUNCTION("""COMPUTED_VALUE"""),"")</f>
        <v/>
      </c>
      <c r="AA152" s="41" t="str">
        <f>IFERROR(__xludf.DUMMYFUNCTION("""COMPUTED_VALUE"""),"")</f>
        <v/>
      </c>
      <c r="AB152" s="38" t="str">
        <f>IFERROR(__xludf.DUMMYFUNCTION("""COMPUTED_VALUE"""),"")</f>
        <v/>
      </c>
    </row>
    <row r="153">
      <c r="A153" s="41" t="str">
        <f>IFERROR(__xludf.DUMMYFUNCTION("""COMPUTED_VALUE"""),"Laravel, PHP, MySQL, JavaScript, HTML, CSS, Scss")</f>
        <v>Laravel, PHP, MySQL, JavaScript, HTML, CSS, Scss</v>
      </c>
      <c r="B153" s="42" t="s">
        <v>103</v>
      </c>
      <c r="C153" s="41" t="s">
        <v>4123</v>
      </c>
      <c r="D153" s="41" t="s">
        <v>4018</v>
      </c>
      <c r="E153" s="41" t="s">
        <v>4111</v>
      </c>
      <c r="F153" s="41" t="s">
        <v>4113</v>
      </c>
      <c r="G153" s="41" t="s">
        <v>4114</v>
      </c>
      <c r="H153" s="41" t="s">
        <v>4182</v>
      </c>
      <c r="N153" s="38"/>
      <c r="P153" s="42" t="str">
        <f>IFERROR(__xludf.DUMMYFUNCTION("""COMPUTED_VALUE"""),"stack")</f>
        <v>stack</v>
      </c>
      <c r="Q153" s="41" t="str">
        <f>IFERROR(__xludf.DUMMYFUNCTION("""COMPUTED_VALUE"""),"javascript")</f>
        <v>javascript</v>
      </c>
      <c r="R153" s="41" t="str">
        <f>IFERROR(__xludf.DUMMYFUNCTION("""COMPUTED_VALUE"""),"aliyun")</f>
        <v>aliyun</v>
      </c>
      <c r="S153" s="41" t="str">
        <f>IFERROR(__xludf.DUMMYFUNCTION("""COMPUTED_VALUE"""),"")</f>
        <v/>
      </c>
      <c r="T153" s="41" t="str">
        <f>IFERROR(__xludf.DUMMYFUNCTION("""COMPUTED_VALUE"""),"")</f>
        <v/>
      </c>
      <c r="U153" s="41" t="str">
        <f>IFERROR(__xludf.DUMMYFUNCTION("""COMPUTED_VALUE"""),"")</f>
        <v/>
      </c>
      <c r="V153" s="41" t="str">
        <f>IFERROR(__xludf.DUMMYFUNCTION("""COMPUTED_VALUE"""),"")</f>
        <v/>
      </c>
      <c r="W153" s="41" t="str">
        <f>IFERROR(__xludf.DUMMYFUNCTION("""COMPUTED_VALUE"""),"")</f>
        <v/>
      </c>
      <c r="X153" s="41" t="str">
        <f>IFERROR(__xludf.DUMMYFUNCTION("""COMPUTED_VALUE"""),"")</f>
        <v/>
      </c>
      <c r="Y153" s="41" t="str">
        <f>IFERROR(__xludf.DUMMYFUNCTION("""COMPUTED_VALUE"""),"")</f>
        <v/>
      </c>
      <c r="Z153" s="41" t="str">
        <f>IFERROR(__xludf.DUMMYFUNCTION("""COMPUTED_VALUE"""),"")</f>
        <v/>
      </c>
      <c r="AA153" s="41" t="str">
        <f>IFERROR(__xludf.DUMMYFUNCTION("""COMPUTED_VALUE"""),"")</f>
        <v/>
      </c>
      <c r="AB153" s="38" t="str">
        <f>IFERROR(__xludf.DUMMYFUNCTION("""COMPUTED_VALUE"""),"")</f>
        <v/>
      </c>
    </row>
    <row r="154">
      <c r="A154" s="41" t="str">
        <f>IFERROR(__xludf.DUMMYFUNCTION("""COMPUTED_VALUE"""),"Nodejs, Reactjs, microservice")</f>
        <v>Nodejs, Reactjs, microservice</v>
      </c>
      <c r="B154" s="42" t="s">
        <v>4102</v>
      </c>
      <c r="C154" s="41" t="s">
        <v>4005</v>
      </c>
      <c r="D154" s="41" t="s">
        <v>4183</v>
      </c>
      <c r="N154" s="38"/>
      <c r="P154" s="42" t="str">
        <f>IFERROR(__xludf.DUMMYFUNCTION("""COMPUTED_VALUE"""),"c#")</f>
        <v>c#</v>
      </c>
      <c r="Q154" s="41" t="str">
        <f>IFERROR(__xludf.DUMMYFUNCTION("""COMPUTED_VALUE"""),"angular")</f>
        <v>angular</v>
      </c>
      <c r="R154" s="41" t="str">
        <f>IFERROR(__xludf.DUMMYFUNCTION("""COMPUTED_VALUE"""),"analytic")</f>
        <v>analytic</v>
      </c>
      <c r="S154" s="41" t="str">
        <f>IFERROR(__xludf.DUMMYFUNCTION("""COMPUTED_VALUE"""),"")</f>
        <v/>
      </c>
      <c r="T154" s="41" t="str">
        <f>IFERROR(__xludf.DUMMYFUNCTION("""COMPUTED_VALUE"""),"")</f>
        <v/>
      </c>
      <c r="U154" s="41" t="str">
        <f>IFERROR(__xludf.DUMMYFUNCTION("""COMPUTED_VALUE"""),"")</f>
        <v/>
      </c>
      <c r="V154" s="41" t="str">
        <f>IFERROR(__xludf.DUMMYFUNCTION("""COMPUTED_VALUE"""),"")</f>
        <v/>
      </c>
      <c r="W154" s="41" t="str">
        <f>IFERROR(__xludf.DUMMYFUNCTION("""COMPUTED_VALUE"""),"")</f>
        <v/>
      </c>
      <c r="X154" s="41" t="str">
        <f>IFERROR(__xludf.DUMMYFUNCTION("""COMPUTED_VALUE"""),"")</f>
        <v/>
      </c>
      <c r="Y154" s="41" t="str">
        <f>IFERROR(__xludf.DUMMYFUNCTION("""COMPUTED_VALUE"""),"")</f>
        <v/>
      </c>
      <c r="Z154" s="41" t="str">
        <f>IFERROR(__xludf.DUMMYFUNCTION("""COMPUTED_VALUE"""),"")</f>
        <v/>
      </c>
      <c r="AA154" s="41" t="str">
        <f>IFERROR(__xludf.DUMMYFUNCTION("""COMPUTED_VALUE"""),"")</f>
        <v/>
      </c>
      <c r="AB154" s="38" t="str">
        <f>IFERROR(__xludf.DUMMYFUNCTION("""COMPUTED_VALUE"""),"")</f>
        <v/>
      </c>
    </row>
    <row r="155">
      <c r="A155" s="41" t="str">
        <f>IFERROR(__xludf.DUMMYFUNCTION("""COMPUTED_VALUE"""),"Vue, Net core, Tensorflow ")</f>
        <v>Vue, Net core, Tensorflow </v>
      </c>
      <c r="B155" s="42" t="s">
        <v>4184</v>
      </c>
      <c r="C155" s="41" t="s">
        <v>4185</v>
      </c>
      <c r="D155" s="41" t="s">
        <v>4186</v>
      </c>
      <c r="N155" s="38"/>
      <c r="P155" s="42" t="str">
        <f>IFERROR(__xludf.DUMMYFUNCTION("""COMPUTED_VALUE"""),"aws")</f>
        <v>aws</v>
      </c>
      <c r="Q155" s="41" t="str">
        <f>IFERROR(__xludf.DUMMYFUNCTION("""COMPUTED_VALUE"""),".net")</f>
        <v>.net</v>
      </c>
      <c r="R155" s="41" t="str">
        <f>IFERROR(__xludf.DUMMYFUNCTION("""COMPUTED_VALUE"""),"db")</f>
        <v>db</v>
      </c>
      <c r="S155" s="41" t="str">
        <f>IFERROR(__xludf.DUMMYFUNCTION("""COMPUTED_VALUE"""),"")</f>
        <v/>
      </c>
      <c r="T155" s="41" t="str">
        <f>IFERROR(__xludf.DUMMYFUNCTION("""COMPUTED_VALUE"""),"")</f>
        <v/>
      </c>
      <c r="U155" s="41" t="str">
        <f>IFERROR(__xludf.DUMMYFUNCTION("""COMPUTED_VALUE"""),"")</f>
        <v/>
      </c>
      <c r="V155" s="41" t="str">
        <f>IFERROR(__xludf.DUMMYFUNCTION("""COMPUTED_VALUE"""),"")</f>
        <v/>
      </c>
      <c r="W155" s="41" t="str">
        <f>IFERROR(__xludf.DUMMYFUNCTION("""COMPUTED_VALUE"""),"")</f>
        <v/>
      </c>
      <c r="X155" s="41" t="str">
        <f>IFERROR(__xludf.DUMMYFUNCTION("""COMPUTED_VALUE"""),"")</f>
        <v/>
      </c>
      <c r="Y155" s="41" t="str">
        <f>IFERROR(__xludf.DUMMYFUNCTION("""COMPUTED_VALUE"""),"")</f>
        <v/>
      </c>
      <c r="Z155" s="41" t="str">
        <f>IFERROR(__xludf.DUMMYFUNCTION("""COMPUTED_VALUE"""),"")</f>
        <v/>
      </c>
      <c r="AA155" s="41" t="str">
        <f>IFERROR(__xludf.DUMMYFUNCTION("""COMPUTED_VALUE"""),"")</f>
        <v/>
      </c>
      <c r="AB155" s="38" t="str">
        <f>IFERROR(__xludf.DUMMYFUNCTION("""COMPUTED_VALUE"""),"")</f>
        <v/>
      </c>
    </row>
    <row r="156">
      <c r="A156" s="41" t="str">
        <f>IFERROR(__xludf.DUMMYFUNCTION("""COMPUTED_VALUE"""),"Golang, AWS, Mongodb")</f>
        <v>Golang, AWS, Mongodb</v>
      </c>
      <c r="B156" s="42" t="s">
        <v>1949</v>
      </c>
      <c r="C156" s="41" t="s">
        <v>4042</v>
      </c>
      <c r="D156" s="41" t="s">
        <v>4187</v>
      </c>
      <c r="N156" s="38"/>
      <c r="P156" s="42" t="str">
        <f>IFERROR(__xludf.DUMMYFUNCTION("""COMPUTED_VALUE"""),".net")</f>
        <v>.net</v>
      </c>
      <c r="Q156" s="41" t="str">
        <f>IFERROR(__xludf.DUMMYFUNCTION("""COMPUTED_VALUE"""),"python")</f>
        <v>python</v>
      </c>
      <c r="R156" s="41" t="str">
        <f>IFERROR(__xludf.DUMMYFUNCTION("""COMPUTED_VALUE"""),"python")</f>
        <v>python</v>
      </c>
      <c r="S156" s="41" t="str">
        <f>IFERROR(__xludf.DUMMYFUNCTION("""COMPUTED_VALUE"""),"")</f>
        <v/>
      </c>
      <c r="T156" s="41" t="str">
        <f>IFERROR(__xludf.DUMMYFUNCTION("""COMPUTED_VALUE"""),"")</f>
        <v/>
      </c>
      <c r="U156" s="41" t="str">
        <f>IFERROR(__xludf.DUMMYFUNCTION("""COMPUTED_VALUE"""),"")</f>
        <v/>
      </c>
      <c r="V156" s="41" t="str">
        <f>IFERROR(__xludf.DUMMYFUNCTION("""COMPUTED_VALUE"""),"")</f>
        <v/>
      </c>
      <c r="W156" s="41" t="str">
        <f>IFERROR(__xludf.DUMMYFUNCTION("""COMPUTED_VALUE"""),"")</f>
        <v/>
      </c>
      <c r="X156" s="41" t="str">
        <f>IFERROR(__xludf.DUMMYFUNCTION("""COMPUTED_VALUE"""),"")</f>
        <v/>
      </c>
      <c r="Y156" s="41" t="str">
        <f>IFERROR(__xludf.DUMMYFUNCTION("""COMPUTED_VALUE"""),"")</f>
        <v/>
      </c>
      <c r="Z156" s="41" t="str">
        <f>IFERROR(__xludf.DUMMYFUNCTION("""COMPUTED_VALUE"""),"")</f>
        <v/>
      </c>
      <c r="AA156" s="41" t="str">
        <f>IFERROR(__xludf.DUMMYFUNCTION("""COMPUTED_VALUE"""),"")</f>
        <v/>
      </c>
      <c r="AB156" s="38" t="str">
        <f>IFERROR(__xludf.DUMMYFUNCTION("""COMPUTED_VALUE"""),"")</f>
        <v/>
      </c>
    </row>
    <row r="157">
      <c r="A157" s="41" t="str">
        <f>IFERROR(__xludf.DUMMYFUNCTION("""COMPUTED_VALUE"""),"Vue.js, Python, multiple GCP services")</f>
        <v>Vue.js, Python, multiple GCP services</v>
      </c>
      <c r="B157" s="42" t="s">
        <v>4188</v>
      </c>
      <c r="C157" s="41" t="s">
        <v>4053</v>
      </c>
      <c r="D157" s="41" t="s">
        <v>4189</v>
      </c>
      <c r="N157" s="38"/>
      <c r="P157" s="42" t="str">
        <f>IFERROR(__xludf.DUMMYFUNCTION("""COMPUTED_VALUE"""),"javascript")</f>
        <v>javascript</v>
      </c>
      <c r="Q157" s="41" t="str">
        <f>IFERROR(__xludf.DUMMYFUNCTION("""COMPUTED_VALUE"""),"angular")</f>
        <v>angular</v>
      </c>
      <c r="R157" s="41" t="str">
        <f>IFERROR(__xludf.DUMMYFUNCTION("""COMPUTED_VALUE"""),"gcp")</f>
        <v>gcp</v>
      </c>
      <c r="S157" s="41" t="str">
        <f>IFERROR(__xludf.DUMMYFUNCTION("""COMPUTED_VALUE"""),"")</f>
        <v/>
      </c>
      <c r="T157" s="41" t="str">
        <f>IFERROR(__xludf.DUMMYFUNCTION("""COMPUTED_VALUE"""),"")</f>
        <v/>
      </c>
      <c r="U157" s="41" t="str">
        <f>IFERROR(__xludf.DUMMYFUNCTION("""COMPUTED_VALUE"""),"")</f>
        <v/>
      </c>
      <c r="V157" s="41" t="str">
        <f>IFERROR(__xludf.DUMMYFUNCTION("""COMPUTED_VALUE"""),"")</f>
        <v/>
      </c>
      <c r="W157" s="41" t="str">
        <f>IFERROR(__xludf.DUMMYFUNCTION("""COMPUTED_VALUE"""),"")</f>
        <v/>
      </c>
      <c r="X157" s="41" t="str">
        <f>IFERROR(__xludf.DUMMYFUNCTION("""COMPUTED_VALUE"""),"")</f>
        <v/>
      </c>
      <c r="Y157" s="41" t="str">
        <f>IFERROR(__xludf.DUMMYFUNCTION("""COMPUTED_VALUE"""),"")</f>
        <v/>
      </c>
      <c r="Z157" s="41" t="str">
        <f>IFERROR(__xludf.DUMMYFUNCTION("""COMPUTED_VALUE"""),"")</f>
        <v/>
      </c>
      <c r="AA157" s="41" t="str">
        <f>IFERROR(__xludf.DUMMYFUNCTION("""COMPUTED_VALUE"""),"")</f>
        <v/>
      </c>
      <c r="AB157" s="38" t="str">
        <f>IFERROR(__xludf.DUMMYFUNCTION("""COMPUTED_VALUE"""),"")</f>
        <v/>
      </c>
    </row>
    <row r="158">
      <c r="A158" s="41" t="str">
        <f>IFERROR(__xludf.DUMMYFUNCTION("""COMPUTED_VALUE"""),"Xcode, Swift")</f>
        <v>Xcode, Swift</v>
      </c>
      <c r="B158" s="42" t="s">
        <v>4097</v>
      </c>
      <c r="C158" s="41" t="s">
        <v>4098</v>
      </c>
      <c r="N158" s="38"/>
      <c r="P158" s="42" t="str">
        <f>IFERROR(__xludf.DUMMYFUNCTION("""COMPUTED_VALUE"""),"laptop")</f>
        <v>laptop</v>
      </c>
      <c r="Q158" s="41" t="str">
        <f>IFERROR(__xludf.DUMMYFUNCTION("""COMPUTED_VALUE"""),"jquery")</f>
        <v>jquery</v>
      </c>
      <c r="R158" s="41" t="str">
        <f>IFERROR(__xludf.DUMMYFUNCTION("""COMPUTED_VALUE"""),"laravel")</f>
        <v>laravel</v>
      </c>
      <c r="S158" s="41" t="str">
        <f>IFERROR(__xludf.DUMMYFUNCTION("""COMPUTED_VALUE"""),"")</f>
        <v/>
      </c>
      <c r="T158" s="41" t="str">
        <f>IFERROR(__xludf.DUMMYFUNCTION("""COMPUTED_VALUE"""),"")</f>
        <v/>
      </c>
      <c r="U158" s="41" t="str">
        <f>IFERROR(__xludf.DUMMYFUNCTION("""COMPUTED_VALUE"""),"")</f>
        <v/>
      </c>
      <c r="V158" s="41" t="str">
        <f>IFERROR(__xludf.DUMMYFUNCTION("""COMPUTED_VALUE"""),"")</f>
        <v/>
      </c>
      <c r="W158" s="41" t="str">
        <f>IFERROR(__xludf.DUMMYFUNCTION("""COMPUTED_VALUE"""),"")</f>
        <v/>
      </c>
      <c r="X158" s="41" t="str">
        <f>IFERROR(__xludf.DUMMYFUNCTION("""COMPUTED_VALUE"""),"")</f>
        <v/>
      </c>
      <c r="Y158" s="41" t="str">
        <f>IFERROR(__xludf.DUMMYFUNCTION("""COMPUTED_VALUE"""),"")</f>
        <v/>
      </c>
      <c r="Z158" s="41" t="str">
        <f>IFERROR(__xludf.DUMMYFUNCTION("""COMPUTED_VALUE"""),"")</f>
        <v/>
      </c>
      <c r="AA158" s="41" t="str">
        <f>IFERROR(__xludf.DUMMYFUNCTION("""COMPUTED_VALUE"""),"")</f>
        <v/>
      </c>
      <c r="AB158" s="38" t="str">
        <f>IFERROR(__xludf.DUMMYFUNCTION("""COMPUTED_VALUE"""),"")</f>
        <v/>
      </c>
    </row>
    <row r="159">
      <c r="A159" s="41" t="str">
        <f>IFERROR(__xludf.DUMMYFUNCTION("""COMPUTED_VALUE"""),"Python, PKS, Kubernetes, JS")</f>
        <v>Python, PKS, Kubernetes, JS</v>
      </c>
      <c r="B159" s="42" t="s">
        <v>78</v>
      </c>
      <c r="C159" s="41" t="s">
        <v>4190</v>
      </c>
      <c r="D159" s="41" t="s">
        <v>4191</v>
      </c>
      <c r="E159" s="41" t="s">
        <v>4161</v>
      </c>
      <c r="N159" s="38"/>
      <c r="P159" s="42" t="str">
        <f>IFERROR(__xludf.DUMMYFUNCTION("""COMPUTED_VALUE"""),"java")</f>
        <v>java</v>
      </c>
      <c r="Q159" s="41" t="str">
        <f>IFERROR(__xludf.DUMMYFUNCTION("""COMPUTED_VALUE"""),"nodejs")</f>
        <v>nodejs</v>
      </c>
      <c r="R159" s="41" t="str">
        <f>IFERROR(__xludf.DUMMYFUNCTION("""COMPUTED_VALUE"""),"mysql")</f>
        <v>mysql</v>
      </c>
      <c r="S159" s="41" t="str">
        <f>IFERROR(__xludf.DUMMYFUNCTION("""COMPUTED_VALUE"""),"")</f>
        <v/>
      </c>
      <c r="T159" s="41" t="str">
        <f>IFERROR(__xludf.DUMMYFUNCTION("""COMPUTED_VALUE"""),"")</f>
        <v/>
      </c>
      <c r="U159" s="41" t="str">
        <f>IFERROR(__xludf.DUMMYFUNCTION("""COMPUTED_VALUE"""),"")</f>
        <v/>
      </c>
      <c r="V159" s="41" t="str">
        <f>IFERROR(__xludf.DUMMYFUNCTION("""COMPUTED_VALUE"""),"")</f>
        <v/>
      </c>
      <c r="W159" s="41" t="str">
        <f>IFERROR(__xludf.DUMMYFUNCTION("""COMPUTED_VALUE"""),"")</f>
        <v/>
      </c>
      <c r="X159" s="41" t="str">
        <f>IFERROR(__xludf.DUMMYFUNCTION("""COMPUTED_VALUE"""),"")</f>
        <v/>
      </c>
      <c r="Y159" s="41" t="str">
        <f>IFERROR(__xludf.DUMMYFUNCTION("""COMPUTED_VALUE"""),"")</f>
        <v/>
      </c>
      <c r="Z159" s="41" t="str">
        <f>IFERROR(__xludf.DUMMYFUNCTION("""COMPUTED_VALUE"""),"")</f>
        <v/>
      </c>
      <c r="AA159" s="41" t="str">
        <f>IFERROR(__xludf.DUMMYFUNCTION("""COMPUTED_VALUE"""),"")</f>
        <v/>
      </c>
      <c r="AB159" s="38" t="str">
        <f>IFERROR(__xludf.DUMMYFUNCTION("""COMPUTED_VALUE"""),"")</f>
        <v/>
      </c>
    </row>
    <row r="160">
      <c r="A160" s="41" t="str">
        <f>IFERROR(__xludf.DUMMYFUNCTION("""COMPUTED_VALUE"""),"Kafka, Nifi, SQL, Power BI, SAP, SSIS")</f>
        <v>Kafka, Nifi, SQL, Power BI, SAP, SSIS</v>
      </c>
      <c r="B160" s="42" t="s">
        <v>4192</v>
      </c>
      <c r="C160" s="41" t="s">
        <v>4193</v>
      </c>
      <c r="D160" s="41" t="s">
        <v>4120</v>
      </c>
      <c r="E160" s="41" t="s">
        <v>4194</v>
      </c>
      <c r="F160" s="41" t="s">
        <v>4195</v>
      </c>
      <c r="G160" s="41" t="s">
        <v>4196</v>
      </c>
      <c r="N160" s="38"/>
      <c r="P160" s="42" t="str">
        <f>IFERROR(__xludf.DUMMYFUNCTION("""COMPUTED_VALUE"""),"quill")</f>
        <v>quill</v>
      </c>
      <c r="Q160" s="41" t="str">
        <f>IFERROR(__xludf.DUMMYFUNCTION("""COMPUTED_VALUE"""),"github.")</f>
        <v>github.</v>
      </c>
      <c r="R160" s="41" t="str">
        <f>IFERROR(__xludf.DUMMYFUNCTION("""COMPUTED_VALUE"""),".net")</f>
        <v>.net</v>
      </c>
      <c r="S160" s="41" t="str">
        <f>IFERROR(__xludf.DUMMYFUNCTION("""COMPUTED_VALUE"""),"")</f>
        <v/>
      </c>
      <c r="T160" s="41" t="str">
        <f>IFERROR(__xludf.DUMMYFUNCTION("""COMPUTED_VALUE"""),"")</f>
        <v/>
      </c>
      <c r="U160" s="41" t="str">
        <f>IFERROR(__xludf.DUMMYFUNCTION("""COMPUTED_VALUE"""),"")</f>
        <v/>
      </c>
      <c r="V160" s="41" t="str">
        <f>IFERROR(__xludf.DUMMYFUNCTION("""COMPUTED_VALUE"""),"")</f>
        <v/>
      </c>
      <c r="W160" s="41" t="str">
        <f>IFERROR(__xludf.DUMMYFUNCTION("""COMPUTED_VALUE"""),"")</f>
        <v/>
      </c>
      <c r="X160" s="41" t="str">
        <f>IFERROR(__xludf.DUMMYFUNCTION("""COMPUTED_VALUE"""),"")</f>
        <v/>
      </c>
      <c r="Y160" s="41" t="str">
        <f>IFERROR(__xludf.DUMMYFUNCTION("""COMPUTED_VALUE"""),"")</f>
        <v/>
      </c>
      <c r="Z160" s="41" t="str">
        <f>IFERROR(__xludf.DUMMYFUNCTION("""COMPUTED_VALUE"""),"")</f>
        <v/>
      </c>
      <c r="AA160" s="41" t="str">
        <f>IFERROR(__xludf.DUMMYFUNCTION("""COMPUTED_VALUE"""),"")</f>
        <v/>
      </c>
      <c r="AB160" s="38" t="str">
        <f>IFERROR(__xludf.DUMMYFUNCTION("""COMPUTED_VALUE"""),"")</f>
        <v/>
      </c>
    </row>
    <row r="161">
      <c r="A161" s="41" t="str">
        <f>IFERROR(__xludf.DUMMYFUNCTION("""COMPUTED_VALUE"""),"Python, AWS, Docker, Apache Airflow, MLflow, DVC, Arize.ai")</f>
        <v>Python, AWS, Docker, Apache Airflow, MLflow, DVC, Arize.ai</v>
      </c>
      <c r="B161" s="42" t="s">
        <v>78</v>
      </c>
      <c r="C161" s="41" t="s">
        <v>4042</v>
      </c>
      <c r="D161" s="41" t="s">
        <v>4090</v>
      </c>
      <c r="E161" s="41" t="s">
        <v>4197</v>
      </c>
      <c r="F161" s="41" t="s">
        <v>4198</v>
      </c>
      <c r="G161" s="41" t="s">
        <v>4199</v>
      </c>
      <c r="H161" s="41" t="s">
        <v>4200</v>
      </c>
      <c r="N161" s="38"/>
      <c r="P161" s="42" t="str">
        <f>IFERROR(__xludf.DUMMYFUNCTION("""COMPUTED_VALUE"""),"(quintiq")</f>
        <v>(quintiq</v>
      </c>
      <c r="Q161" s="41" t="str">
        <f>IFERROR(__xludf.DUMMYFUNCTION("""COMPUTED_VALUE"""),"laravel")</f>
        <v>laravel</v>
      </c>
      <c r="R161" s="41" t="str">
        <f>IFERROR(__xludf.DUMMYFUNCTION("""COMPUTED_VALUE"""),"sql")</f>
        <v>sql</v>
      </c>
      <c r="S161" s="41" t="str">
        <f>IFERROR(__xludf.DUMMYFUNCTION("""COMPUTED_VALUE"""),"")</f>
        <v/>
      </c>
      <c r="T161" s="41" t="str">
        <f>IFERROR(__xludf.DUMMYFUNCTION("""COMPUTED_VALUE"""),"")</f>
        <v/>
      </c>
      <c r="U161" s="41" t="str">
        <f>IFERROR(__xludf.DUMMYFUNCTION("""COMPUTED_VALUE"""),"")</f>
        <v/>
      </c>
      <c r="V161" s="41" t="str">
        <f>IFERROR(__xludf.DUMMYFUNCTION("""COMPUTED_VALUE"""),"")</f>
        <v/>
      </c>
      <c r="W161" s="41" t="str">
        <f>IFERROR(__xludf.DUMMYFUNCTION("""COMPUTED_VALUE"""),"")</f>
        <v/>
      </c>
      <c r="X161" s="41" t="str">
        <f>IFERROR(__xludf.DUMMYFUNCTION("""COMPUTED_VALUE"""),"")</f>
        <v/>
      </c>
      <c r="Y161" s="41" t="str">
        <f>IFERROR(__xludf.DUMMYFUNCTION("""COMPUTED_VALUE"""),"")</f>
        <v/>
      </c>
      <c r="Z161" s="41" t="str">
        <f>IFERROR(__xludf.DUMMYFUNCTION("""COMPUTED_VALUE"""),"")</f>
        <v/>
      </c>
      <c r="AA161" s="41" t="str">
        <f>IFERROR(__xludf.DUMMYFUNCTION("""COMPUTED_VALUE"""),"")</f>
        <v/>
      </c>
      <c r="AB161" s="38" t="str">
        <f>IFERROR(__xludf.DUMMYFUNCTION("""COMPUTED_VALUE"""),"")</f>
        <v/>
      </c>
    </row>
    <row r="162">
      <c r="A162" s="41" t="str">
        <f>IFERROR(__xludf.DUMMYFUNCTION("""COMPUTED_VALUE"""),"Nodejs, vuejs")</f>
        <v>Nodejs, vuejs</v>
      </c>
      <c r="B162" s="42" t="s">
        <v>4102</v>
      </c>
      <c r="C162" s="41" t="s">
        <v>4201</v>
      </c>
      <c r="N162" s="38"/>
      <c r="P162" s="42" t="str">
        <f>IFERROR(__xludf.DUMMYFUNCTION("""COMPUTED_VALUE"""),"logic")</f>
        <v>logic</v>
      </c>
      <c r="Q162" s="41" t="str">
        <f>IFERROR(__xludf.DUMMYFUNCTION("""COMPUTED_VALUE"""),"cloud")</f>
        <v>cloud</v>
      </c>
      <c r="R162" s="41" t="str">
        <f>IFERROR(__xludf.DUMMYFUNCTION("""COMPUTED_VALUE"""),"server")</f>
        <v>server</v>
      </c>
      <c r="S162" s="41" t="str">
        <f>IFERROR(__xludf.DUMMYFUNCTION("""COMPUTED_VALUE"""),"")</f>
        <v/>
      </c>
      <c r="T162" s="41" t="str">
        <f>IFERROR(__xludf.DUMMYFUNCTION("""COMPUTED_VALUE"""),"")</f>
        <v/>
      </c>
      <c r="U162" s="41" t="str">
        <f>IFERROR(__xludf.DUMMYFUNCTION("""COMPUTED_VALUE"""),"")</f>
        <v/>
      </c>
      <c r="V162" s="41" t="str">
        <f>IFERROR(__xludf.DUMMYFUNCTION("""COMPUTED_VALUE"""),"")</f>
        <v/>
      </c>
      <c r="W162" s="41" t="str">
        <f>IFERROR(__xludf.DUMMYFUNCTION("""COMPUTED_VALUE"""),"")</f>
        <v/>
      </c>
      <c r="X162" s="41" t="str">
        <f>IFERROR(__xludf.DUMMYFUNCTION("""COMPUTED_VALUE"""),"")</f>
        <v/>
      </c>
      <c r="Y162" s="41" t="str">
        <f>IFERROR(__xludf.DUMMYFUNCTION("""COMPUTED_VALUE"""),"")</f>
        <v/>
      </c>
      <c r="Z162" s="41" t="str">
        <f>IFERROR(__xludf.DUMMYFUNCTION("""COMPUTED_VALUE"""),"")</f>
        <v/>
      </c>
      <c r="AA162" s="41" t="str">
        <f>IFERROR(__xludf.DUMMYFUNCTION("""COMPUTED_VALUE"""),"")</f>
        <v/>
      </c>
      <c r="AB162" s="38" t="str">
        <f>IFERROR(__xludf.DUMMYFUNCTION("""COMPUTED_VALUE"""),"")</f>
        <v/>
      </c>
    </row>
    <row r="163">
      <c r="A163" s="41" t="str">
        <f>IFERROR(__xludf.DUMMYFUNCTION("""COMPUTED_VALUE"""),".NET Core, C#, SQL Server, Kubernetes, Docker, Azure Devops")</f>
        <v>.NET Core, C#, SQL Server, Kubernetes, Docker, Azure Devops</v>
      </c>
      <c r="B163" s="42" t="s">
        <v>4202</v>
      </c>
      <c r="C163" s="41" t="s">
        <v>3975</v>
      </c>
      <c r="D163" s="41" t="s">
        <v>3988</v>
      </c>
      <c r="E163" s="41" t="s">
        <v>4191</v>
      </c>
      <c r="F163" s="41" t="s">
        <v>4090</v>
      </c>
      <c r="G163" s="41" t="s">
        <v>4203</v>
      </c>
      <c r="N163" s="38"/>
      <c r="P163" s="42" t="str">
        <f>IFERROR(__xludf.DUMMYFUNCTION("""COMPUTED_VALUE"""),"language)")</f>
        <v>language)</v>
      </c>
      <c r="Q163" s="41" t="str">
        <f>IFERROR(__xludf.DUMMYFUNCTION("""COMPUTED_VALUE"""),"spotfire")</f>
        <v>spotfire</v>
      </c>
      <c r="R163" s="41" t="str">
        <f>IFERROR(__xludf.DUMMYFUNCTION("""COMPUTED_VALUE"""),"azure")</f>
        <v>azure</v>
      </c>
      <c r="S163" s="41" t="str">
        <f>IFERROR(__xludf.DUMMYFUNCTION("""COMPUTED_VALUE"""),"")</f>
        <v/>
      </c>
      <c r="T163" s="41" t="str">
        <f>IFERROR(__xludf.DUMMYFUNCTION("""COMPUTED_VALUE"""),"")</f>
        <v/>
      </c>
      <c r="U163" s="41" t="str">
        <f>IFERROR(__xludf.DUMMYFUNCTION("""COMPUTED_VALUE"""),"")</f>
        <v/>
      </c>
      <c r="V163" s="41" t="str">
        <f>IFERROR(__xludf.DUMMYFUNCTION("""COMPUTED_VALUE"""),"")</f>
        <v/>
      </c>
      <c r="W163" s="41" t="str">
        <f>IFERROR(__xludf.DUMMYFUNCTION("""COMPUTED_VALUE"""),"")</f>
        <v/>
      </c>
      <c r="X163" s="41" t="str">
        <f>IFERROR(__xludf.DUMMYFUNCTION("""COMPUTED_VALUE"""),"")</f>
        <v/>
      </c>
      <c r="Y163" s="41" t="str">
        <f>IFERROR(__xludf.DUMMYFUNCTION("""COMPUTED_VALUE"""),"")</f>
        <v/>
      </c>
      <c r="Z163" s="41" t="str">
        <f>IFERROR(__xludf.DUMMYFUNCTION("""COMPUTED_VALUE"""),"")</f>
        <v/>
      </c>
      <c r="AA163" s="41" t="str">
        <f>IFERROR(__xludf.DUMMYFUNCTION("""COMPUTED_VALUE"""),"")</f>
        <v/>
      </c>
      <c r="AB163" s="38" t="str">
        <f>IFERROR(__xludf.DUMMYFUNCTION("""COMPUTED_VALUE"""),"")</f>
        <v/>
      </c>
    </row>
    <row r="164">
      <c r="A164" s="41" t="str">
        <f>IFERROR(__xludf.DUMMYFUNCTION("""COMPUTED_VALUE""")," ")</f>
        <v> </v>
      </c>
      <c r="B164" s="42" t="s">
        <v>2720</v>
      </c>
      <c r="N164" s="38"/>
      <c r="P164" s="42" t="str">
        <f>IFERROR(__xludf.DUMMYFUNCTION("""COMPUTED_VALUE"""),"laptop")</f>
        <v>laptop</v>
      </c>
      <c r="Q164" s="41" t="str">
        <f>IFERROR(__xludf.DUMMYFUNCTION("""COMPUTED_VALUE"""),"laravel")</f>
        <v>laravel</v>
      </c>
      <c r="R164" s="41" t="str">
        <f>IFERROR(__xludf.DUMMYFUNCTION("""COMPUTED_VALUE"""),"vue")</f>
        <v>vue</v>
      </c>
      <c r="S164" s="41" t="str">
        <f>IFERROR(__xludf.DUMMYFUNCTION("""COMPUTED_VALUE"""),"")</f>
        <v/>
      </c>
      <c r="T164" s="41" t="str">
        <f>IFERROR(__xludf.DUMMYFUNCTION("""COMPUTED_VALUE"""),"")</f>
        <v/>
      </c>
      <c r="U164" s="41" t="str">
        <f>IFERROR(__xludf.DUMMYFUNCTION("""COMPUTED_VALUE"""),"")</f>
        <v/>
      </c>
      <c r="V164" s="41" t="str">
        <f>IFERROR(__xludf.DUMMYFUNCTION("""COMPUTED_VALUE"""),"")</f>
        <v/>
      </c>
      <c r="W164" s="41" t="str">
        <f>IFERROR(__xludf.DUMMYFUNCTION("""COMPUTED_VALUE"""),"")</f>
        <v/>
      </c>
      <c r="X164" s="41" t="str">
        <f>IFERROR(__xludf.DUMMYFUNCTION("""COMPUTED_VALUE"""),"")</f>
        <v/>
      </c>
      <c r="Y164" s="41" t="str">
        <f>IFERROR(__xludf.DUMMYFUNCTION("""COMPUTED_VALUE"""),"")</f>
        <v/>
      </c>
      <c r="Z164" s="41" t="str">
        <f>IFERROR(__xludf.DUMMYFUNCTION("""COMPUTED_VALUE"""),"")</f>
        <v/>
      </c>
      <c r="AA164" s="41" t="str">
        <f>IFERROR(__xludf.DUMMYFUNCTION("""COMPUTED_VALUE"""),"")</f>
        <v/>
      </c>
      <c r="AB164" s="38" t="str">
        <f>IFERROR(__xludf.DUMMYFUNCTION("""COMPUTED_VALUE"""),"")</f>
        <v/>
      </c>
    </row>
    <row r="165">
      <c r="A165" s="41" t="str">
        <f>IFERROR(__xludf.DUMMYFUNCTION("""COMPUTED_VALUE"""),"Javascript")</f>
        <v>Javascript</v>
      </c>
      <c r="B165" s="42" t="s">
        <v>712</v>
      </c>
      <c r="N165" s="38"/>
      <c r="P165" s="42" t="str">
        <f>IFERROR(__xludf.DUMMYFUNCTION("""COMPUTED_VALUE"""),"react")</f>
        <v>react</v>
      </c>
      <c r="Q165" s="41" t="str">
        <f>IFERROR(__xludf.DUMMYFUNCTION("""COMPUTED_VALUE"""),"bitbucket")</f>
        <v>bitbucket</v>
      </c>
      <c r="R165" s="41" t="str">
        <f>IFERROR(__xludf.DUMMYFUNCTION("""COMPUTED_VALUE"""),"js")</f>
        <v>js</v>
      </c>
      <c r="S165" s="41" t="str">
        <f>IFERROR(__xludf.DUMMYFUNCTION("""COMPUTED_VALUE"""),"")</f>
        <v/>
      </c>
      <c r="T165" s="41" t="str">
        <f>IFERROR(__xludf.DUMMYFUNCTION("""COMPUTED_VALUE"""),"")</f>
        <v/>
      </c>
      <c r="U165" s="41" t="str">
        <f>IFERROR(__xludf.DUMMYFUNCTION("""COMPUTED_VALUE"""),"")</f>
        <v/>
      </c>
      <c r="V165" s="41" t="str">
        <f>IFERROR(__xludf.DUMMYFUNCTION("""COMPUTED_VALUE"""),"")</f>
        <v/>
      </c>
      <c r="W165" s="41" t="str">
        <f>IFERROR(__xludf.DUMMYFUNCTION("""COMPUTED_VALUE"""),"")</f>
        <v/>
      </c>
      <c r="X165" s="41" t="str">
        <f>IFERROR(__xludf.DUMMYFUNCTION("""COMPUTED_VALUE"""),"")</f>
        <v/>
      </c>
      <c r="Y165" s="41" t="str">
        <f>IFERROR(__xludf.DUMMYFUNCTION("""COMPUTED_VALUE"""),"")</f>
        <v/>
      </c>
      <c r="Z165" s="41" t="str">
        <f>IFERROR(__xludf.DUMMYFUNCTION("""COMPUTED_VALUE"""),"")</f>
        <v/>
      </c>
      <c r="AA165" s="41" t="str">
        <f>IFERROR(__xludf.DUMMYFUNCTION("""COMPUTED_VALUE"""),"")</f>
        <v/>
      </c>
      <c r="AB165" s="38" t="str">
        <f>IFERROR(__xludf.DUMMYFUNCTION("""COMPUTED_VALUE"""),"")</f>
        <v/>
      </c>
    </row>
    <row r="166">
      <c r="A166" s="41" t="str">
        <f>IFERROR(__xludf.DUMMYFUNCTION("""COMPUTED_VALUE"""),"Cloud, docker")</f>
        <v>Cloud, docker</v>
      </c>
      <c r="B166" s="42" t="s">
        <v>1245</v>
      </c>
      <c r="C166" s="41" t="s">
        <v>4204</v>
      </c>
      <c r="N166" s="38"/>
      <c r="P166" s="42" t="str">
        <f>IFERROR(__xludf.DUMMYFUNCTION("""COMPUTED_VALUE"""),"java")</f>
        <v>java</v>
      </c>
      <c r="Q166" s="41" t="str">
        <f>IFERROR(__xludf.DUMMYFUNCTION("""COMPUTED_VALUE"""),"sql")</f>
        <v>sql</v>
      </c>
      <c r="R166" s="41" t="str">
        <f>IFERROR(__xludf.DUMMYFUNCTION("""COMPUTED_VALUE"""),"python")</f>
        <v>python</v>
      </c>
      <c r="S166" s="41" t="str">
        <f>IFERROR(__xludf.DUMMYFUNCTION("""COMPUTED_VALUE"""),"")</f>
        <v/>
      </c>
      <c r="T166" s="41" t="str">
        <f>IFERROR(__xludf.DUMMYFUNCTION("""COMPUTED_VALUE"""),"")</f>
        <v/>
      </c>
      <c r="U166" s="41" t="str">
        <f>IFERROR(__xludf.DUMMYFUNCTION("""COMPUTED_VALUE"""),"")</f>
        <v/>
      </c>
      <c r="V166" s="41" t="str">
        <f>IFERROR(__xludf.DUMMYFUNCTION("""COMPUTED_VALUE"""),"")</f>
        <v/>
      </c>
      <c r="W166" s="41" t="str">
        <f>IFERROR(__xludf.DUMMYFUNCTION("""COMPUTED_VALUE"""),"")</f>
        <v/>
      </c>
      <c r="X166" s="41" t="str">
        <f>IFERROR(__xludf.DUMMYFUNCTION("""COMPUTED_VALUE"""),"")</f>
        <v/>
      </c>
      <c r="Y166" s="41" t="str">
        <f>IFERROR(__xludf.DUMMYFUNCTION("""COMPUTED_VALUE"""),"")</f>
        <v/>
      </c>
      <c r="Z166" s="41" t="str">
        <f>IFERROR(__xludf.DUMMYFUNCTION("""COMPUTED_VALUE"""),"")</f>
        <v/>
      </c>
      <c r="AA166" s="41" t="str">
        <f>IFERROR(__xludf.DUMMYFUNCTION("""COMPUTED_VALUE"""),"")</f>
        <v/>
      </c>
      <c r="AB166" s="38" t="str">
        <f>IFERROR(__xludf.DUMMYFUNCTION("""COMPUTED_VALUE"""),"")</f>
        <v/>
      </c>
    </row>
    <row r="167">
      <c r="A167" s="41" t="str">
        <f>IFERROR(__xludf.DUMMYFUNCTION("""COMPUTED_VALUE"""),"React.js + typescript, golang, serverless, lambda, dynamodb, SQS, SNS, api gateway, hexagonal architecture(more like how we build those)")</f>
        <v>React.js + typescript, golang, serverless, lambda, dynamodb, SQS, SNS, api gateway, hexagonal architecture(more like how we build those)</v>
      </c>
      <c r="B167" s="42" t="s">
        <v>4205</v>
      </c>
      <c r="C167" s="41" t="s">
        <v>930</v>
      </c>
      <c r="D167" s="41" t="s">
        <v>4206</v>
      </c>
      <c r="E167" s="41" t="s">
        <v>4207</v>
      </c>
      <c r="F167" s="41" t="s">
        <v>4208</v>
      </c>
      <c r="G167" s="41" t="s">
        <v>4209</v>
      </c>
      <c r="H167" s="41" t="s">
        <v>4210</v>
      </c>
      <c r="I167" s="41" t="s">
        <v>4211</v>
      </c>
      <c r="J167" s="41" t="s">
        <v>4212</v>
      </c>
      <c r="N167" s="38"/>
      <c r="P167" s="42" t="str">
        <f>IFERROR(__xludf.DUMMYFUNCTION("""COMPUTED_VALUE"""),"aws")</f>
        <v>aws</v>
      </c>
      <c r="Q167" s="41" t="str">
        <f>IFERROR(__xludf.DUMMYFUNCTION("""COMPUTED_VALUE"""),"php")</f>
        <v>php</v>
      </c>
      <c r="R167" s="41" t="str">
        <f>IFERROR(__xludf.DUMMYFUNCTION("""COMPUTED_VALUE"""),"node.js")</f>
        <v>node.js</v>
      </c>
      <c r="S167" s="41" t="str">
        <f>IFERROR(__xludf.DUMMYFUNCTION("""COMPUTED_VALUE"""),"")</f>
        <v/>
      </c>
      <c r="T167" s="41" t="str">
        <f>IFERROR(__xludf.DUMMYFUNCTION("""COMPUTED_VALUE"""),"")</f>
        <v/>
      </c>
      <c r="U167" s="41" t="str">
        <f>IFERROR(__xludf.DUMMYFUNCTION("""COMPUTED_VALUE"""),"")</f>
        <v/>
      </c>
      <c r="V167" s="41" t="str">
        <f>IFERROR(__xludf.DUMMYFUNCTION("""COMPUTED_VALUE"""),"")</f>
        <v/>
      </c>
      <c r="W167" s="41" t="str">
        <f>IFERROR(__xludf.DUMMYFUNCTION("""COMPUTED_VALUE"""),"")</f>
        <v/>
      </c>
      <c r="X167" s="41" t="str">
        <f>IFERROR(__xludf.DUMMYFUNCTION("""COMPUTED_VALUE"""),"")</f>
        <v/>
      </c>
      <c r="Y167" s="41" t="str">
        <f>IFERROR(__xludf.DUMMYFUNCTION("""COMPUTED_VALUE"""),"")</f>
        <v/>
      </c>
      <c r="Z167" s="41" t="str">
        <f>IFERROR(__xludf.DUMMYFUNCTION("""COMPUTED_VALUE"""),"")</f>
        <v/>
      </c>
      <c r="AA167" s="41" t="str">
        <f>IFERROR(__xludf.DUMMYFUNCTION("""COMPUTED_VALUE"""),"")</f>
        <v/>
      </c>
      <c r="AB167" s="38" t="str">
        <f>IFERROR(__xludf.DUMMYFUNCTION("""COMPUTED_VALUE"""),"")</f>
        <v/>
      </c>
    </row>
    <row r="168">
      <c r="A168" s="41" t="str">
        <f>IFERROR(__xludf.DUMMYFUNCTION("""COMPUTED_VALUE"""),"Swift ")</f>
        <v>Swift </v>
      </c>
      <c r="B168" s="42" t="s">
        <v>1467</v>
      </c>
      <c r="N168" s="38"/>
      <c r="P168" s="42" t="str">
        <f>IFERROR(__xludf.DUMMYFUNCTION("""COMPUTED_VALUE"""),"python")</f>
        <v>python</v>
      </c>
      <c r="Q168" s="41" t="str">
        <f>IFERROR(__xludf.DUMMYFUNCTION("""COMPUTED_VALUE"""),"aws")</f>
        <v>aws</v>
      </c>
      <c r="R168" s="41" t="str">
        <f>IFERROR(__xludf.DUMMYFUNCTION("""COMPUTED_VALUE"""),"mysql")</f>
        <v>mysql</v>
      </c>
      <c r="S168" s="41" t="str">
        <f>IFERROR(__xludf.DUMMYFUNCTION("""COMPUTED_VALUE"""),"")</f>
        <v/>
      </c>
      <c r="T168" s="41" t="str">
        <f>IFERROR(__xludf.DUMMYFUNCTION("""COMPUTED_VALUE"""),"")</f>
        <v/>
      </c>
      <c r="U168" s="41" t="str">
        <f>IFERROR(__xludf.DUMMYFUNCTION("""COMPUTED_VALUE"""),"")</f>
        <v/>
      </c>
      <c r="V168" s="41" t="str">
        <f>IFERROR(__xludf.DUMMYFUNCTION("""COMPUTED_VALUE"""),"")</f>
        <v/>
      </c>
      <c r="W168" s="41" t="str">
        <f>IFERROR(__xludf.DUMMYFUNCTION("""COMPUTED_VALUE"""),"")</f>
        <v/>
      </c>
      <c r="X168" s="41" t="str">
        <f>IFERROR(__xludf.DUMMYFUNCTION("""COMPUTED_VALUE"""),"")</f>
        <v/>
      </c>
      <c r="Y168" s="41" t="str">
        <f>IFERROR(__xludf.DUMMYFUNCTION("""COMPUTED_VALUE"""),"")</f>
        <v/>
      </c>
      <c r="Z168" s="41" t="str">
        <f>IFERROR(__xludf.DUMMYFUNCTION("""COMPUTED_VALUE"""),"")</f>
        <v/>
      </c>
      <c r="AA168" s="41" t="str">
        <f>IFERROR(__xludf.DUMMYFUNCTION("""COMPUTED_VALUE"""),"")</f>
        <v/>
      </c>
      <c r="AB168" s="38" t="str">
        <f>IFERROR(__xludf.DUMMYFUNCTION("""COMPUTED_VALUE"""),"")</f>
        <v/>
      </c>
    </row>
    <row r="169">
      <c r="A169" s="41" t="str">
        <f>IFERROR(__xludf.DUMMYFUNCTION("""COMPUTED_VALUE"""),"Java, React Native")</f>
        <v>Java, React Native</v>
      </c>
      <c r="B169" s="42" t="s">
        <v>224</v>
      </c>
      <c r="C169" s="41" t="s">
        <v>549</v>
      </c>
      <c r="N169" s="38"/>
      <c r="P169" s="42" t="str">
        <f>IFERROR(__xludf.DUMMYFUNCTION("""COMPUTED_VALUE"""),"asp")</f>
        <v>asp</v>
      </c>
      <c r="Q169" s="41" t="str">
        <f>IFERROR(__xludf.DUMMYFUNCTION("""COMPUTED_VALUE"""),"docker")</f>
        <v>docker</v>
      </c>
      <c r="R169" s="41" t="str">
        <f>IFERROR(__xludf.DUMMYFUNCTION("""COMPUTED_VALUE"""),"react")</f>
        <v>react</v>
      </c>
      <c r="S169" s="41" t="str">
        <f>IFERROR(__xludf.DUMMYFUNCTION("""COMPUTED_VALUE"""),"")</f>
        <v/>
      </c>
      <c r="T169" s="41" t="str">
        <f>IFERROR(__xludf.DUMMYFUNCTION("""COMPUTED_VALUE"""),"")</f>
        <v/>
      </c>
      <c r="U169" s="41" t="str">
        <f>IFERROR(__xludf.DUMMYFUNCTION("""COMPUTED_VALUE"""),"")</f>
        <v/>
      </c>
      <c r="V169" s="41" t="str">
        <f>IFERROR(__xludf.DUMMYFUNCTION("""COMPUTED_VALUE"""),"")</f>
        <v/>
      </c>
      <c r="W169" s="41" t="str">
        <f>IFERROR(__xludf.DUMMYFUNCTION("""COMPUTED_VALUE"""),"")</f>
        <v/>
      </c>
      <c r="X169" s="41" t="str">
        <f>IFERROR(__xludf.DUMMYFUNCTION("""COMPUTED_VALUE"""),"")</f>
        <v/>
      </c>
      <c r="Y169" s="41" t="str">
        <f>IFERROR(__xludf.DUMMYFUNCTION("""COMPUTED_VALUE"""),"")</f>
        <v/>
      </c>
      <c r="Z169" s="41" t="str">
        <f>IFERROR(__xludf.DUMMYFUNCTION("""COMPUTED_VALUE"""),"")</f>
        <v/>
      </c>
      <c r="AA169" s="41" t="str">
        <f>IFERROR(__xludf.DUMMYFUNCTION("""COMPUTED_VALUE"""),"")</f>
        <v/>
      </c>
      <c r="AB169" s="38" t="str">
        <f>IFERROR(__xludf.DUMMYFUNCTION("""COMPUTED_VALUE"""),"")</f>
        <v/>
      </c>
    </row>
    <row r="170">
      <c r="A170" s="41" t="str">
        <f>IFERROR(__xludf.DUMMYFUNCTION("""COMPUTED_VALUE"""),"Golang, Reactjs, Python, CI/CD, Kubernates, Redis, EC2, Lambda, Terraform, Jenkins")</f>
        <v>Golang, Reactjs, Python, CI/CD, Kubernates, Redis, EC2, Lambda, Terraform, Jenkins</v>
      </c>
      <c r="B170" s="42" t="s">
        <v>1949</v>
      </c>
      <c r="C170" s="41" t="s">
        <v>4017</v>
      </c>
      <c r="D170" s="41" t="s">
        <v>78</v>
      </c>
      <c r="E170" s="41" t="s">
        <v>4213</v>
      </c>
      <c r="F170" s="41" t="s">
        <v>4214</v>
      </c>
      <c r="G170" s="41" t="s">
        <v>4215</v>
      </c>
      <c r="H170" s="41" t="s">
        <v>4216</v>
      </c>
      <c r="I170" s="41" t="s">
        <v>4217</v>
      </c>
      <c r="J170" s="41" t="s">
        <v>4218</v>
      </c>
      <c r="K170" s="41" t="s">
        <v>4219</v>
      </c>
      <c r="N170" s="38"/>
      <c r="P170" s="42" t="str">
        <f>IFERROR(__xludf.DUMMYFUNCTION("""COMPUTED_VALUE"""),".net")</f>
        <v>.net</v>
      </c>
      <c r="Q170" s="41" t="str">
        <f>IFERROR(__xludf.DUMMYFUNCTION("""COMPUTED_VALUE"""),"nodejs")</f>
        <v>nodejs</v>
      </c>
      <c r="R170" s="41" t="str">
        <f>IFERROR(__xludf.DUMMYFUNCTION("""COMPUTED_VALUE"""),"css")</f>
        <v>css</v>
      </c>
      <c r="S170" s="41" t="str">
        <f>IFERROR(__xludf.DUMMYFUNCTION("""COMPUTED_VALUE"""),"")</f>
        <v/>
      </c>
      <c r="T170" s="41" t="str">
        <f>IFERROR(__xludf.DUMMYFUNCTION("""COMPUTED_VALUE"""),"")</f>
        <v/>
      </c>
      <c r="U170" s="41" t="str">
        <f>IFERROR(__xludf.DUMMYFUNCTION("""COMPUTED_VALUE"""),"")</f>
        <v/>
      </c>
      <c r="V170" s="41" t="str">
        <f>IFERROR(__xludf.DUMMYFUNCTION("""COMPUTED_VALUE"""),"")</f>
        <v/>
      </c>
      <c r="W170" s="41" t="str">
        <f>IFERROR(__xludf.DUMMYFUNCTION("""COMPUTED_VALUE"""),"")</f>
        <v/>
      </c>
      <c r="X170" s="41" t="str">
        <f>IFERROR(__xludf.DUMMYFUNCTION("""COMPUTED_VALUE"""),"")</f>
        <v/>
      </c>
      <c r="Y170" s="41" t="str">
        <f>IFERROR(__xludf.DUMMYFUNCTION("""COMPUTED_VALUE"""),"")</f>
        <v/>
      </c>
      <c r="Z170" s="41" t="str">
        <f>IFERROR(__xludf.DUMMYFUNCTION("""COMPUTED_VALUE"""),"")</f>
        <v/>
      </c>
      <c r="AA170" s="41" t="str">
        <f>IFERROR(__xludf.DUMMYFUNCTION("""COMPUTED_VALUE"""),"")</f>
        <v/>
      </c>
      <c r="AB170" s="38" t="str">
        <f>IFERROR(__xludf.DUMMYFUNCTION("""COMPUTED_VALUE"""),"")</f>
        <v/>
      </c>
    </row>
    <row r="171">
      <c r="A171" s="41" t="str">
        <f>IFERROR(__xludf.DUMMYFUNCTION("""COMPUTED_VALUE"""),"Android Studio, Java, Flutter")</f>
        <v>Android Studio, Java, Flutter</v>
      </c>
      <c r="B171" s="42" t="s">
        <v>1009</v>
      </c>
      <c r="C171" s="41" t="s">
        <v>224</v>
      </c>
      <c r="D171" s="41" t="s">
        <v>457</v>
      </c>
      <c r="N171" s="38"/>
      <c r="P171" s="42" t="str">
        <f>IFERROR(__xludf.DUMMYFUNCTION("""COMPUTED_VALUE"""),"web")</f>
        <v>web</v>
      </c>
      <c r="Q171" s="41" t="str">
        <f>IFERROR(__xludf.DUMMYFUNCTION("""COMPUTED_VALUE"""),"go")</f>
        <v>go</v>
      </c>
      <c r="R171" s="41" t="str">
        <f>IFERROR(__xludf.DUMMYFUNCTION("""COMPUTED_VALUE"""),"javascript")</f>
        <v>javascript</v>
      </c>
      <c r="S171" s="41" t="str">
        <f>IFERROR(__xludf.DUMMYFUNCTION("""COMPUTED_VALUE"""),"")</f>
        <v/>
      </c>
      <c r="T171" s="41" t="str">
        <f>IFERROR(__xludf.DUMMYFUNCTION("""COMPUTED_VALUE"""),"")</f>
        <v/>
      </c>
      <c r="U171" s="41" t="str">
        <f>IFERROR(__xludf.DUMMYFUNCTION("""COMPUTED_VALUE"""),"")</f>
        <v/>
      </c>
      <c r="V171" s="41" t="str">
        <f>IFERROR(__xludf.DUMMYFUNCTION("""COMPUTED_VALUE"""),"")</f>
        <v/>
      </c>
      <c r="W171" s="41" t="str">
        <f>IFERROR(__xludf.DUMMYFUNCTION("""COMPUTED_VALUE"""),"")</f>
        <v/>
      </c>
      <c r="X171" s="41" t="str">
        <f>IFERROR(__xludf.DUMMYFUNCTION("""COMPUTED_VALUE"""),"")</f>
        <v/>
      </c>
      <c r="Y171" s="41" t="str">
        <f>IFERROR(__xludf.DUMMYFUNCTION("""COMPUTED_VALUE"""),"")</f>
        <v/>
      </c>
      <c r="Z171" s="41" t="str">
        <f>IFERROR(__xludf.DUMMYFUNCTION("""COMPUTED_VALUE"""),"")</f>
        <v/>
      </c>
      <c r="AA171" s="41" t="str">
        <f>IFERROR(__xludf.DUMMYFUNCTION("""COMPUTED_VALUE"""),"")</f>
        <v/>
      </c>
      <c r="AB171" s="38" t="str">
        <f>IFERROR(__xludf.DUMMYFUNCTION("""COMPUTED_VALUE"""),"")</f>
        <v/>
      </c>
    </row>
    <row r="172">
      <c r="A172" s="41" t="str">
        <f>IFERROR(__xludf.DUMMYFUNCTION("""COMPUTED_VALUE"""),"Js, python")</f>
        <v>Js, python</v>
      </c>
      <c r="B172" s="42" t="s">
        <v>4220</v>
      </c>
      <c r="C172" s="41" t="s">
        <v>508</v>
      </c>
      <c r="N172" s="38"/>
      <c r="P172" s="42" t="str">
        <f>IFERROR(__xludf.DUMMYFUNCTION("""COMPUTED_VALUE"""),"don't")</f>
        <v>don't</v>
      </c>
      <c r="Q172" s="41" t="str">
        <f>IFERROR(__xludf.DUMMYFUNCTION("""COMPUTED_VALUE"""),"go")</f>
        <v>go</v>
      </c>
      <c r="R172" s="41" t="str">
        <f>IFERROR(__xludf.DUMMYFUNCTION("""COMPUTED_VALUE"""),"dataiku")</f>
        <v>dataiku</v>
      </c>
      <c r="S172" s="41" t="str">
        <f>IFERROR(__xludf.DUMMYFUNCTION("""COMPUTED_VALUE"""),"")</f>
        <v/>
      </c>
      <c r="T172" s="41" t="str">
        <f>IFERROR(__xludf.DUMMYFUNCTION("""COMPUTED_VALUE"""),"")</f>
        <v/>
      </c>
      <c r="U172" s="41" t="str">
        <f>IFERROR(__xludf.DUMMYFUNCTION("""COMPUTED_VALUE"""),"")</f>
        <v/>
      </c>
      <c r="V172" s="41" t="str">
        <f>IFERROR(__xludf.DUMMYFUNCTION("""COMPUTED_VALUE"""),"")</f>
        <v/>
      </c>
      <c r="W172" s="41" t="str">
        <f>IFERROR(__xludf.DUMMYFUNCTION("""COMPUTED_VALUE"""),"")</f>
        <v/>
      </c>
      <c r="X172" s="41" t="str">
        <f>IFERROR(__xludf.DUMMYFUNCTION("""COMPUTED_VALUE"""),"")</f>
        <v/>
      </c>
      <c r="Y172" s="41" t="str">
        <f>IFERROR(__xludf.DUMMYFUNCTION("""COMPUTED_VALUE"""),"")</f>
        <v/>
      </c>
      <c r="Z172" s="41" t="str">
        <f>IFERROR(__xludf.DUMMYFUNCTION("""COMPUTED_VALUE"""),"")</f>
        <v/>
      </c>
      <c r="AA172" s="41" t="str">
        <f>IFERROR(__xludf.DUMMYFUNCTION("""COMPUTED_VALUE"""),"")</f>
        <v/>
      </c>
      <c r="AB172" s="38" t="str">
        <f>IFERROR(__xludf.DUMMYFUNCTION("""COMPUTED_VALUE"""),"")</f>
        <v/>
      </c>
    </row>
    <row r="173">
      <c r="A173" s="41" t="str">
        <f>IFERROR(__xludf.DUMMYFUNCTION("""COMPUTED_VALUE"""),"React JS")</f>
        <v>React JS</v>
      </c>
      <c r="B173" s="42" t="s">
        <v>1762</v>
      </c>
      <c r="N173" s="38"/>
      <c r="P173" s="42" t="str">
        <f>IFERROR(__xludf.DUMMYFUNCTION("""COMPUTED_VALUE"""),"understand")</f>
        <v>understand</v>
      </c>
      <c r="Q173" s="41" t="str">
        <f>IFERROR(__xludf.DUMMYFUNCTION("""COMPUTED_VALUE"""),"vuejs")</f>
        <v>vuejs</v>
      </c>
      <c r="R173" s="41" t="str">
        <f>IFERROR(__xludf.DUMMYFUNCTION("""COMPUTED_VALUE"""),"arm")</f>
        <v>arm</v>
      </c>
      <c r="S173" s="41" t="str">
        <f>IFERROR(__xludf.DUMMYFUNCTION("""COMPUTED_VALUE"""),"")</f>
        <v/>
      </c>
      <c r="T173" s="41" t="str">
        <f>IFERROR(__xludf.DUMMYFUNCTION("""COMPUTED_VALUE"""),"")</f>
        <v/>
      </c>
      <c r="U173" s="41" t="str">
        <f>IFERROR(__xludf.DUMMYFUNCTION("""COMPUTED_VALUE"""),"")</f>
        <v/>
      </c>
      <c r="V173" s="41" t="str">
        <f>IFERROR(__xludf.DUMMYFUNCTION("""COMPUTED_VALUE"""),"")</f>
        <v/>
      </c>
      <c r="W173" s="41" t="str">
        <f>IFERROR(__xludf.DUMMYFUNCTION("""COMPUTED_VALUE"""),"")</f>
        <v/>
      </c>
      <c r="X173" s="41" t="str">
        <f>IFERROR(__xludf.DUMMYFUNCTION("""COMPUTED_VALUE"""),"")</f>
        <v/>
      </c>
      <c r="Y173" s="41" t="str">
        <f>IFERROR(__xludf.DUMMYFUNCTION("""COMPUTED_VALUE"""),"")</f>
        <v/>
      </c>
      <c r="Z173" s="41" t="str">
        <f>IFERROR(__xludf.DUMMYFUNCTION("""COMPUTED_VALUE"""),"")</f>
        <v/>
      </c>
      <c r="AA173" s="41" t="str">
        <f>IFERROR(__xludf.DUMMYFUNCTION("""COMPUTED_VALUE"""),"")</f>
        <v/>
      </c>
      <c r="AB173" s="38" t="str">
        <f>IFERROR(__xludf.DUMMYFUNCTION("""COMPUTED_VALUE"""),"")</f>
        <v/>
      </c>
    </row>
    <row r="174">
      <c r="A174" s="41" t="str">
        <f>IFERROR(__xludf.DUMMYFUNCTION("""COMPUTED_VALUE"""),"Java")</f>
        <v>Java</v>
      </c>
      <c r="B174" s="42" t="s">
        <v>224</v>
      </c>
      <c r="N174" s="38"/>
      <c r="P174" s="42" t="str">
        <f>IFERROR(__xludf.DUMMYFUNCTION("""COMPUTED_VALUE"""),"javascript")</f>
        <v>javascript</v>
      </c>
      <c r="Q174" s="41" t="str">
        <f>IFERROR(__xludf.DUMMYFUNCTION("""COMPUTED_VALUE"""),"react-native")</f>
        <v>react-native</v>
      </c>
      <c r="R174" s="41" t="str">
        <f>IFERROR(__xludf.DUMMYFUNCTION("""COMPUTED_VALUE"""),"embedded")</f>
        <v>embedded</v>
      </c>
      <c r="S174" s="41" t="str">
        <f>IFERROR(__xludf.DUMMYFUNCTION("""COMPUTED_VALUE"""),"")</f>
        <v/>
      </c>
      <c r="T174" s="41" t="str">
        <f>IFERROR(__xludf.DUMMYFUNCTION("""COMPUTED_VALUE"""),"")</f>
        <v/>
      </c>
      <c r="U174" s="41" t="str">
        <f>IFERROR(__xludf.DUMMYFUNCTION("""COMPUTED_VALUE"""),"")</f>
        <v/>
      </c>
      <c r="V174" s="41" t="str">
        <f>IFERROR(__xludf.DUMMYFUNCTION("""COMPUTED_VALUE"""),"")</f>
        <v/>
      </c>
      <c r="W174" s="41" t="str">
        <f>IFERROR(__xludf.DUMMYFUNCTION("""COMPUTED_VALUE"""),"")</f>
        <v/>
      </c>
      <c r="X174" s="41" t="str">
        <f>IFERROR(__xludf.DUMMYFUNCTION("""COMPUTED_VALUE"""),"")</f>
        <v/>
      </c>
      <c r="Y174" s="41" t="str">
        <f>IFERROR(__xludf.DUMMYFUNCTION("""COMPUTED_VALUE"""),"")</f>
        <v/>
      </c>
      <c r="Z174" s="41" t="str">
        <f>IFERROR(__xludf.DUMMYFUNCTION("""COMPUTED_VALUE"""),"")</f>
        <v/>
      </c>
      <c r="AA174" s="41" t="str">
        <f>IFERROR(__xludf.DUMMYFUNCTION("""COMPUTED_VALUE"""),"")</f>
        <v/>
      </c>
      <c r="AB174" s="38" t="str">
        <f>IFERROR(__xludf.DUMMYFUNCTION("""COMPUTED_VALUE"""),"")</f>
        <v/>
      </c>
    </row>
    <row r="175">
      <c r="A175" s="41" t="str">
        <f>IFERROR(__xludf.DUMMYFUNCTION("""COMPUTED_VALUE"""),"TypeScript, Angular, JavaScript, RxJS, Redux/NgRX, AWS, Firebase, MongoDB, ElectronJS")</f>
        <v>TypeScript, Angular, JavaScript, RxJS, Redux/NgRX, AWS, Firebase, MongoDB, ElectronJS</v>
      </c>
      <c r="B175" s="42" t="s">
        <v>4221</v>
      </c>
      <c r="C175" s="41" t="s">
        <v>704</v>
      </c>
      <c r="D175" s="41" t="s">
        <v>731</v>
      </c>
      <c r="E175" s="41" t="s">
        <v>4222</v>
      </c>
      <c r="F175" s="41" t="s">
        <v>4223</v>
      </c>
      <c r="G175" s="41" t="s">
        <v>1233</v>
      </c>
      <c r="H175" s="41" t="s">
        <v>4224</v>
      </c>
      <c r="I175" s="41" t="s">
        <v>4225</v>
      </c>
      <c r="J175" s="41" t="s">
        <v>4226</v>
      </c>
      <c r="N175" s="38"/>
      <c r="P175" s="42" t="str">
        <f>IFERROR(__xludf.DUMMYFUNCTION("""COMPUTED_VALUE"""),"python")</f>
        <v>python</v>
      </c>
      <c r="Q175" s="41" t="str">
        <f>IFERROR(__xludf.DUMMYFUNCTION("""COMPUTED_VALUE"""),"server")</f>
        <v>server</v>
      </c>
      <c r="R175" s="41" t="str">
        <f>IFERROR(__xludf.DUMMYFUNCTION("""COMPUTED_VALUE"""),"hardware")</f>
        <v>hardware</v>
      </c>
      <c r="S175" s="41" t="str">
        <f>IFERROR(__xludf.DUMMYFUNCTION("""COMPUTED_VALUE"""),"")</f>
        <v/>
      </c>
      <c r="T175" s="41" t="str">
        <f>IFERROR(__xludf.DUMMYFUNCTION("""COMPUTED_VALUE"""),"")</f>
        <v/>
      </c>
      <c r="U175" s="41" t="str">
        <f>IFERROR(__xludf.DUMMYFUNCTION("""COMPUTED_VALUE"""),"")</f>
        <v/>
      </c>
      <c r="V175" s="41" t="str">
        <f>IFERROR(__xludf.DUMMYFUNCTION("""COMPUTED_VALUE"""),"")</f>
        <v/>
      </c>
      <c r="W175" s="41" t="str">
        <f>IFERROR(__xludf.DUMMYFUNCTION("""COMPUTED_VALUE"""),"")</f>
        <v/>
      </c>
      <c r="X175" s="41" t="str">
        <f>IFERROR(__xludf.DUMMYFUNCTION("""COMPUTED_VALUE"""),"")</f>
        <v/>
      </c>
      <c r="Y175" s="41" t="str">
        <f>IFERROR(__xludf.DUMMYFUNCTION("""COMPUTED_VALUE"""),"")</f>
        <v/>
      </c>
      <c r="Z175" s="41" t="str">
        <f>IFERROR(__xludf.DUMMYFUNCTION("""COMPUTED_VALUE"""),"")</f>
        <v/>
      </c>
      <c r="AA175" s="41" t="str">
        <f>IFERROR(__xludf.DUMMYFUNCTION("""COMPUTED_VALUE"""),"")</f>
        <v/>
      </c>
      <c r="AB175" s="38" t="str">
        <f>IFERROR(__xludf.DUMMYFUNCTION("""COMPUTED_VALUE"""),"")</f>
        <v/>
      </c>
    </row>
    <row r="176">
      <c r="A176" s="41" t="str">
        <f>IFERROR(__xludf.DUMMYFUNCTION("""COMPUTED_VALUE"""),"Golang and some in house framework")</f>
        <v>Golang and some in house framework</v>
      </c>
      <c r="B176" s="42" t="s">
        <v>2253</v>
      </c>
      <c r="N176" s="38"/>
      <c r="P176" s="42" t="str">
        <f>IFERROR(__xludf.DUMMYFUNCTION("""COMPUTED_VALUE"""),"nodejs")</f>
        <v>nodejs</v>
      </c>
      <c r="Q176" s="41" t="str">
        <f>IFERROR(__xludf.DUMMYFUNCTION("""COMPUTED_VALUE"""),"setup")</f>
        <v>setup</v>
      </c>
      <c r="R176" s="41" t="str">
        <f>IFERROR(__xludf.DUMMYFUNCTION("""COMPUTED_VALUE"""),"sas")</f>
        <v>sas</v>
      </c>
      <c r="S176" s="41" t="str">
        <f>IFERROR(__xludf.DUMMYFUNCTION("""COMPUTED_VALUE"""),"")</f>
        <v/>
      </c>
      <c r="T176" s="41" t="str">
        <f>IFERROR(__xludf.DUMMYFUNCTION("""COMPUTED_VALUE"""),"")</f>
        <v/>
      </c>
      <c r="U176" s="41" t="str">
        <f>IFERROR(__xludf.DUMMYFUNCTION("""COMPUTED_VALUE"""),"")</f>
        <v/>
      </c>
      <c r="V176" s="41" t="str">
        <f>IFERROR(__xludf.DUMMYFUNCTION("""COMPUTED_VALUE"""),"")</f>
        <v/>
      </c>
      <c r="W176" s="41" t="str">
        <f>IFERROR(__xludf.DUMMYFUNCTION("""COMPUTED_VALUE"""),"")</f>
        <v/>
      </c>
      <c r="X176" s="41" t="str">
        <f>IFERROR(__xludf.DUMMYFUNCTION("""COMPUTED_VALUE"""),"")</f>
        <v/>
      </c>
      <c r="Y176" s="41" t="str">
        <f>IFERROR(__xludf.DUMMYFUNCTION("""COMPUTED_VALUE"""),"")</f>
        <v/>
      </c>
      <c r="Z176" s="41" t="str">
        <f>IFERROR(__xludf.DUMMYFUNCTION("""COMPUTED_VALUE"""),"")</f>
        <v/>
      </c>
      <c r="AA176" s="41" t="str">
        <f>IFERROR(__xludf.DUMMYFUNCTION("""COMPUTED_VALUE"""),"")</f>
        <v/>
      </c>
      <c r="AB176" s="38" t="str">
        <f>IFERROR(__xludf.DUMMYFUNCTION("""COMPUTED_VALUE"""),"")</f>
        <v/>
      </c>
    </row>
    <row r="177">
      <c r="A177" s="41" t="str">
        <f>IFERROR(__xludf.DUMMYFUNCTION("""COMPUTED_VALUE"""),"Vue, Javascript")</f>
        <v>Vue, Javascript</v>
      </c>
      <c r="B177" s="42" t="s">
        <v>4184</v>
      </c>
      <c r="C177" s="41" t="s">
        <v>712</v>
      </c>
      <c r="N177" s="38"/>
      <c r="P177" s="42" t="str">
        <f>IFERROR(__xludf.DUMMYFUNCTION("""COMPUTED_VALUE"""),"ruby")</f>
        <v>ruby</v>
      </c>
      <c r="Q177" s="41" t="str">
        <f>IFERROR(__xludf.DUMMYFUNCTION("""COMPUTED_VALUE"""),"angular")</f>
        <v>angular</v>
      </c>
      <c r="R177" s="41" t="str">
        <f>IFERROR(__xludf.DUMMYFUNCTION("""COMPUTED_VALUE"""),"expressjs")</f>
        <v>expressjs</v>
      </c>
      <c r="S177" s="41" t="str">
        <f>IFERROR(__xludf.DUMMYFUNCTION("""COMPUTED_VALUE"""),"")</f>
        <v/>
      </c>
      <c r="T177" s="41" t="str">
        <f>IFERROR(__xludf.DUMMYFUNCTION("""COMPUTED_VALUE"""),"")</f>
        <v/>
      </c>
      <c r="U177" s="41" t="str">
        <f>IFERROR(__xludf.DUMMYFUNCTION("""COMPUTED_VALUE"""),"")</f>
        <v/>
      </c>
      <c r="V177" s="41" t="str">
        <f>IFERROR(__xludf.DUMMYFUNCTION("""COMPUTED_VALUE"""),"")</f>
        <v/>
      </c>
      <c r="W177" s="41" t="str">
        <f>IFERROR(__xludf.DUMMYFUNCTION("""COMPUTED_VALUE"""),"")</f>
        <v/>
      </c>
      <c r="X177" s="41" t="str">
        <f>IFERROR(__xludf.DUMMYFUNCTION("""COMPUTED_VALUE"""),"")</f>
        <v/>
      </c>
      <c r="Y177" s="41" t="str">
        <f>IFERROR(__xludf.DUMMYFUNCTION("""COMPUTED_VALUE"""),"")</f>
        <v/>
      </c>
      <c r="Z177" s="41" t="str">
        <f>IFERROR(__xludf.DUMMYFUNCTION("""COMPUTED_VALUE"""),"")</f>
        <v/>
      </c>
      <c r="AA177" s="41" t="str">
        <f>IFERROR(__xludf.DUMMYFUNCTION("""COMPUTED_VALUE"""),"")</f>
        <v/>
      </c>
      <c r="AB177" s="38" t="str">
        <f>IFERROR(__xludf.DUMMYFUNCTION("""COMPUTED_VALUE"""),"")</f>
        <v/>
      </c>
    </row>
    <row r="178">
      <c r="A178" s="41" t="str">
        <f>IFERROR(__xludf.DUMMYFUNCTION("""COMPUTED_VALUE"""),"React.js, Ruby, PHP")</f>
        <v>React.js, Ruby, PHP</v>
      </c>
      <c r="B178" s="42" t="s">
        <v>1951</v>
      </c>
      <c r="C178" s="41" t="s">
        <v>1393</v>
      </c>
      <c r="D178" s="41" t="s">
        <v>44</v>
      </c>
      <c r="N178" s="38"/>
      <c r="P178" s="42" t="str">
        <f>IFERROR(__xludf.DUMMYFUNCTION("""COMPUTED_VALUE"""),"on")</f>
        <v>on</v>
      </c>
      <c r="Q178" s="41" t="str">
        <f>IFERROR(__xludf.DUMMYFUNCTION("""COMPUTED_VALUE"""),"python")</f>
        <v>python</v>
      </c>
      <c r="R178" s="41" t="str">
        <f>IFERROR(__xludf.DUMMYFUNCTION("""COMPUTED_VALUE"""),"spark")</f>
        <v>spark</v>
      </c>
      <c r="S178" s="41" t="str">
        <f>IFERROR(__xludf.DUMMYFUNCTION("""COMPUTED_VALUE"""),"")</f>
        <v/>
      </c>
      <c r="T178" s="41" t="str">
        <f>IFERROR(__xludf.DUMMYFUNCTION("""COMPUTED_VALUE"""),"")</f>
        <v/>
      </c>
      <c r="U178" s="41" t="str">
        <f>IFERROR(__xludf.DUMMYFUNCTION("""COMPUTED_VALUE"""),"")</f>
        <v/>
      </c>
      <c r="V178" s="41" t="str">
        <f>IFERROR(__xludf.DUMMYFUNCTION("""COMPUTED_VALUE"""),"")</f>
        <v/>
      </c>
      <c r="W178" s="41" t="str">
        <f>IFERROR(__xludf.DUMMYFUNCTION("""COMPUTED_VALUE"""),"")</f>
        <v/>
      </c>
      <c r="X178" s="41" t="str">
        <f>IFERROR(__xludf.DUMMYFUNCTION("""COMPUTED_VALUE"""),"")</f>
        <v/>
      </c>
      <c r="Y178" s="41" t="str">
        <f>IFERROR(__xludf.DUMMYFUNCTION("""COMPUTED_VALUE"""),"")</f>
        <v/>
      </c>
      <c r="Z178" s="41" t="str">
        <f>IFERROR(__xludf.DUMMYFUNCTION("""COMPUTED_VALUE"""),"")</f>
        <v/>
      </c>
      <c r="AA178" s="41" t="str">
        <f>IFERROR(__xludf.DUMMYFUNCTION("""COMPUTED_VALUE"""),"")</f>
        <v/>
      </c>
      <c r="AB178" s="38" t="str">
        <f>IFERROR(__xludf.DUMMYFUNCTION("""COMPUTED_VALUE"""),"")</f>
        <v/>
      </c>
    </row>
    <row r="179">
      <c r="A179" s="41" t="str">
        <f>IFERROR(__xludf.DUMMYFUNCTION("""COMPUTED_VALUE"""),"Python, Perl, Java, C++")</f>
        <v>Python, Perl, Java, C++</v>
      </c>
      <c r="B179" s="42" t="s">
        <v>78</v>
      </c>
      <c r="C179" s="41" t="s">
        <v>4227</v>
      </c>
      <c r="D179" s="41" t="s">
        <v>224</v>
      </c>
      <c r="E179" s="41" t="s">
        <v>1388</v>
      </c>
      <c r="N179" s="38"/>
      <c r="P179" s="42" t="str">
        <f>IFERROR(__xludf.DUMMYFUNCTION("""COMPUTED_VALUE"""),"rails")</f>
        <v>rails</v>
      </c>
      <c r="Q179" s="41" t="str">
        <f>IFERROR(__xludf.DUMMYFUNCTION("""COMPUTED_VALUE"""),"angularjs")</f>
        <v>angularjs</v>
      </c>
      <c r="R179" s="41" t="str">
        <f>IFERROR(__xludf.DUMMYFUNCTION("""COMPUTED_VALUE"""),"ar")</f>
        <v>ar</v>
      </c>
      <c r="S179" s="41" t="str">
        <f>IFERROR(__xludf.DUMMYFUNCTION("""COMPUTED_VALUE"""),"")</f>
        <v/>
      </c>
      <c r="T179" s="41" t="str">
        <f>IFERROR(__xludf.DUMMYFUNCTION("""COMPUTED_VALUE"""),"")</f>
        <v/>
      </c>
      <c r="U179" s="41" t="str">
        <f>IFERROR(__xludf.DUMMYFUNCTION("""COMPUTED_VALUE"""),"")</f>
        <v/>
      </c>
      <c r="V179" s="41" t="str">
        <f>IFERROR(__xludf.DUMMYFUNCTION("""COMPUTED_VALUE"""),"")</f>
        <v/>
      </c>
      <c r="W179" s="41" t="str">
        <f>IFERROR(__xludf.DUMMYFUNCTION("""COMPUTED_VALUE"""),"")</f>
        <v/>
      </c>
      <c r="X179" s="41" t="str">
        <f>IFERROR(__xludf.DUMMYFUNCTION("""COMPUTED_VALUE"""),"")</f>
        <v/>
      </c>
      <c r="Y179" s="41" t="str">
        <f>IFERROR(__xludf.DUMMYFUNCTION("""COMPUTED_VALUE"""),"")</f>
        <v/>
      </c>
      <c r="Z179" s="41" t="str">
        <f>IFERROR(__xludf.DUMMYFUNCTION("""COMPUTED_VALUE"""),"")</f>
        <v/>
      </c>
      <c r="AA179" s="41" t="str">
        <f>IFERROR(__xludf.DUMMYFUNCTION("""COMPUTED_VALUE"""),"")</f>
        <v/>
      </c>
      <c r="AB179" s="38" t="str">
        <f>IFERROR(__xludf.DUMMYFUNCTION("""COMPUTED_VALUE"""),"")</f>
        <v/>
      </c>
    </row>
    <row r="180">
      <c r="A180" s="41" t="str">
        <f>IFERROR(__xludf.DUMMYFUNCTION("""COMPUTED_VALUE"""),"Web, mobile, database, cloud infrastructure")</f>
        <v>Web, mobile, database, cloud infrastructure</v>
      </c>
      <c r="B180" s="42" t="s">
        <v>4228</v>
      </c>
      <c r="C180" s="41" t="s">
        <v>4229</v>
      </c>
      <c r="D180" s="41" t="s">
        <v>4230</v>
      </c>
      <c r="E180" s="41" t="s">
        <v>4231</v>
      </c>
      <c r="N180" s="38"/>
      <c r="P180" s="42" t="str">
        <f>IFERROR(__xludf.DUMMYFUNCTION("""COMPUTED_VALUE"""),"-")</f>
        <v>-</v>
      </c>
      <c r="Q180" s="41" t="str">
        <f>IFERROR(__xludf.DUMMYFUNCTION("""COMPUTED_VALUE"""),"git")</f>
        <v>git</v>
      </c>
      <c r="R180" s="41" t="str">
        <f>IFERROR(__xludf.DUMMYFUNCTION("""COMPUTED_VALUE"""),"typescript")</f>
        <v>typescript</v>
      </c>
      <c r="S180" s="41" t="str">
        <f>IFERROR(__xludf.DUMMYFUNCTION("""COMPUTED_VALUE"""),"")</f>
        <v/>
      </c>
      <c r="T180" s="41" t="str">
        <f>IFERROR(__xludf.DUMMYFUNCTION("""COMPUTED_VALUE"""),"")</f>
        <v/>
      </c>
      <c r="U180" s="41" t="str">
        <f>IFERROR(__xludf.DUMMYFUNCTION("""COMPUTED_VALUE"""),"")</f>
        <v/>
      </c>
      <c r="V180" s="41" t="str">
        <f>IFERROR(__xludf.DUMMYFUNCTION("""COMPUTED_VALUE"""),"")</f>
        <v/>
      </c>
      <c r="W180" s="41" t="str">
        <f>IFERROR(__xludf.DUMMYFUNCTION("""COMPUTED_VALUE"""),"")</f>
        <v/>
      </c>
      <c r="X180" s="41" t="str">
        <f>IFERROR(__xludf.DUMMYFUNCTION("""COMPUTED_VALUE"""),"")</f>
        <v/>
      </c>
      <c r="Y180" s="41" t="str">
        <f>IFERROR(__xludf.DUMMYFUNCTION("""COMPUTED_VALUE"""),"")</f>
        <v/>
      </c>
      <c r="Z180" s="41" t="str">
        <f>IFERROR(__xludf.DUMMYFUNCTION("""COMPUTED_VALUE"""),"")</f>
        <v/>
      </c>
      <c r="AA180" s="41" t="str">
        <f>IFERROR(__xludf.DUMMYFUNCTION("""COMPUTED_VALUE"""),"")</f>
        <v/>
      </c>
      <c r="AB180" s="38" t="str">
        <f>IFERROR(__xludf.DUMMYFUNCTION("""COMPUTED_VALUE"""),"")</f>
        <v/>
      </c>
    </row>
    <row r="181">
      <c r="A181" s="41" t="str">
        <f>IFERROR(__xludf.DUMMYFUNCTION("""COMPUTED_VALUE"""),"Nestjs, nodejs, Javascript, mongoDB, firebase, AWS")</f>
        <v>Nestjs, nodejs, Javascript, mongoDB, firebase, AWS</v>
      </c>
      <c r="B181" s="42" t="s">
        <v>4132</v>
      </c>
      <c r="C181" s="41" t="s">
        <v>4016</v>
      </c>
      <c r="D181" s="41" t="s">
        <v>712</v>
      </c>
      <c r="E181" s="41" t="s">
        <v>4232</v>
      </c>
      <c r="F181" s="41" t="s">
        <v>4233</v>
      </c>
      <c r="G181" s="41" t="s">
        <v>1233</v>
      </c>
      <c r="N181" s="38"/>
      <c r="P181" s="42" t="str">
        <f>IFERROR(__xludf.DUMMYFUNCTION("""COMPUTED_VALUE"""),"native")</f>
        <v>native</v>
      </c>
      <c r="Q181" s="41" t="str">
        <f>IFERROR(__xludf.DUMMYFUNCTION("""COMPUTED_VALUE"""),"holistics")</f>
        <v>holistics</v>
      </c>
      <c r="R181" s="41" t="str">
        <f>IFERROR(__xludf.DUMMYFUNCTION("""COMPUTED_VALUE"""),"aws")</f>
        <v>aws</v>
      </c>
      <c r="S181" s="41" t="str">
        <f>IFERROR(__xludf.DUMMYFUNCTION("""COMPUTED_VALUE"""),"")</f>
        <v/>
      </c>
      <c r="T181" s="41" t="str">
        <f>IFERROR(__xludf.DUMMYFUNCTION("""COMPUTED_VALUE"""),"")</f>
        <v/>
      </c>
      <c r="U181" s="41" t="str">
        <f>IFERROR(__xludf.DUMMYFUNCTION("""COMPUTED_VALUE"""),"")</f>
        <v/>
      </c>
      <c r="V181" s="41" t="str">
        <f>IFERROR(__xludf.DUMMYFUNCTION("""COMPUTED_VALUE"""),"")</f>
        <v/>
      </c>
      <c r="W181" s="41" t="str">
        <f>IFERROR(__xludf.DUMMYFUNCTION("""COMPUTED_VALUE"""),"")</f>
        <v/>
      </c>
      <c r="X181" s="41" t="str">
        <f>IFERROR(__xludf.DUMMYFUNCTION("""COMPUTED_VALUE"""),"")</f>
        <v/>
      </c>
      <c r="Y181" s="41" t="str">
        <f>IFERROR(__xludf.DUMMYFUNCTION("""COMPUTED_VALUE"""),"")</f>
        <v/>
      </c>
      <c r="Z181" s="41" t="str">
        <f>IFERROR(__xludf.DUMMYFUNCTION("""COMPUTED_VALUE"""),"")</f>
        <v/>
      </c>
      <c r="AA181" s="41" t="str">
        <f>IFERROR(__xludf.DUMMYFUNCTION("""COMPUTED_VALUE"""),"")</f>
        <v/>
      </c>
      <c r="AB181" s="38" t="str">
        <f>IFERROR(__xludf.DUMMYFUNCTION("""COMPUTED_VALUE"""),"")</f>
        <v/>
      </c>
    </row>
    <row r="182">
      <c r="A182" s="41" t="str">
        <f>IFERROR(__xludf.DUMMYFUNCTION("""COMPUTED_VALUE"""),"C#, ASP.NET, Azure DevOps, CI/CD pipelines, .NET Core, Docker")</f>
        <v>C#, ASP.NET, Azure DevOps, CI/CD pipelines, .NET Core, Docker</v>
      </c>
      <c r="B182" s="42" t="s">
        <v>809</v>
      </c>
      <c r="C182" s="41" t="s">
        <v>1350</v>
      </c>
      <c r="D182" s="41" t="s">
        <v>4234</v>
      </c>
      <c r="E182" s="41" t="s">
        <v>4235</v>
      </c>
      <c r="F182" s="41" t="s">
        <v>4202</v>
      </c>
      <c r="G182" s="41" t="s">
        <v>3663</v>
      </c>
      <c r="N182" s="38"/>
      <c r="P182" s="42" t="str">
        <f>IFERROR(__xludf.DUMMYFUNCTION("""COMPUTED_VALUE"""),"mob")</f>
        <v>mob</v>
      </c>
      <c r="Q182" s="41" t="str">
        <f>IFERROR(__xludf.DUMMYFUNCTION("""COMPUTED_VALUE"""),"excel")</f>
        <v>excel</v>
      </c>
      <c r="R182" s="41" t="str">
        <f>IFERROR(__xludf.DUMMYFUNCTION("""COMPUTED_VALUE"""),"xcode")</f>
        <v>xcode</v>
      </c>
      <c r="S182" s="41" t="str">
        <f>IFERROR(__xludf.DUMMYFUNCTION("""COMPUTED_VALUE"""),"")</f>
        <v/>
      </c>
      <c r="T182" s="41" t="str">
        <f>IFERROR(__xludf.DUMMYFUNCTION("""COMPUTED_VALUE"""),"")</f>
        <v/>
      </c>
      <c r="U182" s="41" t="str">
        <f>IFERROR(__xludf.DUMMYFUNCTION("""COMPUTED_VALUE"""),"")</f>
        <v/>
      </c>
      <c r="V182" s="41" t="str">
        <f>IFERROR(__xludf.DUMMYFUNCTION("""COMPUTED_VALUE"""),"")</f>
        <v/>
      </c>
      <c r="W182" s="41" t="str">
        <f>IFERROR(__xludf.DUMMYFUNCTION("""COMPUTED_VALUE"""),"")</f>
        <v/>
      </c>
      <c r="X182" s="41" t="str">
        <f>IFERROR(__xludf.DUMMYFUNCTION("""COMPUTED_VALUE"""),"")</f>
        <v/>
      </c>
      <c r="Y182" s="41" t="str">
        <f>IFERROR(__xludf.DUMMYFUNCTION("""COMPUTED_VALUE"""),"")</f>
        <v/>
      </c>
      <c r="Z182" s="41" t="str">
        <f>IFERROR(__xludf.DUMMYFUNCTION("""COMPUTED_VALUE"""),"")</f>
        <v/>
      </c>
      <c r="AA182" s="41" t="str">
        <f>IFERROR(__xludf.DUMMYFUNCTION("""COMPUTED_VALUE"""),"")</f>
        <v/>
      </c>
      <c r="AB182" s="38" t="str">
        <f>IFERROR(__xludf.DUMMYFUNCTION("""COMPUTED_VALUE"""),"")</f>
        <v/>
      </c>
    </row>
    <row r="183">
      <c r="A183" s="41" t="str">
        <f>IFERROR(__xludf.DUMMYFUNCTION("""COMPUTED_VALUE"""),".NET, Javascript, Microsoft Azure")</f>
        <v>.NET, Javascript, Microsoft Azure</v>
      </c>
      <c r="B183" s="42" t="s">
        <v>163</v>
      </c>
      <c r="C183" s="41" t="s">
        <v>712</v>
      </c>
      <c r="D183" s="41" t="s">
        <v>4236</v>
      </c>
      <c r="N183" s="38"/>
      <c r="P183" s="42" t="str">
        <f>IFERROR(__xludf.DUMMYFUNCTION("""COMPUTED_VALUE"""),"dev")</f>
        <v>dev</v>
      </c>
      <c r="Q183" s="41" t="str">
        <f>IFERROR(__xludf.DUMMYFUNCTION("""COMPUTED_VALUE"""),"mobile")</f>
        <v>mobile</v>
      </c>
      <c r="R183" s="41" t="str">
        <f>IFERROR(__xludf.DUMMYFUNCTION("""COMPUTED_VALUE"""),"sql")</f>
        <v>sql</v>
      </c>
      <c r="S183" s="41" t="str">
        <f>IFERROR(__xludf.DUMMYFUNCTION("""COMPUTED_VALUE"""),"")</f>
        <v/>
      </c>
      <c r="T183" s="41" t="str">
        <f>IFERROR(__xludf.DUMMYFUNCTION("""COMPUTED_VALUE"""),"")</f>
        <v/>
      </c>
      <c r="U183" s="41" t="str">
        <f>IFERROR(__xludf.DUMMYFUNCTION("""COMPUTED_VALUE"""),"")</f>
        <v/>
      </c>
      <c r="V183" s="41" t="str">
        <f>IFERROR(__xludf.DUMMYFUNCTION("""COMPUTED_VALUE"""),"")</f>
        <v/>
      </c>
      <c r="W183" s="41" t="str">
        <f>IFERROR(__xludf.DUMMYFUNCTION("""COMPUTED_VALUE"""),"")</f>
        <v/>
      </c>
      <c r="X183" s="41" t="str">
        <f>IFERROR(__xludf.DUMMYFUNCTION("""COMPUTED_VALUE"""),"")</f>
        <v/>
      </c>
      <c r="Y183" s="41" t="str">
        <f>IFERROR(__xludf.DUMMYFUNCTION("""COMPUTED_VALUE"""),"")</f>
        <v/>
      </c>
      <c r="Z183" s="41" t="str">
        <f>IFERROR(__xludf.DUMMYFUNCTION("""COMPUTED_VALUE"""),"")</f>
        <v/>
      </c>
      <c r="AA183" s="41" t="str">
        <f>IFERROR(__xludf.DUMMYFUNCTION("""COMPUTED_VALUE"""),"")</f>
        <v/>
      </c>
      <c r="AB183" s="38" t="str">
        <f>IFERROR(__xludf.DUMMYFUNCTION("""COMPUTED_VALUE"""),"")</f>
        <v/>
      </c>
    </row>
    <row r="184">
      <c r="A184" s="41" t="str">
        <f>IFERROR(__xludf.DUMMYFUNCTION("""COMPUTED_VALUE"""),"React, typescript, rails")</f>
        <v>React, typescript, rails</v>
      </c>
      <c r="B184" s="42" t="s">
        <v>1979</v>
      </c>
      <c r="C184" s="41" t="s">
        <v>4237</v>
      </c>
      <c r="D184" s="41" t="s">
        <v>4238</v>
      </c>
      <c r="N184" s="38"/>
      <c r="P184" s="42" t="str">
        <f>IFERROR(__xludf.DUMMYFUNCTION("""COMPUTED_VALUE"""),"javascript")</f>
        <v>javascript</v>
      </c>
      <c r="Q184" s="41" t="str">
        <f>IFERROR(__xludf.DUMMYFUNCTION("""COMPUTED_VALUE"""),"phone")</f>
        <v>phone</v>
      </c>
      <c r="R184" s="41" t="str">
        <f>IFERROR(__xludf.DUMMYFUNCTION("""COMPUTED_VALUE"""),"mongodb")</f>
        <v>mongodb</v>
      </c>
      <c r="S184" s="41" t="str">
        <f>IFERROR(__xludf.DUMMYFUNCTION("""COMPUTED_VALUE"""),"")</f>
        <v/>
      </c>
      <c r="T184" s="41" t="str">
        <f>IFERROR(__xludf.DUMMYFUNCTION("""COMPUTED_VALUE"""),"")</f>
        <v/>
      </c>
      <c r="U184" s="41" t="str">
        <f>IFERROR(__xludf.DUMMYFUNCTION("""COMPUTED_VALUE"""),"")</f>
        <v/>
      </c>
      <c r="V184" s="41" t="str">
        <f>IFERROR(__xludf.DUMMYFUNCTION("""COMPUTED_VALUE"""),"")</f>
        <v/>
      </c>
      <c r="W184" s="41" t="str">
        <f>IFERROR(__xludf.DUMMYFUNCTION("""COMPUTED_VALUE"""),"")</f>
        <v/>
      </c>
      <c r="X184" s="41" t="str">
        <f>IFERROR(__xludf.DUMMYFUNCTION("""COMPUTED_VALUE"""),"")</f>
        <v/>
      </c>
      <c r="Y184" s="41" t="str">
        <f>IFERROR(__xludf.DUMMYFUNCTION("""COMPUTED_VALUE"""),"")</f>
        <v/>
      </c>
      <c r="Z184" s="41" t="str">
        <f>IFERROR(__xludf.DUMMYFUNCTION("""COMPUTED_VALUE"""),"")</f>
        <v/>
      </c>
      <c r="AA184" s="41" t="str">
        <f>IFERROR(__xludf.DUMMYFUNCTION("""COMPUTED_VALUE"""),"")</f>
        <v/>
      </c>
      <c r="AB184" s="38" t="str">
        <f>IFERROR(__xludf.DUMMYFUNCTION("""COMPUTED_VALUE"""),"")</f>
        <v/>
      </c>
    </row>
    <row r="185">
      <c r="A185" s="41" t="str">
        <f>IFERROR(__xludf.DUMMYFUNCTION("""COMPUTED_VALUE"""),"LAMP Stack")</f>
        <v>LAMP Stack</v>
      </c>
      <c r="B185" s="42" t="s">
        <v>2262</v>
      </c>
      <c r="N185" s="38"/>
      <c r="P185" s="42" t="str">
        <f>IFERROR(__xludf.DUMMYFUNCTION("""COMPUTED_VALUE"""),"javascript")</f>
        <v>javascript</v>
      </c>
      <c r="Q185" s="41" t="str">
        <f>IFERROR(__xludf.DUMMYFUNCTION("""COMPUTED_VALUE"""),"js")</f>
        <v>js</v>
      </c>
      <c r="R185" s="41" t="str">
        <f>IFERROR(__xludf.DUMMYFUNCTION("""COMPUTED_VALUE"""),"hibernate")</f>
        <v>hibernate</v>
      </c>
      <c r="S185" s="41" t="str">
        <f>IFERROR(__xludf.DUMMYFUNCTION("""COMPUTED_VALUE"""),"")</f>
        <v/>
      </c>
      <c r="T185" s="41" t="str">
        <f>IFERROR(__xludf.DUMMYFUNCTION("""COMPUTED_VALUE"""),"")</f>
        <v/>
      </c>
      <c r="U185" s="41" t="str">
        <f>IFERROR(__xludf.DUMMYFUNCTION("""COMPUTED_VALUE"""),"")</f>
        <v/>
      </c>
      <c r="V185" s="41" t="str">
        <f>IFERROR(__xludf.DUMMYFUNCTION("""COMPUTED_VALUE"""),"")</f>
        <v/>
      </c>
      <c r="W185" s="41" t="str">
        <f>IFERROR(__xludf.DUMMYFUNCTION("""COMPUTED_VALUE"""),"")</f>
        <v/>
      </c>
      <c r="X185" s="41" t="str">
        <f>IFERROR(__xludf.DUMMYFUNCTION("""COMPUTED_VALUE"""),"")</f>
        <v/>
      </c>
      <c r="Y185" s="41" t="str">
        <f>IFERROR(__xludf.DUMMYFUNCTION("""COMPUTED_VALUE"""),"")</f>
        <v/>
      </c>
      <c r="Z185" s="41" t="str">
        <f>IFERROR(__xludf.DUMMYFUNCTION("""COMPUTED_VALUE"""),"")</f>
        <v/>
      </c>
      <c r="AA185" s="41" t="str">
        <f>IFERROR(__xludf.DUMMYFUNCTION("""COMPUTED_VALUE"""),"")</f>
        <v/>
      </c>
      <c r="AB185" s="38" t="str">
        <f>IFERROR(__xludf.DUMMYFUNCTION("""COMPUTED_VALUE"""),"")</f>
        <v/>
      </c>
    </row>
    <row r="186">
      <c r="A186" s="41" t="str">
        <f>IFERROR(__xludf.DUMMYFUNCTION("""COMPUTED_VALUE"""),"Javascript, React, Node")</f>
        <v>Javascript, React, Node</v>
      </c>
      <c r="B186" s="42" t="s">
        <v>712</v>
      </c>
      <c r="C186" s="41" t="s">
        <v>1979</v>
      </c>
      <c r="D186" s="41" t="s">
        <v>4239</v>
      </c>
      <c r="N186" s="38"/>
      <c r="P186" s="42" t="str">
        <f>IFERROR(__xludf.DUMMYFUNCTION("""COMPUTED_VALUE"""),"java")</f>
        <v>java</v>
      </c>
      <c r="Q186" s="41" t="str">
        <f>IFERROR(__xludf.DUMMYFUNCTION("""COMPUTED_VALUE"""),"aws")</f>
        <v>aws</v>
      </c>
      <c r="R186" s="41" t="str">
        <f>IFERROR(__xludf.DUMMYFUNCTION("""COMPUTED_VALUE"""),"kotlin")</f>
        <v>kotlin</v>
      </c>
      <c r="S186" s="41" t="str">
        <f>IFERROR(__xludf.DUMMYFUNCTION("""COMPUTED_VALUE"""),"")</f>
        <v/>
      </c>
      <c r="T186" s="41" t="str">
        <f>IFERROR(__xludf.DUMMYFUNCTION("""COMPUTED_VALUE"""),"")</f>
        <v/>
      </c>
      <c r="U186" s="41" t="str">
        <f>IFERROR(__xludf.DUMMYFUNCTION("""COMPUTED_VALUE"""),"")</f>
        <v/>
      </c>
      <c r="V186" s="41" t="str">
        <f>IFERROR(__xludf.DUMMYFUNCTION("""COMPUTED_VALUE"""),"")</f>
        <v/>
      </c>
      <c r="W186" s="41" t="str">
        <f>IFERROR(__xludf.DUMMYFUNCTION("""COMPUTED_VALUE"""),"")</f>
        <v/>
      </c>
      <c r="X186" s="41" t="str">
        <f>IFERROR(__xludf.DUMMYFUNCTION("""COMPUTED_VALUE"""),"")</f>
        <v/>
      </c>
      <c r="Y186" s="41" t="str">
        <f>IFERROR(__xludf.DUMMYFUNCTION("""COMPUTED_VALUE"""),"")</f>
        <v/>
      </c>
      <c r="Z186" s="41" t="str">
        <f>IFERROR(__xludf.DUMMYFUNCTION("""COMPUTED_VALUE"""),"")</f>
        <v/>
      </c>
      <c r="AA186" s="41" t="str">
        <f>IFERROR(__xludf.DUMMYFUNCTION("""COMPUTED_VALUE"""),"")</f>
        <v/>
      </c>
      <c r="AB186" s="38" t="str">
        <f>IFERROR(__xludf.DUMMYFUNCTION("""COMPUTED_VALUE"""),"")</f>
        <v/>
      </c>
    </row>
    <row r="187">
      <c r="A187" s="41" t="str">
        <f>IFERROR(__xludf.DUMMYFUNCTION("""COMPUTED_VALUE"""),"MEVN, Javascript, BI Tool")</f>
        <v>MEVN, Javascript, BI Tool</v>
      </c>
      <c r="B187" s="42" t="s">
        <v>4240</v>
      </c>
      <c r="C187" s="41" t="s">
        <v>712</v>
      </c>
      <c r="D187" s="41" t="s">
        <v>4241</v>
      </c>
      <c r="N187" s="38"/>
      <c r="P187" s="42" t="str">
        <f>IFERROR(__xludf.DUMMYFUNCTION("""COMPUTED_VALUE"""),"c#")</f>
        <v>c#</v>
      </c>
      <c r="Q187" s="41" t="str">
        <f>IFERROR(__xludf.DUMMYFUNCTION("""COMPUTED_VALUE"""),"react")</f>
        <v>react</v>
      </c>
      <c r="R187" s="41" t="str">
        <f>IFERROR(__xludf.DUMMYFUNCTION("""COMPUTED_VALUE"""),"javascript")</f>
        <v>javascript</v>
      </c>
      <c r="S187" s="41" t="str">
        <f>IFERROR(__xludf.DUMMYFUNCTION("""COMPUTED_VALUE"""),"")</f>
        <v/>
      </c>
      <c r="T187" s="41" t="str">
        <f>IFERROR(__xludf.DUMMYFUNCTION("""COMPUTED_VALUE"""),"")</f>
        <v/>
      </c>
      <c r="U187" s="41" t="str">
        <f>IFERROR(__xludf.DUMMYFUNCTION("""COMPUTED_VALUE"""),"")</f>
        <v/>
      </c>
      <c r="V187" s="41" t="str">
        <f>IFERROR(__xludf.DUMMYFUNCTION("""COMPUTED_VALUE"""),"")</f>
        <v/>
      </c>
      <c r="W187" s="41" t="str">
        <f>IFERROR(__xludf.DUMMYFUNCTION("""COMPUTED_VALUE"""),"")</f>
        <v/>
      </c>
      <c r="X187" s="41" t="str">
        <f>IFERROR(__xludf.DUMMYFUNCTION("""COMPUTED_VALUE"""),"")</f>
        <v/>
      </c>
      <c r="Y187" s="41" t="str">
        <f>IFERROR(__xludf.DUMMYFUNCTION("""COMPUTED_VALUE"""),"")</f>
        <v/>
      </c>
      <c r="Z187" s="41" t="str">
        <f>IFERROR(__xludf.DUMMYFUNCTION("""COMPUTED_VALUE"""),"")</f>
        <v/>
      </c>
      <c r="AA187" s="41" t="str">
        <f>IFERROR(__xludf.DUMMYFUNCTION("""COMPUTED_VALUE"""),"")</f>
        <v/>
      </c>
      <c r="AB187" s="38" t="str">
        <f>IFERROR(__xludf.DUMMYFUNCTION("""COMPUTED_VALUE"""),"")</f>
        <v/>
      </c>
    </row>
    <row r="188">
      <c r="A188" s="41" t="str">
        <f>IFERROR(__xludf.DUMMYFUNCTION("""COMPUTED_VALUE"""),"django, jquery")</f>
        <v>django, jquery</v>
      </c>
      <c r="B188" s="42" t="s">
        <v>4242</v>
      </c>
      <c r="C188" s="41" t="s">
        <v>4243</v>
      </c>
      <c r="N188" s="38"/>
      <c r="P188" s="42" t="str">
        <f>IFERROR(__xludf.DUMMYFUNCTION("""COMPUTED_VALUE"""),"google")</f>
        <v>google</v>
      </c>
      <c r="Q188" s="41" t="str">
        <f>IFERROR(__xludf.DUMMYFUNCTION("""COMPUTED_VALUE"""),"python")</f>
        <v>python</v>
      </c>
      <c r="R188" s="41" t="str">
        <f>IFERROR(__xludf.DUMMYFUNCTION("""COMPUTED_VALUE"""),"javascript(react)")</f>
        <v>javascript(react)</v>
      </c>
      <c r="S188" s="41" t="str">
        <f>IFERROR(__xludf.DUMMYFUNCTION("""COMPUTED_VALUE"""),"")</f>
        <v/>
      </c>
      <c r="T188" s="41" t="str">
        <f>IFERROR(__xludf.DUMMYFUNCTION("""COMPUTED_VALUE"""),"")</f>
        <v/>
      </c>
      <c r="U188" s="41" t="str">
        <f>IFERROR(__xludf.DUMMYFUNCTION("""COMPUTED_VALUE"""),"")</f>
        <v/>
      </c>
      <c r="V188" s="41" t="str">
        <f>IFERROR(__xludf.DUMMYFUNCTION("""COMPUTED_VALUE"""),"")</f>
        <v/>
      </c>
      <c r="W188" s="41" t="str">
        <f>IFERROR(__xludf.DUMMYFUNCTION("""COMPUTED_VALUE"""),"")</f>
        <v/>
      </c>
      <c r="X188" s="41" t="str">
        <f>IFERROR(__xludf.DUMMYFUNCTION("""COMPUTED_VALUE"""),"")</f>
        <v/>
      </c>
      <c r="Y188" s="41" t="str">
        <f>IFERROR(__xludf.DUMMYFUNCTION("""COMPUTED_VALUE"""),"")</f>
        <v/>
      </c>
      <c r="Z188" s="41" t="str">
        <f>IFERROR(__xludf.DUMMYFUNCTION("""COMPUTED_VALUE"""),"")</f>
        <v/>
      </c>
      <c r="AA188" s="41" t="str">
        <f>IFERROR(__xludf.DUMMYFUNCTION("""COMPUTED_VALUE"""),"")</f>
        <v/>
      </c>
      <c r="AB188" s="38" t="str">
        <f>IFERROR(__xludf.DUMMYFUNCTION("""COMPUTED_VALUE"""),"")</f>
        <v/>
      </c>
    </row>
    <row r="189">
      <c r="A189" s="41" t="str">
        <f>IFERROR(__xludf.DUMMYFUNCTION("""COMPUTED_VALUE"""),"Java, PHP")</f>
        <v>Java, PHP</v>
      </c>
      <c r="B189" s="42" t="s">
        <v>224</v>
      </c>
      <c r="C189" s="41" t="s">
        <v>44</v>
      </c>
      <c r="N189" s="38"/>
      <c r="P189" s="42" t="str">
        <f>IFERROR(__xludf.DUMMYFUNCTION("""COMPUTED_VALUE"""),"cloud")</f>
        <v>cloud</v>
      </c>
      <c r="Q189" s="41" t="str">
        <f>IFERROR(__xludf.DUMMYFUNCTION("""COMPUTED_VALUE"""),"python")</f>
        <v>python</v>
      </c>
      <c r="R189" s="41" t="str">
        <f>IFERROR(__xludf.DUMMYFUNCTION("""COMPUTED_VALUE"""),"flutter")</f>
        <v>flutter</v>
      </c>
      <c r="S189" s="41" t="str">
        <f>IFERROR(__xludf.DUMMYFUNCTION("""COMPUTED_VALUE"""),"")</f>
        <v/>
      </c>
      <c r="T189" s="41" t="str">
        <f>IFERROR(__xludf.DUMMYFUNCTION("""COMPUTED_VALUE"""),"")</f>
        <v/>
      </c>
      <c r="U189" s="41" t="str">
        <f>IFERROR(__xludf.DUMMYFUNCTION("""COMPUTED_VALUE"""),"")</f>
        <v/>
      </c>
      <c r="V189" s="41" t="str">
        <f>IFERROR(__xludf.DUMMYFUNCTION("""COMPUTED_VALUE"""),"")</f>
        <v/>
      </c>
      <c r="W189" s="41" t="str">
        <f>IFERROR(__xludf.DUMMYFUNCTION("""COMPUTED_VALUE"""),"")</f>
        <v/>
      </c>
      <c r="X189" s="41" t="str">
        <f>IFERROR(__xludf.DUMMYFUNCTION("""COMPUTED_VALUE"""),"")</f>
        <v/>
      </c>
      <c r="Y189" s="41" t="str">
        <f>IFERROR(__xludf.DUMMYFUNCTION("""COMPUTED_VALUE"""),"")</f>
        <v/>
      </c>
      <c r="Z189" s="41" t="str">
        <f>IFERROR(__xludf.DUMMYFUNCTION("""COMPUTED_VALUE"""),"")</f>
        <v/>
      </c>
      <c r="AA189" s="41" t="str">
        <f>IFERROR(__xludf.DUMMYFUNCTION("""COMPUTED_VALUE"""),"")</f>
        <v/>
      </c>
      <c r="AB189" s="38" t="str">
        <f>IFERROR(__xludf.DUMMYFUNCTION("""COMPUTED_VALUE"""),"")</f>
        <v/>
      </c>
    </row>
    <row r="190">
      <c r="A190" s="41" t="str">
        <f>IFERROR(__xludf.DUMMYFUNCTION("""COMPUTED_VALUE"""),"Kotlin")</f>
        <v>Kotlin</v>
      </c>
      <c r="B190" s="42" t="s">
        <v>170</v>
      </c>
      <c r="N190" s="38"/>
      <c r="P190" s="42" t="str">
        <f>IFERROR(__xludf.DUMMYFUNCTION("""COMPUTED_VALUE"""),"platform")</f>
        <v>platform</v>
      </c>
      <c r="Q190" s="41" t="str">
        <f>IFERROR(__xludf.DUMMYFUNCTION("""COMPUTED_VALUE"""),"vuejs")</f>
        <v>vuejs</v>
      </c>
      <c r="R190" s="41" t="str">
        <f>IFERROR(__xludf.DUMMYFUNCTION("""COMPUTED_VALUE"""),"azure")</f>
        <v>azure</v>
      </c>
      <c r="S190" s="41" t="str">
        <f>IFERROR(__xludf.DUMMYFUNCTION("""COMPUTED_VALUE"""),"")</f>
        <v/>
      </c>
      <c r="T190" s="41" t="str">
        <f>IFERROR(__xludf.DUMMYFUNCTION("""COMPUTED_VALUE"""),"")</f>
        <v/>
      </c>
      <c r="U190" s="41" t="str">
        <f>IFERROR(__xludf.DUMMYFUNCTION("""COMPUTED_VALUE"""),"")</f>
        <v/>
      </c>
      <c r="V190" s="41" t="str">
        <f>IFERROR(__xludf.DUMMYFUNCTION("""COMPUTED_VALUE"""),"")</f>
        <v/>
      </c>
      <c r="W190" s="41" t="str">
        <f>IFERROR(__xludf.DUMMYFUNCTION("""COMPUTED_VALUE"""),"")</f>
        <v/>
      </c>
      <c r="X190" s="41" t="str">
        <f>IFERROR(__xludf.DUMMYFUNCTION("""COMPUTED_VALUE"""),"")</f>
        <v/>
      </c>
      <c r="Y190" s="41" t="str">
        <f>IFERROR(__xludf.DUMMYFUNCTION("""COMPUTED_VALUE"""),"")</f>
        <v/>
      </c>
      <c r="Z190" s="41" t="str">
        <f>IFERROR(__xludf.DUMMYFUNCTION("""COMPUTED_VALUE"""),"")</f>
        <v/>
      </c>
      <c r="AA190" s="41" t="str">
        <f>IFERROR(__xludf.DUMMYFUNCTION("""COMPUTED_VALUE"""),"")</f>
        <v/>
      </c>
      <c r="AB190" s="38" t="str">
        <f>IFERROR(__xludf.DUMMYFUNCTION("""COMPUTED_VALUE"""),"")</f>
        <v/>
      </c>
    </row>
    <row r="191">
      <c r="A191" s="41" t="str">
        <f>IFERROR(__xludf.DUMMYFUNCTION("""COMPUTED_VALUE"""),"Ruby on Rails, Laravel, Vue.js, MySQL, AWS, Slack")</f>
        <v>Ruby on Rails, Laravel, Vue.js, MySQL, AWS, Slack</v>
      </c>
      <c r="B191" s="42" t="s">
        <v>358</v>
      </c>
      <c r="C191" s="41" t="s">
        <v>103</v>
      </c>
      <c r="D191" s="41" t="s">
        <v>4188</v>
      </c>
      <c r="E191" s="41" t="s">
        <v>4244</v>
      </c>
      <c r="F191" s="41" t="s">
        <v>1233</v>
      </c>
      <c r="G191" s="41" t="s">
        <v>3982</v>
      </c>
      <c r="N191" s="38"/>
      <c r="P191" s="42" t="str">
        <f>IFERROR(__xludf.DUMMYFUNCTION("""COMPUTED_VALUE"""),"azure")</f>
        <v>azure</v>
      </c>
      <c r="Q191" s="41" t="str">
        <f>IFERROR(__xludf.DUMMYFUNCTION("""COMPUTED_VALUE"""),"react")</f>
        <v>react</v>
      </c>
      <c r="R191" s="41" t="str">
        <f>IFERROR(__xludf.DUMMYFUNCTION("""COMPUTED_VALUE"""),"go")</f>
        <v>go</v>
      </c>
      <c r="S191" s="41" t="str">
        <f>IFERROR(__xludf.DUMMYFUNCTION("""COMPUTED_VALUE"""),"")</f>
        <v/>
      </c>
      <c r="T191" s="41" t="str">
        <f>IFERROR(__xludf.DUMMYFUNCTION("""COMPUTED_VALUE"""),"")</f>
        <v/>
      </c>
      <c r="U191" s="41" t="str">
        <f>IFERROR(__xludf.DUMMYFUNCTION("""COMPUTED_VALUE"""),"")</f>
        <v/>
      </c>
      <c r="V191" s="41" t="str">
        <f>IFERROR(__xludf.DUMMYFUNCTION("""COMPUTED_VALUE"""),"")</f>
        <v/>
      </c>
      <c r="W191" s="41" t="str">
        <f>IFERROR(__xludf.DUMMYFUNCTION("""COMPUTED_VALUE"""),"")</f>
        <v/>
      </c>
      <c r="X191" s="41" t="str">
        <f>IFERROR(__xludf.DUMMYFUNCTION("""COMPUTED_VALUE"""),"")</f>
        <v/>
      </c>
      <c r="Y191" s="41" t="str">
        <f>IFERROR(__xludf.DUMMYFUNCTION("""COMPUTED_VALUE"""),"")</f>
        <v/>
      </c>
      <c r="Z191" s="41" t="str">
        <f>IFERROR(__xludf.DUMMYFUNCTION("""COMPUTED_VALUE"""),"")</f>
        <v/>
      </c>
      <c r="AA191" s="41" t="str">
        <f>IFERROR(__xludf.DUMMYFUNCTION("""COMPUTED_VALUE"""),"")</f>
        <v/>
      </c>
      <c r="AB191" s="38" t="str">
        <f>IFERROR(__xludf.DUMMYFUNCTION("""COMPUTED_VALUE"""),"")</f>
        <v/>
      </c>
    </row>
    <row r="192">
      <c r="A192" s="41" t="str">
        <f>IFERROR(__xludf.DUMMYFUNCTION("""COMPUTED_VALUE"""),"React framework")</f>
        <v>React framework</v>
      </c>
      <c r="B192" s="42" t="s">
        <v>1401</v>
      </c>
      <c r="N192" s="38"/>
      <c r="P192" s="42" t="str">
        <f>IFERROR(__xludf.DUMMYFUNCTION("""COMPUTED_VALUE"""),"node")</f>
        <v>node</v>
      </c>
      <c r="Q192" s="41" t="str">
        <f>IFERROR(__xludf.DUMMYFUNCTION("""COMPUTED_VALUE"""),"golang")</f>
        <v>golang</v>
      </c>
      <c r="R192" s="41" t="str">
        <f>IFERROR(__xludf.DUMMYFUNCTION("""COMPUTED_VALUE"""),"bitbucket")</f>
        <v>bitbucket</v>
      </c>
      <c r="S192" s="41" t="str">
        <f>IFERROR(__xludf.DUMMYFUNCTION("""COMPUTED_VALUE"""),"")</f>
        <v/>
      </c>
      <c r="T192" s="41" t="str">
        <f>IFERROR(__xludf.DUMMYFUNCTION("""COMPUTED_VALUE"""),"")</f>
        <v/>
      </c>
      <c r="U192" s="41" t="str">
        <f>IFERROR(__xludf.DUMMYFUNCTION("""COMPUTED_VALUE"""),"")</f>
        <v/>
      </c>
      <c r="V192" s="41" t="str">
        <f>IFERROR(__xludf.DUMMYFUNCTION("""COMPUTED_VALUE"""),"")</f>
        <v/>
      </c>
      <c r="W192" s="41" t="str">
        <f>IFERROR(__xludf.DUMMYFUNCTION("""COMPUTED_VALUE"""),"")</f>
        <v/>
      </c>
      <c r="X192" s="41" t="str">
        <f>IFERROR(__xludf.DUMMYFUNCTION("""COMPUTED_VALUE"""),"")</f>
        <v/>
      </c>
      <c r="Y192" s="41" t="str">
        <f>IFERROR(__xludf.DUMMYFUNCTION("""COMPUTED_VALUE"""),"")</f>
        <v/>
      </c>
      <c r="Z192" s="41" t="str">
        <f>IFERROR(__xludf.DUMMYFUNCTION("""COMPUTED_VALUE"""),"")</f>
        <v/>
      </c>
      <c r="AA192" s="41" t="str">
        <f>IFERROR(__xludf.DUMMYFUNCTION("""COMPUTED_VALUE"""),"")</f>
        <v/>
      </c>
      <c r="AB192" s="38" t="str">
        <f>IFERROR(__xludf.DUMMYFUNCTION("""COMPUTED_VALUE"""),"")</f>
        <v/>
      </c>
    </row>
    <row r="193">
      <c r="A193" s="41" t="str">
        <f>IFERROR(__xludf.DUMMYFUNCTION("""COMPUTED_VALUE"""),"React Native, Nodejs, AWS")</f>
        <v>React Native, Nodejs, AWS</v>
      </c>
      <c r="B193" s="42" t="s">
        <v>549</v>
      </c>
      <c r="C193" s="41" t="s">
        <v>4102</v>
      </c>
      <c r="D193" s="41" t="s">
        <v>1233</v>
      </c>
      <c r="N193" s="38"/>
      <c r="P193" s="42" t="str">
        <f>IFERROR(__xludf.DUMMYFUNCTION("""COMPUTED_VALUE"""),"js")</f>
        <v>js</v>
      </c>
      <c r="Q193" s="41" t="str">
        <f>IFERROR(__xludf.DUMMYFUNCTION("""COMPUTED_VALUE"""),"react")</f>
        <v>react</v>
      </c>
      <c r="R193" s="41" t="str">
        <f>IFERROR(__xludf.DUMMYFUNCTION("""COMPUTED_VALUE"""),"linux")</f>
        <v>linux</v>
      </c>
      <c r="S193" s="41" t="str">
        <f>IFERROR(__xludf.DUMMYFUNCTION("""COMPUTED_VALUE"""),"")</f>
        <v/>
      </c>
      <c r="T193" s="41" t="str">
        <f>IFERROR(__xludf.DUMMYFUNCTION("""COMPUTED_VALUE"""),"")</f>
        <v/>
      </c>
      <c r="U193" s="41" t="str">
        <f>IFERROR(__xludf.DUMMYFUNCTION("""COMPUTED_VALUE"""),"")</f>
        <v/>
      </c>
      <c r="V193" s="41" t="str">
        <f>IFERROR(__xludf.DUMMYFUNCTION("""COMPUTED_VALUE"""),"")</f>
        <v/>
      </c>
      <c r="W193" s="41" t="str">
        <f>IFERROR(__xludf.DUMMYFUNCTION("""COMPUTED_VALUE"""),"")</f>
        <v/>
      </c>
      <c r="X193" s="41" t="str">
        <f>IFERROR(__xludf.DUMMYFUNCTION("""COMPUTED_VALUE"""),"")</f>
        <v/>
      </c>
      <c r="Y193" s="41" t="str">
        <f>IFERROR(__xludf.DUMMYFUNCTION("""COMPUTED_VALUE"""),"")</f>
        <v/>
      </c>
      <c r="Z193" s="41" t="str">
        <f>IFERROR(__xludf.DUMMYFUNCTION("""COMPUTED_VALUE"""),"")</f>
        <v/>
      </c>
      <c r="AA193" s="41" t="str">
        <f>IFERROR(__xludf.DUMMYFUNCTION("""COMPUTED_VALUE"""),"")</f>
        <v/>
      </c>
      <c r="AB193" s="38" t="str">
        <f>IFERROR(__xludf.DUMMYFUNCTION("""COMPUTED_VALUE"""),"")</f>
        <v/>
      </c>
    </row>
    <row r="194">
      <c r="A194" s="41" t="str">
        <f>IFERROR(__xludf.DUMMYFUNCTION("""COMPUTED_VALUE"""),"Typescript, Javascript, NodeJS, ReactJS, MongoDB, AWS")</f>
        <v>Typescript, Javascript, NodeJS, ReactJS, MongoDB, AWS</v>
      </c>
      <c r="B194" s="42" t="s">
        <v>4052</v>
      </c>
      <c r="C194" s="41" t="s">
        <v>712</v>
      </c>
      <c r="D194" s="41" t="s">
        <v>1842</v>
      </c>
      <c r="E194" s="41" t="s">
        <v>4245</v>
      </c>
      <c r="F194" s="41" t="s">
        <v>4225</v>
      </c>
      <c r="G194" s="41" t="s">
        <v>1233</v>
      </c>
      <c r="N194" s="38"/>
      <c r="P194" s="42" t="str">
        <f>IFERROR(__xludf.DUMMYFUNCTION("""COMPUTED_VALUE"""),"salesforce")</f>
        <v>salesforce</v>
      </c>
      <c r="Q194" s="41" t="str">
        <f>IFERROR(__xludf.DUMMYFUNCTION("""COMPUTED_VALUE"""),"angular")</f>
        <v>angular</v>
      </c>
      <c r="R194" s="41" t="str">
        <f>IFERROR(__xludf.DUMMYFUNCTION("""COMPUTED_VALUE"""),"c#")</f>
        <v>c#</v>
      </c>
      <c r="S194" s="41" t="str">
        <f>IFERROR(__xludf.DUMMYFUNCTION("""COMPUTED_VALUE"""),"")</f>
        <v/>
      </c>
      <c r="T194" s="41" t="str">
        <f>IFERROR(__xludf.DUMMYFUNCTION("""COMPUTED_VALUE"""),"")</f>
        <v/>
      </c>
      <c r="U194" s="41" t="str">
        <f>IFERROR(__xludf.DUMMYFUNCTION("""COMPUTED_VALUE"""),"")</f>
        <v/>
      </c>
      <c r="V194" s="41" t="str">
        <f>IFERROR(__xludf.DUMMYFUNCTION("""COMPUTED_VALUE"""),"")</f>
        <v/>
      </c>
      <c r="W194" s="41" t="str">
        <f>IFERROR(__xludf.DUMMYFUNCTION("""COMPUTED_VALUE"""),"")</f>
        <v/>
      </c>
      <c r="X194" s="41" t="str">
        <f>IFERROR(__xludf.DUMMYFUNCTION("""COMPUTED_VALUE"""),"")</f>
        <v/>
      </c>
      <c r="Y194" s="41" t="str">
        <f>IFERROR(__xludf.DUMMYFUNCTION("""COMPUTED_VALUE"""),"")</f>
        <v/>
      </c>
      <c r="Z194" s="41" t="str">
        <f>IFERROR(__xludf.DUMMYFUNCTION("""COMPUTED_VALUE"""),"")</f>
        <v/>
      </c>
      <c r="AA194" s="41" t="str">
        <f>IFERROR(__xludf.DUMMYFUNCTION("""COMPUTED_VALUE"""),"")</f>
        <v/>
      </c>
      <c r="AB194" s="38" t="str">
        <f>IFERROR(__xludf.DUMMYFUNCTION("""COMPUTED_VALUE"""),"")</f>
        <v/>
      </c>
    </row>
    <row r="195">
      <c r="A195" s="41" t="str">
        <f>IFERROR(__xludf.DUMMYFUNCTION("""COMPUTED_VALUE"""),"Android")</f>
        <v>Android</v>
      </c>
      <c r="B195" s="42" t="s">
        <v>865</v>
      </c>
      <c r="N195" s="38"/>
      <c r="P195" s="42" t="str">
        <f>IFERROR(__xludf.DUMMYFUNCTION("""COMPUTED_VALUE"""),"python")</f>
        <v>python</v>
      </c>
      <c r="Q195" s="41" t="str">
        <f>IFERROR(__xludf.DUMMYFUNCTION("""COMPUTED_VALUE"""),".net")</f>
        <v>.net</v>
      </c>
      <c r="R195" s="41" t="str">
        <f>IFERROR(__xludf.DUMMYFUNCTION("""COMPUTED_VALUE"""),"android")</f>
        <v>android</v>
      </c>
      <c r="S195" s="41" t="str">
        <f>IFERROR(__xludf.DUMMYFUNCTION("""COMPUTED_VALUE"""),"")</f>
        <v/>
      </c>
      <c r="T195" s="41" t="str">
        <f>IFERROR(__xludf.DUMMYFUNCTION("""COMPUTED_VALUE"""),"")</f>
        <v/>
      </c>
      <c r="U195" s="41" t="str">
        <f>IFERROR(__xludf.DUMMYFUNCTION("""COMPUTED_VALUE"""),"")</f>
        <v/>
      </c>
      <c r="V195" s="41" t="str">
        <f>IFERROR(__xludf.DUMMYFUNCTION("""COMPUTED_VALUE"""),"")</f>
        <v/>
      </c>
      <c r="W195" s="41" t="str">
        <f>IFERROR(__xludf.DUMMYFUNCTION("""COMPUTED_VALUE"""),"")</f>
        <v/>
      </c>
      <c r="X195" s="41" t="str">
        <f>IFERROR(__xludf.DUMMYFUNCTION("""COMPUTED_VALUE"""),"")</f>
        <v/>
      </c>
      <c r="Y195" s="41" t="str">
        <f>IFERROR(__xludf.DUMMYFUNCTION("""COMPUTED_VALUE"""),"")</f>
        <v/>
      </c>
      <c r="Z195" s="41" t="str">
        <f>IFERROR(__xludf.DUMMYFUNCTION("""COMPUTED_VALUE"""),"")</f>
        <v/>
      </c>
      <c r="AA195" s="41" t="str">
        <f>IFERROR(__xludf.DUMMYFUNCTION("""COMPUTED_VALUE"""),"")</f>
        <v/>
      </c>
      <c r="AB195" s="38" t="str">
        <f>IFERROR(__xludf.DUMMYFUNCTION("""COMPUTED_VALUE"""),"")</f>
        <v/>
      </c>
    </row>
    <row r="196">
      <c r="A196" s="41" t="str">
        <f>IFERROR(__xludf.DUMMYFUNCTION("""COMPUTED_VALUE"""),"Java")</f>
        <v>Java</v>
      </c>
      <c r="B196" s="42" t="s">
        <v>224</v>
      </c>
      <c r="N196" s="38"/>
      <c r="P196" s="42" t="str">
        <f>IFERROR(__xludf.DUMMYFUNCTION("""COMPUTED_VALUE"""),"nodejs")</f>
        <v>nodejs</v>
      </c>
      <c r="Q196" s="41" t="str">
        <f>IFERROR(__xludf.DUMMYFUNCTION("""COMPUTED_VALUE"""),".net")</f>
        <v>.net</v>
      </c>
      <c r="R196" s="41" t="str">
        <f>IFERROR(__xludf.DUMMYFUNCTION("""COMPUTED_VALUE"""),"studio")</f>
        <v>studio</v>
      </c>
      <c r="S196" s="41" t="str">
        <f>IFERROR(__xludf.DUMMYFUNCTION("""COMPUTED_VALUE"""),"")</f>
        <v/>
      </c>
      <c r="T196" s="41" t="str">
        <f>IFERROR(__xludf.DUMMYFUNCTION("""COMPUTED_VALUE"""),"")</f>
        <v/>
      </c>
      <c r="U196" s="41" t="str">
        <f>IFERROR(__xludf.DUMMYFUNCTION("""COMPUTED_VALUE"""),"")</f>
        <v/>
      </c>
      <c r="V196" s="41" t="str">
        <f>IFERROR(__xludf.DUMMYFUNCTION("""COMPUTED_VALUE"""),"")</f>
        <v/>
      </c>
      <c r="W196" s="41" t="str">
        <f>IFERROR(__xludf.DUMMYFUNCTION("""COMPUTED_VALUE"""),"")</f>
        <v/>
      </c>
      <c r="X196" s="41" t="str">
        <f>IFERROR(__xludf.DUMMYFUNCTION("""COMPUTED_VALUE"""),"")</f>
        <v/>
      </c>
      <c r="Y196" s="41" t="str">
        <f>IFERROR(__xludf.DUMMYFUNCTION("""COMPUTED_VALUE"""),"")</f>
        <v/>
      </c>
      <c r="Z196" s="41" t="str">
        <f>IFERROR(__xludf.DUMMYFUNCTION("""COMPUTED_VALUE"""),"")</f>
        <v/>
      </c>
      <c r="AA196" s="41" t="str">
        <f>IFERROR(__xludf.DUMMYFUNCTION("""COMPUTED_VALUE"""),"")</f>
        <v/>
      </c>
      <c r="AB196" s="38" t="str">
        <f>IFERROR(__xludf.DUMMYFUNCTION("""COMPUTED_VALUE"""),"")</f>
        <v/>
      </c>
    </row>
    <row r="197">
      <c r="A197" s="41" t="str">
        <f>IFERROR(__xludf.DUMMYFUNCTION("""COMPUTED_VALUE"""),"Webflow")</f>
        <v>Webflow</v>
      </c>
      <c r="B197" s="42" t="s">
        <v>177</v>
      </c>
      <c r="N197" s="38"/>
      <c r="P197" s="42" t="str">
        <f>IFERROR(__xludf.DUMMYFUNCTION("""COMPUTED_VALUE"""),"laravel")</f>
        <v>laravel</v>
      </c>
      <c r="Q197" s="41" t="str">
        <f>IFERROR(__xludf.DUMMYFUNCTION("""COMPUTED_VALUE"""),"core")</f>
        <v>core</v>
      </c>
      <c r="R197" s="41" t="str">
        <f>IFERROR(__xludf.DUMMYFUNCTION("""COMPUTED_VALUE"""),"javascript")</f>
        <v>javascript</v>
      </c>
      <c r="S197" s="41" t="str">
        <f>IFERROR(__xludf.DUMMYFUNCTION("""COMPUTED_VALUE"""),"")</f>
        <v/>
      </c>
      <c r="T197" s="41" t="str">
        <f>IFERROR(__xludf.DUMMYFUNCTION("""COMPUTED_VALUE"""),"")</f>
        <v/>
      </c>
      <c r="U197" s="41" t="str">
        <f>IFERROR(__xludf.DUMMYFUNCTION("""COMPUTED_VALUE"""),"")</f>
        <v/>
      </c>
      <c r="V197" s="41" t="str">
        <f>IFERROR(__xludf.DUMMYFUNCTION("""COMPUTED_VALUE"""),"")</f>
        <v/>
      </c>
      <c r="W197" s="41" t="str">
        <f>IFERROR(__xludf.DUMMYFUNCTION("""COMPUTED_VALUE"""),"")</f>
        <v/>
      </c>
      <c r="X197" s="41" t="str">
        <f>IFERROR(__xludf.DUMMYFUNCTION("""COMPUTED_VALUE"""),"")</f>
        <v/>
      </c>
      <c r="Y197" s="41" t="str">
        <f>IFERROR(__xludf.DUMMYFUNCTION("""COMPUTED_VALUE"""),"")</f>
        <v/>
      </c>
      <c r="Z197" s="41" t="str">
        <f>IFERROR(__xludf.DUMMYFUNCTION("""COMPUTED_VALUE"""),"")</f>
        <v/>
      </c>
      <c r="AA197" s="41" t="str">
        <f>IFERROR(__xludf.DUMMYFUNCTION("""COMPUTED_VALUE"""),"")</f>
        <v/>
      </c>
      <c r="AB197" s="38" t="str">
        <f>IFERROR(__xludf.DUMMYFUNCTION("""COMPUTED_VALUE"""),"")</f>
        <v/>
      </c>
    </row>
    <row r="198">
      <c r="A198" s="41" t="str">
        <f>IFERROR(__xludf.DUMMYFUNCTION("""COMPUTED_VALUE"""),"Java, Angular, Docker, Jenkins, Ansible, Oracle Sql, MongoDb")</f>
        <v>Java, Angular, Docker, Jenkins, Ansible, Oracle Sql, MongoDb</v>
      </c>
      <c r="B198" s="42" t="s">
        <v>224</v>
      </c>
      <c r="C198" s="41" t="s">
        <v>704</v>
      </c>
      <c r="D198" s="41" t="s">
        <v>3663</v>
      </c>
      <c r="E198" s="41" t="s">
        <v>4246</v>
      </c>
      <c r="F198" s="41" t="s">
        <v>4247</v>
      </c>
      <c r="G198" s="41" t="s">
        <v>4248</v>
      </c>
      <c r="H198" s="41" t="s">
        <v>4249</v>
      </c>
      <c r="N198" s="38"/>
      <c r="P198" s="42" t="str">
        <f>IFERROR(__xludf.DUMMYFUNCTION("""COMPUTED_VALUE"""),"nodejs")</f>
        <v>nodejs</v>
      </c>
      <c r="Q198" s="41" t="str">
        <f>IFERROR(__xludf.DUMMYFUNCTION("""COMPUTED_VALUE"""),"angular")</f>
        <v>angular</v>
      </c>
      <c r="R198" s="41" t="str">
        <f>IFERROR(__xludf.DUMMYFUNCTION("""COMPUTED_VALUE"""),"gatsby")</f>
        <v>gatsby</v>
      </c>
      <c r="S198" s="41" t="str">
        <f>IFERROR(__xludf.DUMMYFUNCTION("""COMPUTED_VALUE"""),"")</f>
        <v/>
      </c>
      <c r="T198" s="41" t="str">
        <f>IFERROR(__xludf.DUMMYFUNCTION("""COMPUTED_VALUE"""),"")</f>
        <v/>
      </c>
      <c r="U198" s="41" t="str">
        <f>IFERROR(__xludf.DUMMYFUNCTION("""COMPUTED_VALUE"""),"")</f>
        <v/>
      </c>
      <c r="V198" s="41" t="str">
        <f>IFERROR(__xludf.DUMMYFUNCTION("""COMPUTED_VALUE"""),"")</f>
        <v/>
      </c>
      <c r="W198" s="41" t="str">
        <f>IFERROR(__xludf.DUMMYFUNCTION("""COMPUTED_VALUE"""),"")</f>
        <v/>
      </c>
      <c r="X198" s="41" t="str">
        <f>IFERROR(__xludf.DUMMYFUNCTION("""COMPUTED_VALUE"""),"")</f>
        <v/>
      </c>
      <c r="Y198" s="41" t="str">
        <f>IFERROR(__xludf.DUMMYFUNCTION("""COMPUTED_VALUE"""),"")</f>
        <v/>
      </c>
      <c r="Z198" s="41" t="str">
        <f>IFERROR(__xludf.DUMMYFUNCTION("""COMPUTED_VALUE"""),"")</f>
        <v/>
      </c>
      <c r="AA198" s="41" t="str">
        <f>IFERROR(__xludf.DUMMYFUNCTION("""COMPUTED_VALUE"""),"")</f>
        <v/>
      </c>
      <c r="AB198" s="38" t="str">
        <f>IFERROR(__xludf.DUMMYFUNCTION("""COMPUTED_VALUE"""),"")</f>
        <v/>
      </c>
    </row>
    <row r="199">
      <c r="A199" s="41" t="str">
        <f>IFERROR(__xludf.DUMMYFUNCTION("""COMPUTED_VALUE"""),"Java")</f>
        <v>Java</v>
      </c>
      <c r="B199" s="42" t="s">
        <v>224</v>
      </c>
      <c r="N199" s="38"/>
      <c r="P199" s="42" t="str">
        <f>IFERROR(__xludf.DUMMYFUNCTION("""COMPUTED_VALUE"""),"vue")</f>
        <v>vue</v>
      </c>
      <c r="Q199" s="41" t="str">
        <f>IFERROR(__xludf.DUMMYFUNCTION("""COMPUTED_VALUE"""),"javascript")</f>
        <v>javascript</v>
      </c>
      <c r="R199" s="41" t="str">
        <f>IFERROR(__xludf.DUMMYFUNCTION("""COMPUTED_VALUE"""),"msssql")</f>
        <v>msssql</v>
      </c>
      <c r="S199" s="41" t="str">
        <f>IFERROR(__xludf.DUMMYFUNCTION("""COMPUTED_VALUE"""),"")</f>
        <v/>
      </c>
      <c r="T199" s="41" t="str">
        <f>IFERROR(__xludf.DUMMYFUNCTION("""COMPUTED_VALUE"""),"")</f>
        <v/>
      </c>
      <c r="U199" s="41" t="str">
        <f>IFERROR(__xludf.DUMMYFUNCTION("""COMPUTED_VALUE"""),"")</f>
        <v/>
      </c>
      <c r="V199" s="41" t="str">
        <f>IFERROR(__xludf.DUMMYFUNCTION("""COMPUTED_VALUE"""),"")</f>
        <v/>
      </c>
      <c r="W199" s="41" t="str">
        <f>IFERROR(__xludf.DUMMYFUNCTION("""COMPUTED_VALUE"""),"")</f>
        <v/>
      </c>
      <c r="X199" s="41" t="str">
        <f>IFERROR(__xludf.DUMMYFUNCTION("""COMPUTED_VALUE"""),"")</f>
        <v/>
      </c>
      <c r="Y199" s="41" t="str">
        <f>IFERROR(__xludf.DUMMYFUNCTION("""COMPUTED_VALUE"""),"")</f>
        <v/>
      </c>
      <c r="Z199" s="41" t="str">
        <f>IFERROR(__xludf.DUMMYFUNCTION("""COMPUTED_VALUE"""),"")</f>
        <v/>
      </c>
      <c r="AA199" s="41" t="str">
        <f>IFERROR(__xludf.DUMMYFUNCTION("""COMPUTED_VALUE"""),"")</f>
        <v/>
      </c>
      <c r="AB199" s="38" t="str">
        <f>IFERROR(__xludf.DUMMYFUNCTION("""COMPUTED_VALUE"""),"")</f>
        <v/>
      </c>
    </row>
    <row r="200">
      <c r="A200" s="41" t="str">
        <f>IFERROR(__xludf.DUMMYFUNCTION("""COMPUTED_VALUE"""),"Groovy, .Net")</f>
        <v>Groovy, .Net</v>
      </c>
      <c r="B200" s="42" t="s">
        <v>4250</v>
      </c>
      <c r="C200" s="41" t="s">
        <v>321</v>
      </c>
      <c r="N200" s="38"/>
      <c r="P200" s="42" t="str">
        <f>IFERROR(__xludf.DUMMYFUNCTION("""COMPUTED_VALUE"""),"golang")</f>
        <v>golang</v>
      </c>
      <c r="Q200" s="41" t="str">
        <f>IFERROR(__xludf.DUMMYFUNCTION("""COMPUTED_VALUE"""),"javascript")</f>
        <v>javascript</v>
      </c>
      <c r="R200" s="41" t="str">
        <f>IFERROR(__xludf.DUMMYFUNCTION("""COMPUTED_VALUE"""),"python")</f>
        <v>python</v>
      </c>
      <c r="S200" s="41" t="str">
        <f>IFERROR(__xludf.DUMMYFUNCTION("""COMPUTED_VALUE"""),"")</f>
        <v/>
      </c>
      <c r="T200" s="41" t="str">
        <f>IFERROR(__xludf.DUMMYFUNCTION("""COMPUTED_VALUE"""),"")</f>
        <v/>
      </c>
      <c r="U200" s="41" t="str">
        <f>IFERROR(__xludf.DUMMYFUNCTION("""COMPUTED_VALUE"""),"")</f>
        <v/>
      </c>
      <c r="V200" s="41" t="str">
        <f>IFERROR(__xludf.DUMMYFUNCTION("""COMPUTED_VALUE"""),"")</f>
        <v/>
      </c>
      <c r="W200" s="41" t="str">
        <f>IFERROR(__xludf.DUMMYFUNCTION("""COMPUTED_VALUE"""),"")</f>
        <v/>
      </c>
      <c r="X200" s="41" t="str">
        <f>IFERROR(__xludf.DUMMYFUNCTION("""COMPUTED_VALUE"""),"")</f>
        <v/>
      </c>
      <c r="Y200" s="41" t="str">
        <f>IFERROR(__xludf.DUMMYFUNCTION("""COMPUTED_VALUE"""),"")</f>
        <v/>
      </c>
      <c r="Z200" s="41" t="str">
        <f>IFERROR(__xludf.DUMMYFUNCTION("""COMPUTED_VALUE"""),"")</f>
        <v/>
      </c>
      <c r="AA200" s="41" t="str">
        <f>IFERROR(__xludf.DUMMYFUNCTION("""COMPUTED_VALUE"""),"")</f>
        <v/>
      </c>
      <c r="AB200" s="38" t="str">
        <f>IFERROR(__xludf.DUMMYFUNCTION("""COMPUTED_VALUE"""),"")</f>
        <v/>
      </c>
    </row>
    <row r="201">
      <c r="A201" s="41" t="str">
        <f>IFERROR(__xludf.DUMMYFUNCTION("""COMPUTED_VALUE"""),".NET, Python, Power BI")</f>
        <v>.NET, Python, Power BI</v>
      </c>
      <c r="B201" s="42" t="s">
        <v>163</v>
      </c>
      <c r="C201" s="41" t="s">
        <v>78</v>
      </c>
      <c r="D201" s="41" t="s">
        <v>1584</v>
      </c>
      <c r="N201" s="38"/>
      <c r="P201" s="42" t="str">
        <f>IFERROR(__xludf.DUMMYFUNCTION("""COMPUTED_VALUE"""),"vue.js")</f>
        <v>vue.js</v>
      </c>
      <c r="Q201" s="41" t="str">
        <f>IFERROR(__xludf.DUMMYFUNCTION("""COMPUTED_VALUE"""),"javascript")</f>
        <v>javascript</v>
      </c>
      <c r="R201" s="41" t="str">
        <f>IFERROR(__xludf.DUMMYFUNCTION("""COMPUTED_VALUE"""),"aws")</f>
        <v>aws</v>
      </c>
      <c r="S201" s="41" t="str">
        <f>IFERROR(__xludf.DUMMYFUNCTION("""COMPUTED_VALUE"""),"")</f>
        <v/>
      </c>
      <c r="T201" s="41" t="str">
        <f>IFERROR(__xludf.DUMMYFUNCTION("""COMPUTED_VALUE"""),"")</f>
        <v/>
      </c>
      <c r="U201" s="41" t="str">
        <f>IFERROR(__xludf.DUMMYFUNCTION("""COMPUTED_VALUE"""),"")</f>
        <v/>
      </c>
      <c r="V201" s="41" t="str">
        <f>IFERROR(__xludf.DUMMYFUNCTION("""COMPUTED_VALUE"""),"")</f>
        <v/>
      </c>
      <c r="W201" s="41" t="str">
        <f>IFERROR(__xludf.DUMMYFUNCTION("""COMPUTED_VALUE"""),"")</f>
        <v/>
      </c>
      <c r="X201" s="41" t="str">
        <f>IFERROR(__xludf.DUMMYFUNCTION("""COMPUTED_VALUE"""),"")</f>
        <v/>
      </c>
      <c r="Y201" s="41" t="str">
        <f>IFERROR(__xludf.DUMMYFUNCTION("""COMPUTED_VALUE"""),"")</f>
        <v/>
      </c>
      <c r="Z201" s="41" t="str">
        <f>IFERROR(__xludf.DUMMYFUNCTION("""COMPUTED_VALUE"""),"")</f>
        <v/>
      </c>
      <c r="AA201" s="41" t="str">
        <f>IFERROR(__xludf.DUMMYFUNCTION("""COMPUTED_VALUE"""),"")</f>
        <v/>
      </c>
      <c r="AB201" s="38" t="str">
        <f>IFERROR(__xludf.DUMMYFUNCTION("""COMPUTED_VALUE"""),"")</f>
        <v/>
      </c>
    </row>
    <row r="202">
      <c r="A202" s="41" t="str">
        <f>IFERROR(__xludf.DUMMYFUNCTION("""COMPUTED_VALUE"""),"Asp.net (c# and vb.net), angular")</f>
        <v>Asp.net (c# and vb.net), angular</v>
      </c>
      <c r="B202" s="42" t="s">
        <v>4251</v>
      </c>
      <c r="C202" s="41" t="s">
        <v>4252</v>
      </c>
      <c r="N202" s="38"/>
      <c r="P202" s="42" t="str">
        <f>IFERROR(__xludf.DUMMYFUNCTION("""COMPUTED_VALUE"""),"xcode")</f>
        <v>xcode</v>
      </c>
      <c r="Q202" s="41" t="str">
        <f>IFERROR(__xludf.DUMMYFUNCTION("""COMPUTED_VALUE"""),"apache")</f>
        <v>apache</v>
      </c>
      <c r="R202" s="41" t="str">
        <f>IFERROR(__xludf.DUMMYFUNCTION("""COMPUTED_VALUE"""),"django")</f>
        <v>django</v>
      </c>
      <c r="S202" s="41" t="str">
        <f>IFERROR(__xludf.DUMMYFUNCTION("""COMPUTED_VALUE"""),"")</f>
        <v/>
      </c>
      <c r="T202" s="41" t="str">
        <f>IFERROR(__xludf.DUMMYFUNCTION("""COMPUTED_VALUE"""),"")</f>
        <v/>
      </c>
      <c r="U202" s="41" t="str">
        <f>IFERROR(__xludf.DUMMYFUNCTION("""COMPUTED_VALUE"""),"")</f>
        <v/>
      </c>
      <c r="V202" s="41" t="str">
        <f>IFERROR(__xludf.DUMMYFUNCTION("""COMPUTED_VALUE"""),"")</f>
        <v/>
      </c>
      <c r="W202" s="41" t="str">
        <f>IFERROR(__xludf.DUMMYFUNCTION("""COMPUTED_VALUE"""),"")</f>
        <v/>
      </c>
      <c r="X202" s="41" t="str">
        <f>IFERROR(__xludf.DUMMYFUNCTION("""COMPUTED_VALUE"""),"")</f>
        <v/>
      </c>
      <c r="Y202" s="41" t="str">
        <f>IFERROR(__xludf.DUMMYFUNCTION("""COMPUTED_VALUE"""),"")</f>
        <v/>
      </c>
      <c r="Z202" s="41" t="str">
        <f>IFERROR(__xludf.DUMMYFUNCTION("""COMPUTED_VALUE"""),"")</f>
        <v/>
      </c>
      <c r="AA202" s="41" t="str">
        <f>IFERROR(__xludf.DUMMYFUNCTION("""COMPUTED_VALUE"""),"")</f>
        <v/>
      </c>
      <c r="AB202" s="38" t="str">
        <f>IFERROR(__xludf.DUMMYFUNCTION("""COMPUTED_VALUE"""),"")</f>
        <v/>
      </c>
    </row>
    <row r="203">
      <c r="A203" s="41" t="str">
        <f>IFERROR(__xludf.DUMMYFUNCTION("""COMPUTED_VALUE"""),".NET, jQuery, SQL Server, Oracle, Azure ")</f>
        <v>.NET, jQuery, SQL Server, Oracle, Azure </v>
      </c>
      <c r="B203" s="42" t="s">
        <v>163</v>
      </c>
      <c r="C203" s="41" t="s">
        <v>4253</v>
      </c>
      <c r="D203" s="41" t="s">
        <v>4254</v>
      </c>
      <c r="E203" s="41" t="s">
        <v>4255</v>
      </c>
      <c r="F203" s="41" t="s">
        <v>135</v>
      </c>
      <c r="N203" s="38"/>
      <c r="P203" s="42" t="str">
        <f>IFERROR(__xludf.DUMMYFUNCTION("""COMPUTED_VALUE"""),"python")</f>
        <v>python</v>
      </c>
      <c r="Q203" s="41" t="str">
        <f>IFERROR(__xludf.DUMMYFUNCTION("""COMPUTED_VALUE"""),"big")</f>
        <v>big</v>
      </c>
      <c r="R203" s="41" t="str">
        <f>IFERROR(__xludf.DUMMYFUNCTION("""COMPUTED_VALUE"""),"pyspark")</f>
        <v>pyspark</v>
      </c>
      <c r="S203" s="41" t="str">
        <f>IFERROR(__xludf.DUMMYFUNCTION("""COMPUTED_VALUE"""),"")</f>
        <v/>
      </c>
      <c r="T203" s="41" t="str">
        <f>IFERROR(__xludf.DUMMYFUNCTION("""COMPUTED_VALUE"""),"")</f>
        <v/>
      </c>
      <c r="U203" s="41" t="str">
        <f>IFERROR(__xludf.DUMMYFUNCTION("""COMPUTED_VALUE"""),"")</f>
        <v/>
      </c>
      <c r="V203" s="41" t="str">
        <f>IFERROR(__xludf.DUMMYFUNCTION("""COMPUTED_VALUE"""),"")</f>
        <v/>
      </c>
      <c r="W203" s="41" t="str">
        <f>IFERROR(__xludf.DUMMYFUNCTION("""COMPUTED_VALUE"""),"")</f>
        <v/>
      </c>
      <c r="X203" s="41" t="str">
        <f>IFERROR(__xludf.DUMMYFUNCTION("""COMPUTED_VALUE"""),"")</f>
        <v/>
      </c>
      <c r="Y203" s="41" t="str">
        <f>IFERROR(__xludf.DUMMYFUNCTION("""COMPUTED_VALUE"""),"")</f>
        <v/>
      </c>
      <c r="Z203" s="41" t="str">
        <f>IFERROR(__xludf.DUMMYFUNCTION("""COMPUTED_VALUE"""),"")</f>
        <v/>
      </c>
      <c r="AA203" s="41" t="str">
        <f>IFERROR(__xludf.DUMMYFUNCTION("""COMPUTED_VALUE"""),"")</f>
        <v/>
      </c>
      <c r="AB203" s="38" t="str">
        <f>IFERROR(__xludf.DUMMYFUNCTION("""COMPUTED_VALUE"""),"")</f>
        <v/>
      </c>
    </row>
    <row r="204">
      <c r="A204" s="41" t="str">
        <f>IFERROR(__xludf.DUMMYFUNCTION("""COMPUTED_VALUE"""),"PHP")</f>
        <v>PHP</v>
      </c>
      <c r="B204" s="42" t="s">
        <v>44</v>
      </c>
      <c r="N204" s="38"/>
      <c r="P204" s="42" t="str">
        <f>IFERROR(__xludf.DUMMYFUNCTION("""COMPUTED_VALUE"""),"kafka")</f>
        <v>kafka</v>
      </c>
      <c r="Q204" s="41" t="str">
        <f>IFERROR(__xludf.DUMMYFUNCTION("""COMPUTED_VALUE"""),"data")</f>
        <v>data</v>
      </c>
      <c r="R204" s="41" t="str">
        <f>IFERROR(__xludf.DUMMYFUNCTION("""COMPUTED_VALUE"""),"power")</f>
        <v>power</v>
      </c>
      <c r="S204" s="41" t="str">
        <f>IFERROR(__xludf.DUMMYFUNCTION("""COMPUTED_VALUE"""),"")</f>
        <v/>
      </c>
      <c r="T204" s="41" t="str">
        <f>IFERROR(__xludf.DUMMYFUNCTION("""COMPUTED_VALUE"""),"")</f>
        <v/>
      </c>
      <c r="U204" s="41" t="str">
        <f>IFERROR(__xludf.DUMMYFUNCTION("""COMPUTED_VALUE"""),"")</f>
        <v/>
      </c>
      <c r="V204" s="41" t="str">
        <f>IFERROR(__xludf.DUMMYFUNCTION("""COMPUTED_VALUE"""),"")</f>
        <v/>
      </c>
      <c r="W204" s="41" t="str">
        <f>IFERROR(__xludf.DUMMYFUNCTION("""COMPUTED_VALUE"""),"")</f>
        <v/>
      </c>
      <c r="X204" s="41" t="str">
        <f>IFERROR(__xludf.DUMMYFUNCTION("""COMPUTED_VALUE"""),"")</f>
        <v/>
      </c>
      <c r="Y204" s="41" t="str">
        <f>IFERROR(__xludf.DUMMYFUNCTION("""COMPUTED_VALUE"""),"")</f>
        <v/>
      </c>
      <c r="Z204" s="41" t="str">
        <f>IFERROR(__xludf.DUMMYFUNCTION("""COMPUTED_VALUE"""),"")</f>
        <v/>
      </c>
      <c r="AA204" s="41" t="str">
        <f>IFERROR(__xludf.DUMMYFUNCTION("""COMPUTED_VALUE"""),"")</f>
        <v/>
      </c>
      <c r="AB204" s="38" t="str">
        <f>IFERROR(__xludf.DUMMYFUNCTION("""COMPUTED_VALUE"""),"")</f>
        <v/>
      </c>
    </row>
    <row r="205">
      <c r="A205" s="41" t="str">
        <f>IFERROR(__xludf.DUMMYFUNCTION("""COMPUTED_VALUE"""),"React, Nodejs, Typescript, Graphql, Ros, PostgreSQL, mongoDb, three.js")</f>
        <v>React, Nodejs, Typescript, Graphql, Ros, PostgreSQL, mongoDb, three.js</v>
      </c>
      <c r="B205" s="42" t="s">
        <v>1979</v>
      </c>
      <c r="C205" s="41" t="s">
        <v>4102</v>
      </c>
      <c r="D205" s="41" t="s">
        <v>4052</v>
      </c>
      <c r="E205" s="41" t="s">
        <v>4256</v>
      </c>
      <c r="F205" s="41" t="s">
        <v>4257</v>
      </c>
      <c r="G205" s="41" t="s">
        <v>4134</v>
      </c>
      <c r="H205" s="41" t="s">
        <v>4258</v>
      </c>
      <c r="I205" s="41" t="s">
        <v>4259</v>
      </c>
      <c r="N205" s="38"/>
      <c r="P205" s="42" t="str">
        <f>IFERROR(__xludf.DUMMYFUNCTION("""COMPUTED_VALUE"""),"python")</f>
        <v>python</v>
      </c>
      <c r="Q205" s="41" t="str">
        <f>IFERROR(__xludf.DUMMYFUNCTION("""COMPUTED_VALUE"""),"stack")</f>
        <v>stack</v>
      </c>
      <c r="R205" s="41" t="str">
        <f>IFERROR(__xludf.DUMMYFUNCTION("""COMPUTED_VALUE"""),"bi")</f>
        <v>bi</v>
      </c>
      <c r="S205" s="41" t="str">
        <f>IFERROR(__xludf.DUMMYFUNCTION("""COMPUTED_VALUE"""),"")</f>
        <v/>
      </c>
      <c r="T205" s="41" t="str">
        <f>IFERROR(__xludf.DUMMYFUNCTION("""COMPUTED_VALUE"""),"")</f>
        <v/>
      </c>
      <c r="U205" s="41" t="str">
        <f>IFERROR(__xludf.DUMMYFUNCTION("""COMPUTED_VALUE"""),"")</f>
        <v/>
      </c>
      <c r="V205" s="41" t="str">
        <f>IFERROR(__xludf.DUMMYFUNCTION("""COMPUTED_VALUE"""),"")</f>
        <v/>
      </c>
      <c r="W205" s="41" t="str">
        <f>IFERROR(__xludf.DUMMYFUNCTION("""COMPUTED_VALUE"""),"")</f>
        <v/>
      </c>
      <c r="X205" s="41" t="str">
        <f>IFERROR(__xludf.DUMMYFUNCTION("""COMPUTED_VALUE"""),"")</f>
        <v/>
      </c>
      <c r="Y205" s="41" t="str">
        <f>IFERROR(__xludf.DUMMYFUNCTION("""COMPUTED_VALUE"""),"")</f>
        <v/>
      </c>
      <c r="Z205" s="41" t="str">
        <f>IFERROR(__xludf.DUMMYFUNCTION("""COMPUTED_VALUE"""),"")</f>
        <v/>
      </c>
      <c r="AA205" s="41" t="str">
        <f>IFERROR(__xludf.DUMMYFUNCTION("""COMPUTED_VALUE"""),"")</f>
        <v/>
      </c>
      <c r="AB205" s="38" t="str">
        <f>IFERROR(__xludf.DUMMYFUNCTION("""COMPUTED_VALUE"""),"")</f>
        <v/>
      </c>
    </row>
    <row r="206">
      <c r="A206" s="41" t="str">
        <f>IFERROR(__xludf.DUMMYFUNCTION("""COMPUTED_VALUE"""),"AWS, Github.")</f>
        <v>AWS, Github.</v>
      </c>
      <c r="B206" s="42" t="s">
        <v>1233</v>
      </c>
      <c r="C206" s="41" t="s">
        <v>4260</v>
      </c>
      <c r="N206" s="38"/>
      <c r="P206" s="42" t="str">
        <f>IFERROR(__xludf.DUMMYFUNCTION("""COMPUTED_VALUE"""),"nodejs")</f>
        <v>nodejs</v>
      </c>
      <c r="Q206" s="41" t="str">
        <f>IFERROR(__xludf.DUMMYFUNCTION("""COMPUTED_VALUE"""),"sitecore")</f>
        <v>sitecore</v>
      </c>
      <c r="R206" s="41" t="str">
        <f>IFERROR(__xludf.DUMMYFUNCTION("""COMPUTED_VALUE"""),"redux")</f>
        <v>redux</v>
      </c>
      <c r="S206" s="41" t="str">
        <f>IFERROR(__xludf.DUMMYFUNCTION("""COMPUTED_VALUE"""),"")</f>
        <v/>
      </c>
      <c r="T206" s="41" t="str">
        <f>IFERROR(__xludf.DUMMYFUNCTION("""COMPUTED_VALUE"""),"")</f>
        <v/>
      </c>
      <c r="U206" s="41" t="str">
        <f>IFERROR(__xludf.DUMMYFUNCTION("""COMPUTED_VALUE"""),"")</f>
        <v/>
      </c>
      <c r="V206" s="41" t="str">
        <f>IFERROR(__xludf.DUMMYFUNCTION("""COMPUTED_VALUE"""),"")</f>
        <v/>
      </c>
      <c r="W206" s="41" t="str">
        <f>IFERROR(__xludf.DUMMYFUNCTION("""COMPUTED_VALUE"""),"")</f>
        <v/>
      </c>
      <c r="X206" s="41" t="str">
        <f>IFERROR(__xludf.DUMMYFUNCTION("""COMPUTED_VALUE"""),"")</f>
        <v/>
      </c>
      <c r="Y206" s="41" t="str">
        <f>IFERROR(__xludf.DUMMYFUNCTION("""COMPUTED_VALUE"""),"")</f>
        <v/>
      </c>
      <c r="Z206" s="41" t="str">
        <f>IFERROR(__xludf.DUMMYFUNCTION("""COMPUTED_VALUE"""),"")</f>
        <v/>
      </c>
      <c r="AA206" s="41" t="str">
        <f>IFERROR(__xludf.DUMMYFUNCTION("""COMPUTED_VALUE"""),"")</f>
        <v/>
      </c>
      <c r="AB206" s="38" t="str">
        <f>IFERROR(__xludf.DUMMYFUNCTION("""COMPUTED_VALUE"""),"")</f>
        <v/>
      </c>
    </row>
    <row r="207">
      <c r="A207" s="41" t="str">
        <f>IFERROR(__xludf.DUMMYFUNCTION("""COMPUTED_VALUE"""),"PHP Laravel")</f>
        <v>PHP Laravel</v>
      </c>
      <c r="B207" s="42" t="s">
        <v>1164</v>
      </c>
      <c r="N207" s="38"/>
      <c r="P207" s="42" t="str">
        <f>IFERROR(__xludf.DUMMYFUNCTION("""COMPUTED_VALUE"""),".net")</f>
        <v>.net</v>
      </c>
      <c r="Q207" s="41" t="str">
        <f>IFERROR(__xludf.DUMMYFUNCTION("""COMPUTED_VALUE"""),"c#")</f>
        <v>c#</v>
      </c>
      <c r="R207" s="41" t="str">
        <f>IFERROR(__xludf.DUMMYFUNCTION("""COMPUTED_VALUE"""),"sql")</f>
        <v>sql</v>
      </c>
      <c r="S207" s="41" t="str">
        <f>IFERROR(__xludf.DUMMYFUNCTION("""COMPUTED_VALUE"""),"")</f>
        <v/>
      </c>
      <c r="T207" s="41" t="str">
        <f>IFERROR(__xludf.DUMMYFUNCTION("""COMPUTED_VALUE"""),"")</f>
        <v/>
      </c>
      <c r="U207" s="41" t="str">
        <f>IFERROR(__xludf.DUMMYFUNCTION("""COMPUTED_VALUE"""),"")</f>
        <v/>
      </c>
      <c r="V207" s="41" t="str">
        <f>IFERROR(__xludf.DUMMYFUNCTION("""COMPUTED_VALUE"""),"")</f>
        <v/>
      </c>
      <c r="W207" s="41" t="str">
        <f>IFERROR(__xludf.DUMMYFUNCTION("""COMPUTED_VALUE"""),"")</f>
        <v/>
      </c>
      <c r="X207" s="41" t="str">
        <f>IFERROR(__xludf.DUMMYFUNCTION("""COMPUTED_VALUE"""),"")</f>
        <v/>
      </c>
      <c r="Y207" s="41" t="str">
        <f>IFERROR(__xludf.DUMMYFUNCTION("""COMPUTED_VALUE"""),"")</f>
        <v/>
      </c>
      <c r="Z207" s="41" t="str">
        <f>IFERROR(__xludf.DUMMYFUNCTION("""COMPUTED_VALUE"""),"")</f>
        <v/>
      </c>
      <c r="AA207" s="41" t="str">
        <f>IFERROR(__xludf.DUMMYFUNCTION("""COMPUTED_VALUE"""),"")</f>
        <v/>
      </c>
      <c r="AB207" s="38" t="str">
        <f>IFERROR(__xludf.DUMMYFUNCTION("""COMPUTED_VALUE"""),"")</f>
        <v/>
      </c>
    </row>
    <row r="208">
      <c r="A208" s="41" t="str">
        <f>IFERROR(__xludf.DUMMYFUNCTION("""COMPUTED_VALUE"""),"PHP, Laravel, MySQL, jQuery")</f>
        <v>PHP, Laravel, MySQL, jQuery</v>
      </c>
      <c r="B208" s="42" t="s">
        <v>44</v>
      </c>
      <c r="C208" s="41" t="s">
        <v>103</v>
      </c>
      <c r="D208" s="41" t="s">
        <v>4244</v>
      </c>
      <c r="E208" s="41" t="s">
        <v>4253</v>
      </c>
      <c r="N208" s="38"/>
      <c r="P208" s="42" t="str">
        <f>IFERROR(__xludf.DUMMYFUNCTION("""COMPUTED_VALUE"""),"core")</f>
        <v>core</v>
      </c>
      <c r="Q208" s="41" t="str">
        <f>IFERROR(__xludf.DUMMYFUNCTION("""COMPUTED_VALUE"""),"mssql")</f>
        <v>mssql</v>
      </c>
      <c r="R208" s="41" t="str">
        <f>IFERROR(__xludf.DUMMYFUNCTION("""COMPUTED_VALUE"""),"python")</f>
        <v>python</v>
      </c>
      <c r="S208" s="41" t="str">
        <f>IFERROR(__xludf.DUMMYFUNCTION("""COMPUTED_VALUE"""),"")</f>
        <v/>
      </c>
      <c r="T208" s="41" t="str">
        <f>IFERROR(__xludf.DUMMYFUNCTION("""COMPUTED_VALUE"""),"")</f>
        <v/>
      </c>
      <c r="U208" s="41" t="str">
        <f>IFERROR(__xludf.DUMMYFUNCTION("""COMPUTED_VALUE"""),"")</f>
        <v/>
      </c>
      <c r="V208" s="41" t="str">
        <f>IFERROR(__xludf.DUMMYFUNCTION("""COMPUTED_VALUE"""),"")</f>
        <v/>
      </c>
      <c r="W208" s="41" t="str">
        <f>IFERROR(__xludf.DUMMYFUNCTION("""COMPUTED_VALUE"""),"")</f>
        <v/>
      </c>
      <c r="X208" s="41" t="str">
        <f>IFERROR(__xludf.DUMMYFUNCTION("""COMPUTED_VALUE"""),"")</f>
        <v/>
      </c>
      <c r="Y208" s="41" t="str">
        <f>IFERROR(__xludf.DUMMYFUNCTION("""COMPUTED_VALUE"""),"")</f>
        <v/>
      </c>
      <c r="Z208" s="41" t="str">
        <f>IFERROR(__xludf.DUMMYFUNCTION("""COMPUTED_VALUE"""),"")</f>
        <v/>
      </c>
      <c r="AA208" s="41" t="str">
        <f>IFERROR(__xludf.DUMMYFUNCTION("""COMPUTED_VALUE"""),"")</f>
        <v/>
      </c>
      <c r="AB208" s="38" t="str">
        <f>IFERROR(__xludf.DUMMYFUNCTION("""COMPUTED_VALUE"""),"")</f>
        <v/>
      </c>
    </row>
    <row r="209">
      <c r="A209" s="41" t="str">
        <f>IFERROR(__xludf.DUMMYFUNCTION("""COMPUTED_VALUE"""),"Java, Cloud, ReactJS, Angular")</f>
        <v>Java, Cloud, ReactJS, Angular</v>
      </c>
      <c r="B209" s="42" t="s">
        <v>224</v>
      </c>
      <c r="C209" s="41" t="s">
        <v>1245</v>
      </c>
      <c r="D209" s="41" t="s">
        <v>4245</v>
      </c>
      <c r="E209" s="41" t="s">
        <v>704</v>
      </c>
      <c r="N209" s="38"/>
      <c r="P209" s="42" t="str">
        <f>IFERROR(__xludf.DUMMYFUNCTION("""COMPUTED_VALUE"""),"javascript")</f>
        <v>javascript</v>
      </c>
      <c r="Q209" s="41" t="str">
        <f>IFERROR(__xludf.DUMMYFUNCTION("""COMPUTED_VALUE"""),"blockchain")</f>
        <v>blockchain</v>
      </c>
      <c r="R209" s="41" t="str">
        <f>IFERROR(__xludf.DUMMYFUNCTION("""COMPUTED_VALUE"""),"ruby")</f>
        <v>ruby</v>
      </c>
      <c r="S209" s="41" t="str">
        <f>IFERROR(__xludf.DUMMYFUNCTION("""COMPUTED_VALUE"""),"")</f>
        <v/>
      </c>
      <c r="T209" s="41" t="str">
        <f>IFERROR(__xludf.DUMMYFUNCTION("""COMPUTED_VALUE"""),"")</f>
        <v/>
      </c>
      <c r="U209" s="41" t="str">
        <f>IFERROR(__xludf.DUMMYFUNCTION("""COMPUTED_VALUE"""),"")</f>
        <v/>
      </c>
      <c r="V209" s="41" t="str">
        <f>IFERROR(__xludf.DUMMYFUNCTION("""COMPUTED_VALUE"""),"")</f>
        <v/>
      </c>
      <c r="W209" s="41" t="str">
        <f>IFERROR(__xludf.DUMMYFUNCTION("""COMPUTED_VALUE"""),"")</f>
        <v/>
      </c>
      <c r="X209" s="41" t="str">
        <f>IFERROR(__xludf.DUMMYFUNCTION("""COMPUTED_VALUE"""),"")</f>
        <v/>
      </c>
      <c r="Y209" s="41" t="str">
        <f>IFERROR(__xludf.DUMMYFUNCTION("""COMPUTED_VALUE"""),"")</f>
        <v/>
      </c>
      <c r="Z209" s="41" t="str">
        <f>IFERROR(__xludf.DUMMYFUNCTION("""COMPUTED_VALUE"""),"")</f>
        <v/>
      </c>
      <c r="AA209" s="41" t="str">
        <f>IFERROR(__xludf.DUMMYFUNCTION("""COMPUTED_VALUE"""),"")</f>
        <v/>
      </c>
      <c r="AB209" s="38" t="str">
        <f>IFERROR(__xludf.DUMMYFUNCTION("""COMPUTED_VALUE"""),"")</f>
        <v/>
      </c>
    </row>
    <row r="210">
      <c r="A210" s="41" t="str">
        <f>IFERROR(__xludf.DUMMYFUNCTION("""COMPUTED_VALUE"""),"PHP")</f>
        <v>PHP</v>
      </c>
      <c r="B210" s="42" t="s">
        <v>44</v>
      </c>
      <c r="N210" s="38"/>
      <c r="P210" s="42" t="str">
        <f>IFERROR(__xludf.DUMMYFUNCTION("""COMPUTED_VALUE"""),"cloud")</f>
        <v>cloud</v>
      </c>
      <c r="Q210" s="41" t="str">
        <f>IFERROR(__xludf.DUMMYFUNCTION("""COMPUTED_VALUE"""),"laravel")</f>
        <v>laravel</v>
      </c>
      <c r="R210" s="41" t="str">
        <f>IFERROR(__xludf.DUMMYFUNCTION("""COMPUTED_VALUE"""),"mysql")</f>
        <v>mysql</v>
      </c>
      <c r="S210" s="41" t="str">
        <f>IFERROR(__xludf.DUMMYFUNCTION("""COMPUTED_VALUE"""),"")</f>
        <v/>
      </c>
      <c r="T210" s="41" t="str">
        <f>IFERROR(__xludf.DUMMYFUNCTION("""COMPUTED_VALUE"""),"")</f>
        <v/>
      </c>
      <c r="U210" s="41" t="str">
        <f>IFERROR(__xludf.DUMMYFUNCTION("""COMPUTED_VALUE"""),"")</f>
        <v/>
      </c>
      <c r="V210" s="41" t="str">
        <f>IFERROR(__xludf.DUMMYFUNCTION("""COMPUTED_VALUE"""),"")</f>
        <v/>
      </c>
      <c r="W210" s="41" t="str">
        <f>IFERROR(__xludf.DUMMYFUNCTION("""COMPUTED_VALUE"""),"")</f>
        <v/>
      </c>
      <c r="X210" s="41" t="str">
        <f>IFERROR(__xludf.DUMMYFUNCTION("""COMPUTED_VALUE"""),"")</f>
        <v/>
      </c>
      <c r="Y210" s="41" t="str">
        <f>IFERROR(__xludf.DUMMYFUNCTION("""COMPUTED_VALUE"""),"")</f>
        <v/>
      </c>
      <c r="Z210" s="41" t="str">
        <f>IFERROR(__xludf.DUMMYFUNCTION("""COMPUTED_VALUE"""),"")</f>
        <v/>
      </c>
      <c r="AA210" s="41" t="str">
        <f>IFERROR(__xludf.DUMMYFUNCTION("""COMPUTED_VALUE"""),"")</f>
        <v/>
      </c>
      <c r="AB210" s="38" t="str">
        <f>IFERROR(__xludf.DUMMYFUNCTION("""COMPUTED_VALUE"""),"")</f>
        <v/>
      </c>
    </row>
    <row r="211">
      <c r="A211" s="41" t="str">
        <f>IFERROR(__xludf.DUMMYFUNCTION("""COMPUTED_VALUE"""),"javascript")</f>
        <v>javascript</v>
      </c>
      <c r="B211" s="42" t="s">
        <v>740</v>
      </c>
      <c r="N211" s="38"/>
      <c r="P211" s="42" t="str">
        <f>IFERROR(__xludf.DUMMYFUNCTION("""COMPUTED_VALUE"""),"react.js")</f>
        <v>react.js</v>
      </c>
      <c r="Q211" s="41" t="str">
        <f>IFERROR(__xludf.DUMMYFUNCTION("""COMPUTED_VALUE"""),"nextjs")</f>
        <v>nextjs</v>
      </c>
      <c r="R211" s="41" t="str">
        <f>IFERROR(__xludf.DUMMYFUNCTION("""COMPUTED_VALUE"""),"mircrosoft")</f>
        <v>mircrosoft</v>
      </c>
      <c r="S211" s="41" t="str">
        <f>IFERROR(__xludf.DUMMYFUNCTION("""COMPUTED_VALUE"""),"")</f>
        <v/>
      </c>
      <c r="T211" s="41" t="str">
        <f>IFERROR(__xludf.DUMMYFUNCTION("""COMPUTED_VALUE"""),"")</f>
        <v/>
      </c>
      <c r="U211" s="41" t="str">
        <f>IFERROR(__xludf.DUMMYFUNCTION("""COMPUTED_VALUE"""),"")</f>
        <v/>
      </c>
      <c r="V211" s="41" t="str">
        <f>IFERROR(__xludf.DUMMYFUNCTION("""COMPUTED_VALUE"""),"")</f>
        <v/>
      </c>
      <c r="W211" s="41" t="str">
        <f>IFERROR(__xludf.DUMMYFUNCTION("""COMPUTED_VALUE"""),"")</f>
        <v/>
      </c>
      <c r="X211" s="41" t="str">
        <f>IFERROR(__xludf.DUMMYFUNCTION("""COMPUTED_VALUE"""),"")</f>
        <v/>
      </c>
      <c r="Y211" s="41" t="str">
        <f>IFERROR(__xludf.DUMMYFUNCTION("""COMPUTED_VALUE"""),"")</f>
        <v/>
      </c>
      <c r="Z211" s="41" t="str">
        <f>IFERROR(__xludf.DUMMYFUNCTION("""COMPUTED_VALUE"""),"")</f>
        <v/>
      </c>
      <c r="AA211" s="41" t="str">
        <f>IFERROR(__xludf.DUMMYFUNCTION("""COMPUTED_VALUE"""),"")</f>
        <v/>
      </c>
      <c r="AB211" s="38" t="str">
        <f>IFERROR(__xludf.DUMMYFUNCTION("""COMPUTED_VALUE"""),"")</f>
        <v/>
      </c>
    </row>
    <row r="212">
      <c r="A212" s="41" t="str">
        <f>IFERROR(__xludf.DUMMYFUNCTION("""COMPUTED_VALUE"""),"Java")</f>
        <v>Java</v>
      </c>
      <c r="B212" s="42" t="s">
        <v>224</v>
      </c>
      <c r="N212" s="38"/>
      <c r="P212" s="42" t="str">
        <f>IFERROR(__xludf.DUMMYFUNCTION("""COMPUTED_VALUE"""),"+")</f>
        <v>+</v>
      </c>
      <c r="Q212" s="41" t="str">
        <f>IFERROR(__xludf.DUMMYFUNCTION("""COMPUTED_VALUE"""),"graphql")</f>
        <v>graphql</v>
      </c>
      <c r="R212" s="41" t="str">
        <f>IFERROR(__xludf.DUMMYFUNCTION("""COMPUTED_VALUE"""),"office")</f>
        <v>office</v>
      </c>
      <c r="S212" s="41" t="str">
        <f>IFERROR(__xludf.DUMMYFUNCTION("""COMPUTED_VALUE"""),"")</f>
        <v/>
      </c>
      <c r="T212" s="41" t="str">
        <f>IFERROR(__xludf.DUMMYFUNCTION("""COMPUTED_VALUE"""),"")</f>
        <v/>
      </c>
      <c r="U212" s="41" t="str">
        <f>IFERROR(__xludf.DUMMYFUNCTION("""COMPUTED_VALUE"""),"")</f>
        <v/>
      </c>
      <c r="V212" s="41" t="str">
        <f>IFERROR(__xludf.DUMMYFUNCTION("""COMPUTED_VALUE"""),"")</f>
        <v/>
      </c>
      <c r="W212" s="41" t="str">
        <f>IFERROR(__xludf.DUMMYFUNCTION("""COMPUTED_VALUE"""),"")</f>
        <v/>
      </c>
      <c r="X212" s="41" t="str">
        <f>IFERROR(__xludf.DUMMYFUNCTION("""COMPUTED_VALUE"""),"")</f>
        <v/>
      </c>
      <c r="Y212" s="41" t="str">
        <f>IFERROR(__xludf.DUMMYFUNCTION("""COMPUTED_VALUE"""),"")</f>
        <v/>
      </c>
      <c r="Z212" s="41" t="str">
        <f>IFERROR(__xludf.DUMMYFUNCTION("""COMPUTED_VALUE"""),"")</f>
        <v/>
      </c>
      <c r="AA212" s="41" t="str">
        <f>IFERROR(__xludf.DUMMYFUNCTION("""COMPUTED_VALUE"""),"")</f>
        <v/>
      </c>
      <c r="AB212" s="38" t="str">
        <f>IFERROR(__xludf.DUMMYFUNCTION("""COMPUTED_VALUE"""),"")</f>
        <v/>
      </c>
    </row>
    <row r="213">
      <c r="A213" s="41" t="str">
        <f>IFERROR(__xludf.DUMMYFUNCTION("""COMPUTED_VALUE"""),"Javascript React")</f>
        <v>Javascript React</v>
      </c>
      <c r="B213" s="42" t="s">
        <v>1624</v>
      </c>
      <c r="N213" s="38"/>
      <c r="P213" s="42" t="str">
        <f>IFERROR(__xludf.DUMMYFUNCTION("""COMPUTED_VALUE"""),"typescript")</f>
        <v>typescript</v>
      </c>
      <c r="Q213" s="41" t="str">
        <f>IFERROR(__xludf.DUMMYFUNCTION("""COMPUTED_VALUE"""),"php")</f>
        <v>php</v>
      </c>
      <c r="R213" s="41" t="str">
        <f>IFERROR(__xludf.DUMMYFUNCTION("""COMPUTED_VALUE"""),"keyboard")</f>
        <v>keyboard</v>
      </c>
      <c r="S213" s="41" t="str">
        <f>IFERROR(__xludf.DUMMYFUNCTION("""COMPUTED_VALUE"""),"")</f>
        <v/>
      </c>
      <c r="T213" s="41" t="str">
        <f>IFERROR(__xludf.DUMMYFUNCTION("""COMPUTED_VALUE"""),"")</f>
        <v/>
      </c>
      <c r="U213" s="41" t="str">
        <f>IFERROR(__xludf.DUMMYFUNCTION("""COMPUTED_VALUE"""),"")</f>
        <v/>
      </c>
      <c r="V213" s="41" t="str">
        <f>IFERROR(__xludf.DUMMYFUNCTION("""COMPUTED_VALUE"""),"")</f>
        <v/>
      </c>
      <c r="W213" s="41" t="str">
        <f>IFERROR(__xludf.DUMMYFUNCTION("""COMPUTED_VALUE"""),"")</f>
        <v/>
      </c>
      <c r="X213" s="41" t="str">
        <f>IFERROR(__xludf.DUMMYFUNCTION("""COMPUTED_VALUE"""),"")</f>
        <v/>
      </c>
      <c r="Y213" s="41" t="str">
        <f>IFERROR(__xludf.DUMMYFUNCTION("""COMPUTED_VALUE"""),"")</f>
        <v/>
      </c>
      <c r="Z213" s="41" t="str">
        <f>IFERROR(__xludf.DUMMYFUNCTION("""COMPUTED_VALUE"""),"")</f>
        <v/>
      </c>
      <c r="AA213" s="41" t="str">
        <f>IFERROR(__xludf.DUMMYFUNCTION("""COMPUTED_VALUE"""),"")</f>
        <v/>
      </c>
      <c r="AB213" s="38" t="str">
        <f>IFERROR(__xludf.DUMMYFUNCTION("""COMPUTED_VALUE"""),"")</f>
        <v/>
      </c>
    </row>
    <row r="214">
      <c r="A214" s="41" t="str">
        <f>IFERROR(__xludf.DUMMYFUNCTION("""COMPUTED_VALUE"""),".NET web development, Spotfire, SQL, Workbench")</f>
        <v>.NET web development, Spotfire, SQL, Workbench</v>
      </c>
      <c r="B214" s="42" t="s">
        <v>4261</v>
      </c>
      <c r="C214" s="41" t="s">
        <v>4262</v>
      </c>
      <c r="D214" s="41" t="s">
        <v>2094</v>
      </c>
      <c r="E214" s="41" t="s">
        <v>4263</v>
      </c>
      <c r="N214" s="38"/>
      <c r="P214" s="42" t="str">
        <f>IFERROR(__xludf.DUMMYFUNCTION("""COMPUTED_VALUE"""),"swift")</f>
        <v>swift</v>
      </c>
      <c r="Q214" s="41" t="str">
        <f>IFERROR(__xludf.DUMMYFUNCTION("""COMPUTED_VALUE"""),"node")</f>
        <v>node</v>
      </c>
      <c r="R214" s="41" t="str">
        <f>IFERROR(__xludf.DUMMYFUNCTION("""COMPUTED_VALUE"""),"javascript")</f>
        <v>javascript</v>
      </c>
      <c r="S214" s="41" t="str">
        <f>IFERROR(__xludf.DUMMYFUNCTION("""COMPUTED_VALUE"""),"")</f>
        <v/>
      </c>
      <c r="T214" s="41" t="str">
        <f>IFERROR(__xludf.DUMMYFUNCTION("""COMPUTED_VALUE"""),"")</f>
        <v/>
      </c>
      <c r="U214" s="41" t="str">
        <f>IFERROR(__xludf.DUMMYFUNCTION("""COMPUTED_VALUE"""),"")</f>
        <v/>
      </c>
      <c r="V214" s="41" t="str">
        <f>IFERROR(__xludf.DUMMYFUNCTION("""COMPUTED_VALUE"""),"")</f>
        <v/>
      </c>
      <c r="W214" s="41" t="str">
        <f>IFERROR(__xludf.DUMMYFUNCTION("""COMPUTED_VALUE"""),"")</f>
        <v/>
      </c>
      <c r="X214" s="41" t="str">
        <f>IFERROR(__xludf.DUMMYFUNCTION("""COMPUTED_VALUE"""),"")</f>
        <v/>
      </c>
      <c r="Y214" s="41" t="str">
        <f>IFERROR(__xludf.DUMMYFUNCTION("""COMPUTED_VALUE"""),"")</f>
        <v/>
      </c>
      <c r="Z214" s="41" t="str">
        <f>IFERROR(__xludf.DUMMYFUNCTION("""COMPUTED_VALUE"""),"")</f>
        <v/>
      </c>
      <c r="AA214" s="41" t="str">
        <f>IFERROR(__xludf.DUMMYFUNCTION("""COMPUTED_VALUE"""),"")</f>
        <v/>
      </c>
      <c r="AB214" s="38" t="str">
        <f>IFERROR(__xludf.DUMMYFUNCTION("""COMPUTED_VALUE"""),"")</f>
        <v/>
      </c>
    </row>
    <row r="215">
      <c r="A215" s="41" t="str">
        <f>IFERROR(__xludf.DUMMYFUNCTION("""COMPUTED_VALUE"""),"Laravel")</f>
        <v>Laravel</v>
      </c>
      <c r="B215" s="42" t="s">
        <v>103</v>
      </c>
      <c r="N215" s="38"/>
      <c r="P215" s="42" t="str">
        <f>IFERROR(__xludf.DUMMYFUNCTION("""COMPUTED_VALUE"""),"java")</f>
        <v>java</v>
      </c>
      <c r="Q215" s="41" t="str">
        <f>IFERROR(__xludf.DUMMYFUNCTION("""COMPUTED_VALUE"""),"html")</f>
        <v>html</v>
      </c>
      <c r="R215" s="41" t="str">
        <f>IFERROR(__xludf.DUMMYFUNCTION("""COMPUTED_VALUE"""),"terraform")</f>
        <v>terraform</v>
      </c>
      <c r="S215" s="41" t="str">
        <f>IFERROR(__xludf.DUMMYFUNCTION("""COMPUTED_VALUE"""),"")</f>
        <v/>
      </c>
      <c r="T215" s="41" t="str">
        <f>IFERROR(__xludf.DUMMYFUNCTION("""COMPUTED_VALUE"""),"")</f>
        <v/>
      </c>
      <c r="U215" s="41" t="str">
        <f>IFERROR(__xludf.DUMMYFUNCTION("""COMPUTED_VALUE"""),"")</f>
        <v/>
      </c>
      <c r="V215" s="41" t="str">
        <f>IFERROR(__xludf.DUMMYFUNCTION("""COMPUTED_VALUE"""),"")</f>
        <v/>
      </c>
      <c r="W215" s="41" t="str">
        <f>IFERROR(__xludf.DUMMYFUNCTION("""COMPUTED_VALUE"""),"")</f>
        <v/>
      </c>
      <c r="X215" s="41" t="str">
        <f>IFERROR(__xludf.DUMMYFUNCTION("""COMPUTED_VALUE"""),"")</f>
        <v/>
      </c>
      <c r="Y215" s="41" t="str">
        <f>IFERROR(__xludf.DUMMYFUNCTION("""COMPUTED_VALUE"""),"")</f>
        <v/>
      </c>
      <c r="Z215" s="41" t="str">
        <f>IFERROR(__xludf.DUMMYFUNCTION("""COMPUTED_VALUE"""),"")</f>
        <v/>
      </c>
      <c r="AA215" s="41" t="str">
        <f>IFERROR(__xludf.DUMMYFUNCTION("""COMPUTED_VALUE"""),"")</f>
        <v/>
      </c>
      <c r="AB215" s="38" t="str">
        <f>IFERROR(__xludf.DUMMYFUNCTION("""COMPUTED_VALUE"""),"")</f>
        <v/>
      </c>
    </row>
    <row r="216">
      <c r="A216" s="41" t="str">
        <f>IFERROR(__xludf.DUMMYFUNCTION("""COMPUTED_VALUE"""),"Laptop")</f>
        <v>Laptop</v>
      </c>
      <c r="B216" s="42" t="s">
        <v>87</v>
      </c>
      <c r="N216" s="38"/>
      <c r="P216" s="42" t="str">
        <f>IFERROR(__xludf.DUMMYFUNCTION("""COMPUTED_VALUE"""),"golang")</f>
        <v>golang</v>
      </c>
      <c r="Q216" s="41" t="str">
        <f>IFERROR(__xludf.DUMMYFUNCTION("""COMPUTED_VALUE"""),"php")</f>
        <v>php</v>
      </c>
      <c r="R216" s="41" t="str">
        <f>IFERROR(__xludf.DUMMYFUNCTION("""COMPUTED_VALUE"""),"bamboo")</f>
        <v>bamboo</v>
      </c>
      <c r="S216" s="41" t="str">
        <f>IFERROR(__xludf.DUMMYFUNCTION("""COMPUTED_VALUE"""),"")</f>
        <v/>
      </c>
      <c r="T216" s="41" t="str">
        <f>IFERROR(__xludf.DUMMYFUNCTION("""COMPUTED_VALUE"""),"")</f>
        <v/>
      </c>
      <c r="U216" s="41" t="str">
        <f>IFERROR(__xludf.DUMMYFUNCTION("""COMPUTED_VALUE"""),"")</f>
        <v/>
      </c>
      <c r="V216" s="41" t="str">
        <f>IFERROR(__xludf.DUMMYFUNCTION("""COMPUTED_VALUE"""),"")</f>
        <v/>
      </c>
      <c r="W216" s="41" t="str">
        <f>IFERROR(__xludf.DUMMYFUNCTION("""COMPUTED_VALUE"""),"")</f>
        <v/>
      </c>
      <c r="X216" s="41" t="str">
        <f>IFERROR(__xludf.DUMMYFUNCTION("""COMPUTED_VALUE"""),"")</f>
        <v/>
      </c>
      <c r="Y216" s="41" t="str">
        <f>IFERROR(__xludf.DUMMYFUNCTION("""COMPUTED_VALUE"""),"")</f>
        <v/>
      </c>
      <c r="Z216" s="41" t="str">
        <f>IFERROR(__xludf.DUMMYFUNCTION("""COMPUTED_VALUE"""),"")</f>
        <v/>
      </c>
      <c r="AA216" s="41" t="str">
        <f>IFERROR(__xludf.DUMMYFUNCTION("""COMPUTED_VALUE"""),"")</f>
        <v/>
      </c>
      <c r="AB216" s="38" t="str">
        <f>IFERROR(__xludf.DUMMYFUNCTION("""COMPUTED_VALUE"""),"")</f>
        <v/>
      </c>
    </row>
    <row r="217">
      <c r="A217" s="41" t="str">
        <f>IFERROR(__xludf.DUMMYFUNCTION("""COMPUTED_VALUE"""),"Web, Laravel, React")</f>
        <v>Web, Laravel, React</v>
      </c>
      <c r="B217" s="42" t="s">
        <v>4228</v>
      </c>
      <c r="C217" s="41" t="s">
        <v>103</v>
      </c>
      <c r="D217" s="41" t="s">
        <v>1979</v>
      </c>
      <c r="N217" s="38"/>
      <c r="P217" s="42" t="str">
        <f>IFERROR(__xludf.DUMMYFUNCTION("""COMPUTED_VALUE"""),"android")</f>
        <v>android</v>
      </c>
      <c r="Q217" s="41" t="str">
        <f>IFERROR(__xludf.DUMMYFUNCTION("""COMPUTED_VALUE"""),"rescript")</f>
        <v>rescript</v>
      </c>
      <c r="R217" s="41" t="str">
        <f>IFERROR(__xludf.DUMMYFUNCTION("""COMPUTED_VALUE"""),"flutter")</f>
        <v>flutter</v>
      </c>
      <c r="S217" s="41" t="str">
        <f>IFERROR(__xludf.DUMMYFUNCTION("""COMPUTED_VALUE"""),"")</f>
        <v/>
      </c>
      <c r="T217" s="41" t="str">
        <f>IFERROR(__xludf.DUMMYFUNCTION("""COMPUTED_VALUE"""),"")</f>
        <v/>
      </c>
      <c r="U217" s="41" t="str">
        <f>IFERROR(__xludf.DUMMYFUNCTION("""COMPUTED_VALUE"""),"")</f>
        <v/>
      </c>
      <c r="V217" s="41" t="str">
        <f>IFERROR(__xludf.DUMMYFUNCTION("""COMPUTED_VALUE"""),"")</f>
        <v/>
      </c>
      <c r="W217" s="41" t="str">
        <f>IFERROR(__xludf.DUMMYFUNCTION("""COMPUTED_VALUE"""),"")</f>
        <v/>
      </c>
      <c r="X217" s="41" t="str">
        <f>IFERROR(__xludf.DUMMYFUNCTION("""COMPUTED_VALUE"""),"")</f>
        <v/>
      </c>
      <c r="Y217" s="41" t="str">
        <f>IFERROR(__xludf.DUMMYFUNCTION("""COMPUTED_VALUE"""),"")</f>
        <v/>
      </c>
      <c r="Z217" s="41" t="str">
        <f>IFERROR(__xludf.DUMMYFUNCTION("""COMPUTED_VALUE"""),"")</f>
        <v/>
      </c>
      <c r="AA217" s="41" t="str">
        <f>IFERROR(__xludf.DUMMYFUNCTION("""COMPUTED_VALUE"""),"")</f>
        <v/>
      </c>
      <c r="AB217" s="38" t="str">
        <f>IFERROR(__xludf.DUMMYFUNCTION("""COMPUTED_VALUE"""),"")</f>
        <v/>
      </c>
    </row>
    <row r="218">
      <c r="A218" s="41" t="str">
        <f>IFERROR(__xludf.DUMMYFUNCTION("""COMPUTED_VALUE""")," Jira, Bitbucket, Deploybot, ")</f>
        <v> Jira, Bitbucket, Deploybot, </v>
      </c>
      <c r="B218" s="42" t="s">
        <v>4264</v>
      </c>
      <c r="C218" s="41" t="s">
        <v>4265</v>
      </c>
      <c r="D218" s="41" t="s">
        <v>4266</v>
      </c>
      <c r="E218" s="41" t="s">
        <v>839</v>
      </c>
      <c r="N218" s="38"/>
      <c r="P218" s="42" t="str">
        <f>IFERROR(__xludf.DUMMYFUNCTION("""COMPUTED_VALUE"""),"studio")</f>
        <v>studio</v>
      </c>
      <c r="Q218" s="41" t="str">
        <f>IFERROR(__xludf.DUMMYFUNCTION("""COMPUTED_VALUE"""),"sql")</f>
        <v>sql</v>
      </c>
      <c r="R218" s="41" t="str">
        <f>IFERROR(__xludf.DUMMYFUNCTION("""COMPUTED_VALUE"""),"docker")</f>
        <v>docker</v>
      </c>
      <c r="S218" s="41" t="str">
        <f>IFERROR(__xludf.DUMMYFUNCTION("""COMPUTED_VALUE"""),"")</f>
        <v/>
      </c>
      <c r="T218" s="41" t="str">
        <f>IFERROR(__xludf.DUMMYFUNCTION("""COMPUTED_VALUE"""),"")</f>
        <v/>
      </c>
      <c r="U218" s="41" t="str">
        <f>IFERROR(__xludf.DUMMYFUNCTION("""COMPUTED_VALUE"""),"")</f>
        <v/>
      </c>
      <c r="V218" s="41" t="str">
        <f>IFERROR(__xludf.DUMMYFUNCTION("""COMPUTED_VALUE"""),"")</f>
        <v/>
      </c>
      <c r="W218" s="41" t="str">
        <f>IFERROR(__xludf.DUMMYFUNCTION("""COMPUTED_VALUE"""),"")</f>
        <v/>
      </c>
      <c r="X218" s="41" t="str">
        <f>IFERROR(__xludf.DUMMYFUNCTION("""COMPUTED_VALUE"""),"")</f>
        <v/>
      </c>
      <c r="Y218" s="41" t="str">
        <f>IFERROR(__xludf.DUMMYFUNCTION("""COMPUTED_VALUE"""),"")</f>
        <v/>
      </c>
      <c r="Z218" s="41" t="str">
        <f>IFERROR(__xludf.DUMMYFUNCTION("""COMPUTED_VALUE"""),"")</f>
        <v/>
      </c>
      <c r="AA218" s="41" t="str">
        <f>IFERROR(__xludf.DUMMYFUNCTION("""COMPUTED_VALUE"""),"")</f>
        <v/>
      </c>
      <c r="AB218" s="38" t="str">
        <f>IFERROR(__xludf.DUMMYFUNCTION("""COMPUTED_VALUE"""),"")</f>
        <v/>
      </c>
    </row>
    <row r="219">
      <c r="A219" s="41" t="str">
        <f>IFERROR(__xludf.DUMMYFUNCTION("""COMPUTED_VALUE"""),"PHP, SQL, .NET")</f>
        <v>PHP, SQL, .NET</v>
      </c>
      <c r="B219" s="42" t="s">
        <v>44</v>
      </c>
      <c r="C219" s="41" t="s">
        <v>2094</v>
      </c>
      <c r="D219" s="41" t="s">
        <v>163</v>
      </c>
      <c r="N219" s="38"/>
      <c r="P219" s="42" t="str">
        <f>IFERROR(__xludf.DUMMYFUNCTION("""COMPUTED_VALUE"""),"js")</f>
        <v>js</v>
      </c>
      <c r="Q219" s="41" t="str">
        <f>IFERROR(__xludf.DUMMYFUNCTION("""COMPUTED_VALUE"""),"and")</f>
        <v>and</v>
      </c>
      <c r="R219" s="41" t="str">
        <f>IFERROR(__xludf.DUMMYFUNCTION("""COMPUTED_VALUE"""),"weblogic")</f>
        <v>weblogic</v>
      </c>
      <c r="S219" s="41" t="str">
        <f>IFERROR(__xludf.DUMMYFUNCTION("""COMPUTED_VALUE"""),"")</f>
        <v/>
      </c>
      <c r="T219" s="41" t="str">
        <f>IFERROR(__xludf.DUMMYFUNCTION("""COMPUTED_VALUE"""),"")</f>
        <v/>
      </c>
      <c r="U219" s="41" t="str">
        <f>IFERROR(__xludf.DUMMYFUNCTION("""COMPUTED_VALUE"""),"")</f>
        <v/>
      </c>
      <c r="V219" s="41" t="str">
        <f>IFERROR(__xludf.DUMMYFUNCTION("""COMPUTED_VALUE"""),"")</f>
        <v/>
      </c>
      <c r="W219" s="41" t="str">
        <f>IFERROR(__xludf.DUMMYFUNCTION("""COMPUTED_VALUE"""),"")</f>
        <v/>
      </c>
      <c r="X219" s="41" t="str">
        <f>IFERROR(__xludf.DUMMYFUNCTION("""COMPUTED_VALUE"""),"")</f>
        <v/>
      </c>
      <c r="Y219" s="41" t="str">
        <f>IFERROR(__xludf.DUMMYFUNCTION("""COMPUTED_VALUE"""),"")</f>
        <v/>
      </c>
      <c r="Z219" s="41" t="str">
        <f>IFERROR(__xludf.DUMMYFUNCTION("""COMPUTED_VALUE"""),"")</f>
        <v/>
      </c>
      <c r="AA219" s="41" t="str">
        <f>IFERROR(__xludf.DUMMYFUNCTION("""COMPUTED_VALUE"""),"")</f>
        <v/>
      </c>
      <c r="AB219" s="38" t="str">
        <f>IFERROR(__xludf.DUMMYFUNCTION("""COMPUTED_VALUE"""),"")</f>
        <v/>
      </c>
    </row>
    <row r="220">
      <c r="A220" s="41" t="str">
        <f>IFERROR(__xludf.DUMMYFUNCTION("""COMPUTED_VALUE"""),"Laravel,PHP,JAVASCRIPT,HTML,JQUERY")</f>
        <v>Laravel,PHP,JAVASCRIPT,HTML,JQUERY</v>
      </c>
      <c r="B220" s="42" t="s">
        <v>103</v>
      </c>
      <c r="C220" s="41" t="s">
        <v>44</v>
      </c>
      <c r="D220" s="41" t="s">
        <v>4267</v>
      </c>
      <c r="E220" s="41" t="s">
        <v>4154</v>
      </c>
      <c r="F220" s="41" t="s">
        <v>4268</v>
      </c>
      <c r="N220" s="38"/>
      <c r="P220" s="42" t="str">
        <f>IFERROR(__xludf.DUMMYFUNCTION("""COMPUTED_VALUE"""),"react")</f>
        <v>react</v>
      </c>
      <c r="Q220" s="41" t="str">
        <f>IFERROR(__xludf.DUMMYFUNCTION("""COMPUTED_VALUE"""),"jsp")</f>
        <v>jsp</v>
      </c>
      <c r="R220" s="41" t="str">
        <f>IFERROR(__xludf.DUMMYFUNCTION("""COMPUTED_VALUE"""),"slate")</f>
        <v>slate</v>
      </c>
      <c r="S220" s="41" t="str">
        <f>IFERROR(__xludf.DUMMYFUNCTION("""COMPUTED_VALUE"""),"")</f>
        <v/>
      </c>
      <c r="T220" s="41" t="str">
        <f>IFERROR(__xludf.DUMMYFUNCTION("""COMPUTED_VALUE"""),"")</f>
        <v/>
      </c>
      <c r="U220" s="41" t="str">
        <f>IFERROR(__xludf.DUMMYFUNCTION("""COMPUTED_VALUE"""),"")</f>
        <v/>
      </c>
      <c r="V220" s="41" t="str">
        <f>IFERROR(__xludf.DUMMYFUNCTION("""COMPUTED_VALUE"""),"")</f>
        <v/>
      </c>
      <c r="W220" s="41" t="str">
        <f>IFERROR(__xludf.DUMMYFUNCTION("""COMPUTED_VALUE"""),"")</f>
        <v/>
      </c>
      <c r="X220" s="41" t="str">
        <f>IFERROR(__xludf.DUMMYFUNCTION("""COMPUTED_VALUE"""),"")</f>
        <v/>
      </c>
      <c r="Y220" s="41" t="str">
        <f>IFERROR(__xludf.DUMMYFUNCTION("""COMPUTED_VALUE"""),"")</f>
        <v/>
      </c>
      <c r="Z220" s="41" t="str">
        <f>IFERROR(__xludf.DUMMYFUNCTION("""COMPUTED_VALUE"""),"")</f>
        <v/>
      </c>
      <c r="AA220" s="41" t="str">
        <f>IFERROR(__xludf.DUMMYFUNCTION("""COMPUTED_VALUE"""),"")</f>
        <v/>
      </c>
      <c r="AB220" s="38" t="str">
        <f>IFERROR(__xludf.DUMMYFUNCTION("""COMPUTED_VALUE"""),"")</f>
        <v/>
      </c>
    </row>
    <row r="221">
      <c r="A221" s="41" t="str">
        <f>IFERROR(__xludf.DUMMYFUNCTION("""COMPUTED_VALUE"""),"python")</f>
        <v>python</v>
      </c>
      <c r="B221" s="42" t="s">
        <v>508</v>
      </c>
      <c r="N221" s="38"/>
      <c r="P221" s="42" t="str">
        <f>IFERROR(__xludf.DUMMYFUNCTION("""COMPUTED_VALUE"""),"js")</f>
        <v>js</v>
      </c>
      <c r="Q221" s="41" t="str">
        <f>IFERROR(__xludf.DUMMYFUNCTION("""COMPUTED_VALUE"""),"graphql")</f>
        <v>graphql</v>
      </c>
      <c r="R221" s="41" t="str">
        <f>IFERROR(__xludf.DUMMYFUNCTION("""COMPUTED_VALUE"""),"mongodb")</f>
        <v>mongodb</v>
      </c>
      <c r="S221" s="41" t="str">
        <f>IFERROR(__xludf.DUMMYFUNCTION("""COMPUTED_VALUE"""),"")</f>
        <v/>
      </c>
      <c r="T221" s="41" t="str">
        <f>IFERROR(__xludf.DUMMYFUNCTION("""COMPUTED_VALUE"""),"")</f>
        <v/>
      </c>
      <c r="U221" s="41" t="str">
        <f>IFERROR(__xludf.DUMMYFUNCTION("""COMPUTED_VALUE"""),"")</f>
        <v/>
      </c>
      <c r="V221" s="41" t="str">
        <f>IFERROR(__xludf.DUMMYFUNCTION("""COMPUTED_VALUE"""),"")</f>
        <v/>
      </c>
      <c r="W221" s="41" t="str">
        <f>IFERROR(__xludf.DUMMYFUNCTION("""COMPUTED_VALUE"""),"")</f>
        <v/>
      </c>
      <c r="X221" s="41" t="str">
        <f>IFERROR(__xludf.DUMMYFUNCTION("""COMPUTED_VALUE"""),"")</f>
        <v/>
      </c>
      <c r="Y221" s="41" t="str">
        <f>IFERROR(__xludf.DUMMYFUNCTION("""COMPUTED_VALUE"""),"")</f>
        <v/>
      </c>
      <c r="Z221" s="41" t="str">
        <f>IFERROR(__xludf.DUMMYFUNCTION("""COMPUTED_VALUE"""),"")</f>
        <v/>
      </c>
      <c r="AA221" s="41" t="str">
        <f>IFERROR(__xludf.DUMMYFUNCTION("""COMPUTED_VALUE"""),"")</f>
        <v/>
      </c>
      <c r="AB221" s="38" t="str">
        <f>IFERROR(__xludf.DUMMYFUNCTION("""COMPUTED_VALUE"""),"")</f>
        <v/>
      </c>
    </row>
    <row r="222">
      <c r="A222" s="41" t="str">
        <f>IFERROR(__xludf.DUMMYFUNCTION("""COMPUTED_VALUE"""),"Azure, AWS")</f>
        <v>Azure, AWS</v>
      </c>
      <c r="B222" s="42" t="s">
        <v>135</v>
      </c>
      <c r="C222" s="41" t="s">
        <v>1233</v>
      </c>
      <c r="N222" s="38"/>
      <c r="P222" s="42" t="str">
        <f>IFERROR(__xludf.DUMMYFUNCTION("""COMPUTED_VALUE"""),"java")</f>
        <v>java</v>
      </c>
      <c r="Q222" s="41" t="str">
        <f>IFERROR(__xludf.DUMMYFUNCTION("""COMPUTED_VALUE"""),"aws")</f>
        <v>aws</v>
      </c>
      <c r="R222" s="41" t="str">
        <f>IFERROR(__xludf.DUMMYFUNCTION("""COMPUTED_VALUE"""),"cv")</f>
        <v>cv</v>
      </c>
      <c r="S222" s="41" t="str">
        <f>IFERROR(__xludf.DUMMYFUNCTION("""COMPUTED_VALUE"""),"")</f>
        <v/>
      </c>
      <c r="T222" s="41" t="str">
        <f>IFERROR(__xludf.DUMMYFUNCTION("""COMPUTED_VALUE"""),"")</f>
        <v/>
      </c>
      <c r="U222" s="41" t="str">
        <f>IFERROR(__xludf.DUMMYFUNCTION("""COMPUTED_VALUE"""),"")</f>
        <v/>
      </c>
      <c r="V222" s="41" t="str">
        <f>IFERROR(__xludf.DUMMYFUNCTION("""COMPUTED_VALUE"""),"")</f>
        <v/>
      </c>
      <c r="W222" s="41" t="str">
        <f>IFERROR(__xludf.DUMMYFUNCTION("""COMPUTED_VALUE"""),"")</f>
        <v/>
      </c>
      <c r="X222" s="41" t="str">
        <f>IFERROR(__xludf.DUMMYFUNCTION("""COMPUTED_VALUE"""),"")</f>
        <v/>
      </c>
      <c r="Y222" s="41" t="str">
        <f>IFERROR(__xludf.DUMMYFUNCTION("""COMPUTED_VALUE"""),"")</f>
        <v/>
      </c>
      <c r="Z222" s="41" t="str">
        <f>IFERROR(__xludf.DUMMYFUNCTION("""COMPUTED_VALUE"""),"")</f>
        <v/>
      </c>
      <c r="AA222" s="41" t="str">
        <f>IFERROR(__xludf.DUMMYFUNCTION("""COMPUTED_VALUE"""),"")</f>
        <v/>
      </c>
      <c r="AB222" s="38" t="str">
        <f>IFERROR(__xludf.DUMMYFUNCTION("""COMPUTED_VALUE"""),"")</f>
        <v/>
      </c>
    </row>
    <row r="223">
      <c r="A223" s="41" t="str">
        <f>IFERROR(__xludf.DUMMYFUNCTION("""COMPUTED_VALUE"""),"NodeJS, Docker, Kubernetes, AWS, GCP, PHP, GoLang")</f>
        <v>NodeJS, Docker, Kubernetes, AWS, GCP, PHP, GoLang</v>
      </c>
      <c r="B223" s="42" t="s">
        <v>1842</v>
      </c>
      <c r="C223" s="41" t="s">
        <v>3663</v>
      </c>
      <c r="D223" s="41" t="s">
        <v>3903</v>
      </c>
      <c r="E223" s="41" t="s">
        <v>1233</v>
      </c>
      <c r="F223" s="41" t="s">
        <v>4269</v>
      </c>
      <c r="G223" s="41" t="s">
        <v>44</v>
      </c>
      <c r="H223" s="41" t="s">
        <v>4270</v>
      </c>
      <c r="N223" s="38"/>
      <c r="P223" s="42" t="str">
        <f>IFERROR(__xludf.DUMMYFUNCTION("""COMPUTED_VALUE"""),"typescript")</f>
        <v>typescript</v>
      </c>
      <c r="Q223" s="41" t="str">
        <f>IFERROR(__xludf.DUMMYFUNCTION("""COMPUTED_VALUE"""),"python")</f>
        <v>python</v>
      </c>
      <c r="R223" s="41" t="str">
        <f>IFERROR(__xludf.DUMMYFUNCTION("""COMPUTED_VALUE"""),"codefresh")</f>
        <v>codefresh</v>
      </c>
      <c r="S223" s="41" t="str">
        <f>IFERROR(__xludf.DUMMYFUNCTION("""COMPUTED_VALUE"""),"")</f>
        <v/>
      </c>
      <c r="T223" s="41" t="str">
        <f>IFERROR(__xludf.DUMMYFUNCTION("""COMPUTED_VALUE"""),"")</f>
        <v/>
      </c>
      <c r="U223" s="41" t="str">
        <f>IFERROR(__xludf.DUMMYFUNCTION("""COMPUTED_VALUE"""),"")</f>
        <v/>
      </c>
      <c r="V223" s="41" t="str">
        <f>IFERROR(__xludf.DUMMYFUNCTION("""COMPUTED_VALUE"""),"")</f>
        <v/>
      </c>
      <c r="W223" s="41" t="str">
        <f>IFERROR(__xludf.DUMMYFUNCTION("""COMPUTED_VALUE"""),"")</f>
        <v/>
      </c>
      <c r="X223" s="41" t="str">
        <f>IFERROR(__xludf.DUMMYFUNCTION("""COMPUTED_VALUE"""),"")</f>
        <v/>
      </c>
      <c r="Y223" s="41" t="str">
        <f>IFERROR(__xludf.DUMMYFUNCTION("""COMPUTED_VALUE"""),"")</f>
        <v/>
      </c>
      <c r="Z223" s="41" t="str">
        <f>IFERROR(__xludf.DUMMYFUNCTION("""COMPUTED_VALUE"""),"")</f>
        <v/>
      </c>
      <c r="AA223" s="41" t="str">
        <f>IFERROR(__xludf.DUMMYFUNCTION("""COMPUTED_VALUE"""),"")</f>
        <v/>
      </c>
      <c r="AB223" s="38" t="str">
        <f>IFERROR(__xludf.DUMMYFUNCTION("""COMPUTED_VALUE"""),"")</f>
        <v/>
      </c>
    </row>
    <row r="224">
      <c r="A224" s="41" t="str">
        <f>IFERROR(__xludf.DUMMYFUNCTION("""COMPUTED_VALUE"""),"React, NodeJS, Kotlin, Swift")</f>
        <v>React, NodeJS, Kotlin, Swift</v>
      </c>
      <c r="B224" s="42" t="s">
        <v>1979</v>
      </c>
      <c r="C224" s="41" t="s">
        <v>1842</v>
      </c>
      <c r="D224" s="41" t="s">
        <v>170</v>
      </c>
      <c r="E224" s="41" t="s">
        <v>1467</v>
      </c>
      <c r="N224" s="38"/>
      <c r="P224" s="42" t="str">
        <f>IFERROR(__xludf.DUMMYFUNCTION("""COMPUTED_VALUE"""),"golang")</f>
        <v>golang</v>
      </c>
      <c r="Q224" s="41" t="str">
        <f>IFERROR(__xludf.DUMMYFUNCTION("""COMPUTED_VALUE"""),"plc")</f>
        <v>plc</v>
      </c>
      <c r="R224" s="41" t="str">
        <f>IFERROR(__xludf.DUMMYFUNCTION("""COMPUTED_VALUE"""),"objective")</f>
        <v>objective</v>
      </c>
      <c r="S224" s="41" t="str">
        <f>IFERROR(__xludf.DUMMYFUNCTION("""COMPUTED_VALUE"""),"")</f>
        <v/>
      </c>
      <c r="T224" s="41" t="str">
        <f>IFERROR(__xludf.DUMMYFUNCTION("""COMPUTED_VALUE"""),"")</f>
        <v/>
      </c>
      <c r="U224" s="41" t="str">
        <f>IFERROR(__xludf.DUMMYFUNCTION("""COMPUTED_VALUE"""),"")</f>
        <v/>
      </c>
      <c r="V224" s="41" t="str">
        <f>IFERROR(__xludf.DUMMYFUNCTION("""COMPUTED_VALUE"""),"")</f>
        <v/>
      </c>
      <c r="W224" s="41" t="str">
        <f>IFERROR(__xludf.DUMMYFUNCTION("""COMPUTED_VALUE"""),"")</f>
        <v/>
      </c>
      <c r="X224" s="41" t="str">
        <f>IFERROR(__xludf.DUMMYFUNCTION("""COMPUTED_VALUE"""),"")</f>
        <v/>
      </c>
      <c r="Y224" s="41" t="str">
        <f>IFERROR(__xludf.DUMMYFUNCTION("""COMPUTED_VALUE"""),"")</f>
        <v/>
      </c>
      <c r="Z224" s="41" t="str">
        <f>IFERROR(__xludf.DUMMYFUNCTION("""COMPUTED_VALUE"""),"")</f>
        <v/>
      </c>
      <c r="AA224" s="41" t="str">
        <f>IFERROR(__xludf.DUMMYFUNCTION("""COMPUTED_VALUE"""),"")</f>
        <v/>
      </c>
      <c r="AB224" s="38" t="str">
        <f>IFERROR(__xludf.DUMMYFUNCTION("""COMPUTED_VALUE"""),"")</f>
        <v/>
      </c>
    </row>
    <row r="225">
      <c r="A225" s="41" t="str">
        <f>IFERROR(__xludf.DUMMYFUNCTION("""COMPUTED_VALUE"""),"-")</f>
        <v>-</v>
      </c>
      <c r="B225" s="42" t="s">
        <v>72</v>
      </c>
      <c r="N225" s="38"/>
      <c r="P225" s="42" t="str">
        <f>IFERROR(__xludf.DUMMYFUNCTION("""COMPUTED_VALUE"""),"and")</f>
        <v>and</v>
      </c>
      <c r="Q225" s="41" t="str">
        <f>IFERROR(__xludf.DUMMYFUNCTION("""COMPUTED_VALUE"""),"php")</f>
        <v>php</v>
      </c>
      <c r="R225" s="41" t="str">
        <f>IFERROR(__xludf.DUMMYFUNCTION("""COMPUTED_VALUE"""),"c")</f>
        <v>c</v>
      </c>
      <c r="S225" s="41" t="str">
        <f>IFERROR(__xludf.DUMMYFUNCTION("""COMPUTED_VALUE"""),"")</f>
        <v/>
      </c>
      <c r="T225" s="41" t="str">
        <f>IFERROR(__xludf.DUMMYFUNCTION("""COMPUTED_VALUE"""),"")</f>
        <v/>
      </c>
      <c r="U225" s="41" t="str">
        <f>IFERROR(__xludf.DUMMYFUNCTION("""COMPUTED_VALUE"""),"")</f>
        <v/>
      </c>
      <c r="V225" s="41" t="str">
        <f>IFERROR(__xludf.DUMMYFUNCTION("""COMPUTED_VALUE"""),"")</f>
        <v/>
      </c>
      <c r="W225" s="41" t="str">
        <f>IFERROR(__xludf.DUMMYFUNCTION("""COMPUTED_VALUE"""),"")</f>
        <v/>
      </c>
      <c r="X225" s="41" t="str">
        <f>IFERROR(__xludf.DUMMYFUNCTION("""COMPUTED_VALUE"""),"")</f>
        <v/>
      </c>
      <c r="Y225" s="41" t="str">
        <f>IFERROR(__xludf.DUMMYFUNCTION("""COMPUTED_VALUE"""),"")</f>
        <v/>
      </c>
      <c r="Z225" s="41" t="str">
        <f>IFERROR(__xludf.DUMMYFUNCTION("""COMPUTED_VALUE"""),"")</f>
        <v/>
      </c>
      <c r="AA225" s="41" t="str">
        <f>IFERROR(__xludf.DUMMYFUNCTION("""COMPUTED_VALUE"""),"")</f>
        <v/>
      </c>
      <c r="AB225" s="38" t="str">
        <f>IFERROR(__xludf.DUMMYFUNCTION("""COMPUTED_VALUE"""),"")</f>
        <v/>
      </c>
    </row>
    <row r="226">
      <c r="A226" s="41" t="str">
        <f>IFERROR(__xludf.DUMMYFUNCTION("""COMPUTED_VALUE"""),"a lot")</f>
        <v>a lot</v>
      </c>
      <c r="B226" s="42" t="s">
        <v>1233</v>
      </c>
      <c r="C226" s="41" t="s">
        <v>4271</v>
      </c>
      <c r="D226" s="41" t="s">
        <v>731</v>
      </c>
      <c r="E226" s="41" t="s">
        <v>4218</v>
      </c>
      <c r="N226" s="38"/>
      <c r="P226" s="42" t="str">
        <f>IFERROR(__xludf.DUMMYFUNCTION("""COMPUTED_VALUE"""),"some")</f>
        <v>some</v>
      </c>
      <c r="Q226" s="41" t="str">
        <f>IFERROR(__xludf.DUMMYFUNCTION("""COMPUTED_VALUE"""),"docker")</f>
        <v>docker</v>
      </c>
      <c r="R226" s="41" t="str">
        <f>IFERROR(__xludf.DUMMYFUNCTION("""COMPUTED_VALUE"""),"aws")</f>
        <v>aws</v>
      </c>
      <c r="S226" s="41" t="str">
        <f>IFERROR(__xludf.DUMMYFUNCTION("""COMPUTED_VALUE"""),"")</f>
        <v/>
      </c>
      <c r="T226" s="41" t="str">
        <f>IFERROR(__xludf.DUMMYFUNCTION("""COMPUTED_VALUE"""),"")</f>
        <v/>
      </c>
      <c r="U226" s="41" t="str">
        <f>IFERROR(__xludf.DUMMYFUNCTION("""COMPUTED_VALUE"""),"")</f>
        <v/>
      </c>
      <c r="V226" s="41" t="str">
        <f>IFERROR(__xludf.DUMMYFUNCTION("""COMPUTED_VALUE"""),"")</f>
        <v/>
      </c>
      <c r="W226" s="41" t="str">
        <f>IFERROR(__xludf.DUMMYFUNCTION("""COMPUTED_VALUE"""),"")</f>
        <v/>
      </c>
      <c r="X226" s="41" t="str">
        <f>IFERROR(__xludf.DUMMYFUNCTION("""COMPUTED_VALUE"""),"")</f>
        <v/>
      </c>
      <c r="Y226" s="41" t="str">
        <f>IFERROR(__xludf.DUMMYFUNCTION("""COMPUTED_VALUE"""),"")</f>
        <v/>
      </c>
      <c r="Z226" s="41" t="str">
        <f>IFERROR(__xludf.DUMMYFUNCTION("""COMPUTED_VALUE"""),"")</f>
        <v/>
      </c>
      <c r="AA226" s="41" t="str">
        <f>IFERROR(__xludf.DUMMYFUNCTION("""COMPUTED_VALUE"""),"")</f>
        <v/>
      </c>
      <c r="AB226" s="38" t="str">
        <f>IFERROR(__xludf.DUMMYFUNCTION("""COMPUTED_VALUE"""),"")</f>
        <v/>
      </c>
    </row>
    <row r="227">
      <c r="A227" s="41" t="str">
        <f>IFERROR(__xludf.DUMMYFUNCTION("""COMPUTED_VALUE"""),"Laravel, vuejs")</f>
        <v>Laravel, vuejs</v>
      </c>
      <c r="B227" s="42" t="s">
        <v>1233</v>
      </c>
      <c r="C227" s="41" t="s">
        <v>4271</v>
      </c>
      <c r="D227" s="41" t="s">
        <v>4218</v>
      </c>
      <c r="N227" s="38"/>
      <c r="P227" s="42" t="str">
        <f>IFERROR(__xludf.DUMMYFUNCTION("""COMPUTED_VALUE"""),"in")</f>
        <v>in</v>
      </c>
      <c r="Q227" s="41" t="str">
        <f>IFERROR(__xludf.DUMMYFUNCTION("""COMPUTED_VALUE"""),"github")</f>
        <v>github</v>
      </c>
      <c r="R227" s="41" t="str">
        <f>IFERROR(__xludf.DUMMYFUNCTION("""COMPUTED_VALUE"""),"nodejs")</f>
        <v>nodejs</v>
      </c>
      <c r="S227" s="41" t="str">
        <f>IFERROR(__xludf.DUMMYFUNCTION("""COMPUTED_VALUE"""),"")</f>
        <v/>
      </c>
      <c r="T227" s="41" t="str">
        <f>IFERROR(__xludf.DUMMYFUNCTION("""COMPUTED_VALUE"""),"")</f>
        <v/>
      </c>
      <c r="U227" s="41" t="str">
        <f>IFERROR(__xludf.DUMMYFUNCTION("""COMPUTED_VALUE"""),"")</f>
        <v/>
      </c>
      <c r="V227" s="41" t="str">
        <f>IFERROR(__xludf.DUMMYFUNCTION("""COMPUTED_VALUE"""),"")</f>
        <v/>
      </c>
      <c r="W227" s="41" t="str">
        <f>IFERROR(__xludf.DUMMYFUNCTION("""COMPUTED_VALUE"""),"")</f>
        <v/>
      </c>
      <c r="X227" s="41" t="str">
        <f>IFERROR(__xludf.DUMMYFUNCTION("""COMPUTED_VALUE"""),"")</f>
        <v/>
      </c>
      <c r="Y227" s="41" t="str">
        <f>IFERROR(__xludf.DUMMYFUNCTION("""COMPUTED_VALUE"""),"")</f>
        <v/>
      </c>
      <c r="Z227" s="41" t="str">
        <f>IFERROR(__xludf.DUMMYFUNCTION("""COMPUTED_VALUE"""),"")</f>
        <v/>
      </c>
      <c r="AA227" s="41" t="str">
        <f>IFERROR(__xludf.DUMMYFUNCTION("""COMPUTED_VALUE"""),"")</f>
        <v/>
      </c>
      <c r="AB227" s="38" t="str">
        <f>IFERROR(__xludf.DUMMYFUNCTION("""COMPUTED_VALUE"""),"")</f>
        <v/>
      </c>
    </row>
    <row r="228">
      <c r="A228" s="41" t="str">
        <f>IFERROR(__xludf.DUMMYFUNCTION("""COMPUTED_VALUE"""),"NodeJS")</f>
        <v>NodeJS</v>
      </c>
      <c r="B228" s="42" t="s">
        <v>1974</v>
      </c>
      <c r="N228" s="38"/>
      <c r="P228" s="42" t="str">
        <f>IFERROR(__xludf.DUMMYFUNCTION("""COMPUTED_VALUE"""),"house")</f>
        <v>house</v>
      </c>
      <c r="Q228" s="41" t="str">
        <f>IFERROR(__xludf.DUMMYFUNCTION("""COMPUTED_VALUE"""),"jquery")</f>
        <v>jquery</v>
      </c>
      <c r="R228" s="41" t="str">
        <f>IFERROR(__xludf.DUMMYFUNCTION("""COMPUTED_VALUE"""),"mongodb")</f>
        <v>mongodb</v>
      </c>
      <c r="S228" s="41" t="str">
        <f>IFERROR(__xludf.DUMMYFUNCTION("""COMPUTED_VALUE"""),"")</f>
        <v/>
      </c>
      <c r="T228" s="41" t="str">
        <f>IFERROR(__xludf.DUMMYFUNCTION("""COMPUTED_VALUE"""),"")</f>
        <v/>
      </c>
      <c r="U228" s="41" t="str">
        <f>IFERROR(__xludf.DUMMYFUNCTION("""COMPUTED_VALUE"""),"")</f>
        <v/>
      </c>
      <c r="V228" s="41" t="str">
        <f>IFERROR(__xludf.DUMMYFUNCTION("""COMPUTED_VALUE"""),"")</f>
        <v/>
      </c>
      <c r="W228" s="41" t="str">
        <f>IFERROR(__xludf.DUMMYFUNCTION("""COMPUTED_VALUE"""),"")</f>
        <v/>
      </c>
      <c r="X228" s="41" t="str">
        <f>IFERROR(__xludf.DUMMYFUNCTION("""COMPUTED_VALUE"""),"")</f>
        <v/>
      </c>
      <c r="Y228" s="41" t="str">
        <f>IFERROR(__xludf.DUMMYFUNCTION("""COMPUTED_VALUE"""),"")</f>
        <v/>
      </c>
      <c r="Z228" s="41" t="str">
        <f>IFERROR(__xludf.DUMMYFUNCTION("""COMPUTED_VALUE"""),"")</f>
        <v/>
      </c>
      <c r="AA228" s="41" t="str">
        <f>IFERROR(__xludf.DUMMYFUNCTION("""COMPUTED_VALUE"""),"")</f>
        <v/>
      </c>
      <c r="AB228" s="38" t="str">
        <f>IFERROR(__xludf.DUMMYFUNCTION("""COMPUTED_VALUE"""),"")</f>
        <v/>
      </c>
    </row>
    <row r="229">
      <c r="A229" s="41" t="str">
        <f>IFERROR(__xludf.DUMMYFUNCTION("""COMPUTED_VALUE"""),"LARAVEL, REACT-NATIVE")</f>
        <v>LARAVEL, REACT-NATIVE</v>
      </c>
      <c r="B229" s="42" t="s">
        <v>103</v>
      </c>
      <c r="C229" s="41" t="s">
        <v>270</v>
      </c>
      <c r="N229" s="38"/>
      <c r="P229" s="42" t="str">
        <f>IFERROR(__xludf.DUMMYFUNCTION("""COMPUTED_VALUE"""),"framework")</f>
        <v>framework</v>
      </c>
      <c r="Q229" s="41" t="str">
        <f>IFERROR(__xludf.DUMMYFUNCTION("""COMPUTED_VALUE"""),"vuejs")</f>
        <v>vuejs</v>
      </c>
      <c r="R229" s="41" t="str">
        <f>IFERROR(__xludf.DUMMYFUNCTION("""COMPUTED_VALUE"""),"sas")</f>
        <v>sas</v>
      </c>
      <c r="S229" s="41" t="str">
        <f>IFERROR(__xludf.DUMMYFUNCTION("""COMPUTED_VALUE"""),"")</f>
        <v/>
      </c>
      <c r="T229" s="41" t="str">
        <f>IFERROR(__xludf.DUMMYFUNCTION("""COMPUTED_VALUE"""),"")</f>
        <v/>
      </c>
      <c r="U229" s="41" t="str">
        <f>IFERROR(__xludf.DUMMYFUNCTION("""COMPUTED_VALUE"""),"")</f>
        <v/>
      </c>
      <c r="V229" s="41" t="str">
        <f>IFERROR(__xludf.DUMMYFUNCTION("""COMPUTED_VALUE"""),"")</f>
        <v/>
      </c>
      <c r="W229" s="41" t="str">
        <f>IFERROR(__xludf.DUMMYFUNCTION("""COMPUTED_VALUE"""),"")</f>
        <v/>
      </c>
      <c r="X229" s="41" t="str">
        <f>IFERROR(__xludf.DUMMYFUNCTION("""COMPUTED_VALUE"""),"")</f>
        <v/>
      </c>
      <c r="Y229" s="41" t="str">
        <f>IFERROR(__xludf.DUMMYFUNCTION("""COMPUTED_VALUE"""),"")</f>
        <v/>
      </c>
      <c r="Z229" s="41" t="str">
        <f>IFERROR(__xludf.DUMMYFUNCTION("""COMPUTED_VALUE"""),"")</f>
        <v/>
      </c>
      <c r="AA229" s="41" t="str">
        <f>IFERROR(__xludf.DUMMYFUNCTION("""COMPUTED_VALUE"""),"")</f>
        <v/>
      </c>
      <c r="AB229" s="38" t="str">
        <f>IFERROR(__xludf.DUMMYFUNCTION("""COMPUTED_VALUE"""),"")</f>
        <v/>
      </c>
    </row>
    <row r="230">
      <c r="A230" s="41" t="str">
        <f>IFERROR(__xludf.DUMMYFUNCTION("""COMPUTED_VALUE"""),"Kotlin")</f>
        <v>Kotlin</v>
      </c>
      <c r="B230" s="42" t="s">
        <v>1842</v>
      </c>
      <c r="N230" s="38"/>
      <c r="P230" s="42" t="str">
        <f>IFERROR(__xludf.DUMMYFUNCTION("""COMPUTED_VALUE"""),"vue")</f>
        <v>vue</v>
      </c>
      <c r="Q230" s="41" t="str">
        <f>IFERROR(__xludf.DUMMYFUNCTION("""COMPUTED_VALUE"""),"react")</f>
        <v>react</v>
      </c>
      <c r="R230" s="41" t="str">
        <f>IFERROR(__xludf.DUMMYFUNCTION("""COMPUTED_VALUE"""),"laravel")</f>
        <v>laravel</v>
      </c>
      <c r="S230" s="41" t="str">
        <f>IFERROR(__xludf.DUMMYFUNCTION("""COMPUTED_VALUE"""),"")</f>
        <v/>
      </c>
      <c r="T230" s="41" t="str">
        <f>IFERROR(__xludf.DUMMYFUNCTION("""COMPUTED_VALUE"""),"")</f>
        <v/>
      </c>
      <c r="U230" s="41" t="str">
        <f>IFERROR(__xludf.DUMMYFUNCTION("""COMPUTED_VALUE"""),"")</f>
        <v/>
      </c>
      <c r="V230" s="41" t="str">
        <f>IFERROR(__xludf.DUMMYFUNCTION("""COMPUTED_VALUE"""),"")</f>
        <v/>
      </c>
      <c r="W230" s="41" t="str">
        <f>IFERROR(__xludf.DUMMYFUNCTION("""COMPUTED_VALUE"""),"")</f>
        <v/>
      </c>
      <c r="X230" s="41" t="str">
        <f>IFERROR(__xludf.DUMMYFUNCTION("""COMPUTED_VALUE"""),"")</f>
        <v/>
      </c>
      <c r="Y230" s="41" t="str">
        <f>IFERROR(__xludf.DUMMYFUNCTION("""COMPUTED_VALUE"""),"")</f>
        <v/>
      </c>
      <c r="Z230" s="41" t="str">
        <f>IFERROR(__xludf.DUMMYFUNCTION("""COMPUTED_VALUE"""),"")</f>
        <v/>
      </c>
      <c r="AA230" s="41" t="str">
        <f>IFERROR(__xludf.DUMMYFUNCTION("""COMPUTED_VALUE"""),"")</f>
        <v/>
      </c>
      <c r="AB230" s="38" t="str">
        <f>IFERROR(__xludf.DUMMYFUNCTION("""COMPUTED_VALUE"""),"")</f>
        <v/>
      </c>
    </row>
    <row r="231">
      <c r="A231" s="41" t="str">
        <f>IFERROR(__xludf.DUMMYFUNCTION("""COMPUTED_VALUE"""),"Web application, server setup, hardware")</f>
        <v>Web application, server setup, hardware</v>
      </c>
      <c r="B231" s="42" t="s">
        <v>4272</v>
      </c>
      <c r="C231" s="41" t="s">
        <v>4273</v>
      </c>
      <c r="N231" s="38"/>
      <c r="P231" s="42" t="str">
        <f>IFERROR(__xludf.DUMMYFUNCTION("""COMPUTED_VALUE"""),"react.js")</f>
        <v>react.js</v>
      </c>
      <c r="Q231" s="41" t="str">
        <f>IFERROR(__xludf.DUMMYFUNCTION("""COMPUTED_VALUE"""),"nodejs")</f>
        <v>nodejs</v>
      </c>
      <c r="R231" s="41" t="str">
        <f>IFERROR(__xludf.DUMMYFUNCTION("""COMPUTED_VALUE"""),"react.js")</f>
        <v>react.js</v>
      </c>
      <c r="S231" s="41" t="str">
        <f>IFERROR(__xludf.DUMMYFUNCTION("""COMPUTED_VALUE"""),"")</f>
        <v/>
      </c>
      <c r="T231" s="41" t="str">
        <f>IFERROR(__xludf.DUMMYFUNCTION("""COMPUTED_VALUE"""),"")</f>
        <v/>
      </c>
      <c r="U231" s="41" t="str">
        <f>IFERROR(__xludf.DUMMYFUNCTION("""COMPUTED_VALUE"""),"")</f>
        <v/>
      </c>
      <c r="V231" s="41" t="str">
        <f>IFERROR(__xludf.DUMMYFUNCTION("""COMPUTED_VALUE"""),"")</f>
        <v/>
      </c>
      <c r="W231" s="41" t="str">
        <f>IFERROR(__xludf.DUMMYFUNCTION("""COMPUTED_VALUE"""),"")</f>
        <v/>
      </c>
      <c r="X231" s="41" t="str">
        <f>IFERROR(__xludf.DUMMYFUNCTION("""COMPUTED_VALUE"""),"")</f>
        <v/>
      </c>
      <c r="Y231" s="41" t="str">
        <f>IFERROR(__xludf.DUMMYFUNCTION("""COMPUTED_VALUE"""),"")</f>
        <v/>
      </c>
      <c r="Z231" s="41" t="str">
        <f>IFERROR(__xludf.DUMMYFUNCTION("""COMPUTED_VALUE"""),"")</f>
        <v/>
      </c>
      <c r="AA231" s="41" t="str">
        <f>IFERROR(__xludf.DUMMYFUNCTION("""COMPUTED_VALUE"""),"")</f>
        <v/>
      </c>
      <c r="AB231" s="38" t="str">
        <f>IFERROR(__xludf.DUMMYFUNCTION("""COMPUTED_VALUE"""),"")</f>
        <v/>
      </c>
    </row>
    <row r="232">
      <c r="A232" s="41" t="str">
        <f>IFERROR(__xludf.DUMMYFUNCTION("""COMPUTED_VALUE"""),"WAS, Angular,Spring")</f>
        <v>WAS, Angular,Spring</v>
      </c>
      <c r="B232" s="42" t="s">
        <v>170</v>
      </c>
      <c r="N232" s="38"/>
      <c r="P232" s="42" t="str">
        <f>IFERROR(__xludf.DUMMYFUNCTION("""COMPUTED_VALUE"""),"python")</f>
        <v>python</v>
      </c>
      <c r="Q232" s="41" t="str">
        <f>IFERROR(__xludf.DUMMYFUNCTION("""COMPUTED_VALUE"""),"macos")</f>
        <v>macos</v>
      </c>
      <c r="R232" s="41" t="str">
        <f>IFERROR(__xludf.DUMMYFUNCTION("""COMPUTED_VALUE"""),"mysql")</f>
        <v>mysql</v>
      </c>
      <c r="S232" s="41" t="str">
        <f>IFERROR(__xludf.DUMMYFUNCTION("""COMPUTED_VALUE"""),"")</f>
        <v/>
      </c>
      <c r="T232" s="41" t="str">
        <f>IFERROR(__xludf.DUMMYFUNCTION("""COMPUTED_VALUE"""),"")</f>
        <v/>
      </c>
      <c r="U232" s="41" t="str">
        <f>IFERROR(__xludf.DUMMYFUNCTION("""COMPUTED_VALUE"""),"")</f>
        <v/>
      </c>
      <c r="V232" s="41" t="str">
        <f>IFERROR(__xludf.DUMMYFUNCTION("""COMPUTED_VALUE"""),"")</f>
        <v/>
      </c>
      <c r="W232" s="41" t="str">
        <f>IFERROR(__xludf.DUMMYFUNCTION("""COMPUTED_VALUE"""),"")</f>
        <v/>
      </c>
      <c r="X232" s="41" t="str">
        <f>IFERROR(__xludf.DUMMYFUNCTION("""COMPUTED_VALUE"""),"")</f>
        <v/>
      </c>
      <c r="Y232" s="41" t="str">
        <f>IFERROR(__xludf.DUMMYFUNCTION("""COMPUTED_VALUE"""),"")</f>
        <v/>
      </c>
      <c r="Z232" s="41" t="str">
        <f>IFERROR(__xludf.DUMMYFUNCTION("""COMPUTED_VALUE"""),"")</f>
        <v/>
      </c>
      <c r="AA232" s="41" t="str">
        <f>IFERROR(__xludf.DUMMYFUNCTION("""COMPUTED_VALUE"""),"")</f>
        <v/>
      </c>
      <c r="AB232" s="38" t="str">
        <f>IFERROR(__xludf.DUMMYFUNCTION("""COMPUTED_VALUE"""),"")</f>
        <v/>
      </c>
    </row>
    <row r="233">
      <c r="A233" s="41" t="str">
        <f>IFERROR(__xludf.DUMMYFUNCTION("""COMPUTED_VALUE"""),"Javascript, Python, SQL, Machine Learning")</f>
        <v>Javascript, Python, SQL, Machine Learning</v>
      </c>
      <c r="B233" s="42" t="s">
        <v>4274</v>
      </c>
      <c r="C233" s="41" t="s">
        <v>4275</v>
      </c>
      <c r="D233" s="41" t="s">
        <v>4276</v>
      </c>
      <c r="N233" s="38"/>
      <c r="P233" s="42" t="str">
        <f>IFERROR(__xludf.DUMMYFUNCTION("""COMPUTED_VALUE"""),"web")</f>
        <v>web</v>
      </c>
      <c r="Q233" s="45" t="str">
        <f>IFERROR(__xludf.DUMMYFUNCTION("""COMPUTED_VALUE"""),"asp.net")</f>
        <v>asp.net</v>
      </c>
      <c r="R233" s="41" t="str">
        <f>IFERROR(__xludf.DUMMYFUNCTION("""COMPUTED_VALUE"""),"javascript")</f>
        <v>javascript</v>
      </c>
      <c r="S233" s="41" t="str">
        <f>IFERROR(__xludf.DUMMYFUNCTION("""COMPUTED_VALUE"""),"")</f>
        <v/>
      </c>
      <c r="T233" s="41" t="str">
        <f>IFERROR(__xludf.DUMMYFUNCTION("""COMPUTED_VALUE"""),"")</f>
        <v/>
      </c>
      <c r="U233" s="41" t="str">
        <f>IFERROR(__xludf.DUMMYFUNCTION("""COMPUTED_VALUE"""),"")</f>
        <v/>
      </c>
      <c r="V233" s="41" t="str">
        <f>IFERROR(__xludf.DUMMYFUNCTION("""COMPUTED_VALUE"""),"")</f>
        <v/>
      </c>
      <c r="W233" s="41" t="str">
        <f>IFERROR(__xludf.DUMMYFUNCTION("""COMPUTED_VALUE"""),"")</f>
        <v/>
      </c>
      <c r="X233" s="41" t="str">
        <f>IFERROR(__xludf.DUMMYFUNCTION("""COMPUTED_VALUE"""),"")</f>
        <v/>
      </c>
      <c r="Y233" s="41" t="str">
        <f>IFERROR(__xludf.DUMMYFUNCTION("""COMPUTED_VALUE"""),"")</f>
        <v/>
      </c>
      <c r="Z233" s="41" t="str">
        <f>IFERROR(__xludf.DUMMYFUNCTION("""COMPUTED_VALUE"""),"")</f>
        <v/>
      </c>
      <c r="AA233" s="41" t="str">
        <f>IFERROR(__xludf.DUMMYFUNCTION("""COMPUTED_VALUE"""),"")</f>
        <v/>
      </c>
      <c r="AB233" s="38" t="str">
        <f>IFERROR(__xludf.DUMMYFUNCTION("""COMPUTED_VALUE"""),"")</f>
        <v/>
      </c>
    </row>
    <row r="234">
      <c r="A234" s="41" t="str">
        <f>IFERROR(__xludf.DUMMYFUNCTION("""COMPUTED_VALUE"""),"Dotnet, AngularJs, NodeJs, GCP, MySQL")</f>
        <v>Dotnet, AngularJs, NodeJs, GCP, MySQL</v>
      </c>
      <c r="B234" s="42" t="s">
        <v>4277</v>
      </c>
      <c r="C234" s="41" t="s">
        <v>704</v>
      </c>
      <c r="D234" s="41" t="s">
        <v>4278</v>
      </c>
      <c r="N234" s="38"/>
      <c r="P234" s="42" t="str">
        <f>IFERROR(__xludf.DUMMYFUNCTION("""COMPUTED_VALUE"""),"nestjs")</f>
        <v>nestjs</v>
      </c>
      <c r="Q234" s="41" t="str">
        <f>IFERROR(__xludf.DUMMYFUNCTION("""COMPUTED_VALUE"""),"cordova")</f>
        <v>cordova</v>
      </c>
      <c r="R234" s="41" t="str">
        <f>IFERROR(__xludf.DUMMYFUNCTION("""COMPUTED_VALUE"""),"cloud")</f>
        <v>cloud</v>
      </c>
      <c r="S234" s="41" t="str">
        <f>IFERROR(__xludf.DUMMYFUNCTION("""COMPUTED_VALUE"""),"")</f>
        <v/>
      </c>
      <c r="T234" s="41" t="str">
        <f>IFERROR(__xludf.DUMMYFUNCTION("""COMPUTED_VALUE"""),"")</f>
        <v/>
      </c>
      <c r="U234" s="41" t="str">
        <f>IFERROR(__xludf.DUMMYFUNCTION("""COMPUTED_VALUE"""),"")</f>
        <v/>
      </c>
      <c r="V234" s="41" t="str">
        <f>IFERROR(__xludf.DUMMYFUNCTION("""COMPUTED_VALUE"""),"")</f>
        <v/>
      </c>
      <c r="W234" s="41" t="str">
        <f>IFERROR(__xludf.DUMMYFUNCTION("""COMPUTED_VALUE"""),"")</f>
        <v/>
      </c>
      <c r="X234" s="41" t="str">
        <f>IFERROR(__xludf.DUMMYFUNCTION("""COMPUTED_VALUE"""),"")</f>
        <v/>
      </c>
      <c r="Y234" s="41" t="str">
        <f>IFERROR(__xludf.DUMMYFUNCTION("""COMPUTED_VALUE"""),"")</f>
        <v/>
      </c>
      <c r="Z234" s="41" t="str">
        <f>IFERROR(__xludf.DUMMYFUNCTION("""COMPUTED_VALUE"""),"")</f>
        <v/>
      </c>
      <c r="AA234" s="41" t="str">
        <f>IFERROR(__xludf.DUMMYFUNCTION("""COMPUTED_VALUE"""),"")</f>
        <v/>
      </c>
      <c r="AB234" s="38" t="str">
        <f>IFERROR(__xludf.DUMMYFUNCTION("""COMPUTED_VALUE"""),"")</f>
        <v/>
      </c>
    </row>
    <row r="235">
      <c r="A235" s="41" t="str">
        <f>IFERROR(__xludf.DUMMYFUNCTION("""COMPUTED_VALUE"""),"Laravel")</f>
        <v>Laravel</v>
      </c>
      <c r="B235" s="42" t="s">
        <v>712</v>
      </c>
      <c r="C235" s="41" t="s">
        <v>78</v>
      </c>
      <c r="D235" s="41" t="s">
        <v>2094</v>
      </c>
      <c r="E235" s="41" t="s">
        <v>4279</v>
      </c>
      <c r="N235" s="38"/>
      <c r="P235" s="42" t="str">
        <f>IFERROR(__xludf.DUMMYFUNCTION("""COMPUTED_VALUE"""),"c#")</f>
        <v>c#</v>
      </c>
      <c r="Q235" s="41" t="str">
        <f>IFERROR(__xludf.DUMMYFUNCTION("""COMPUTED_VALUE"""),"python")</f>
        <v>python</v>
      </c>
      <c r="R235" s="41" t="str">
        <f>IFERROR(__xludf.DUMMYFUNCTION("""COMPUTED_VALUE"""),"run")</f>
        <v>run</v>
      </c>
      <c r="S235" s="41" t="str">
        <f>IFERROR(__xludf.DUMMYFUNCTION("""COMPUTED_VALUE"""),"")</f>
        <v/>
      </c>
      <c r="T235" s="41" t="str">
        <f>IFERROR(__xludf.DUMMYFUNCTION("""COMPUTED_VALUE"""),"")</f>
        <v/>
      </c>
      <c r="U235" s="41" t="str">
        <f>IFERROR(__xludf.DUMMYFUNCTION("""COMPUTED_VALUE"""),"")</f>
        <v/>
      </c>
      <c r="V235" s="41" t="str">
        <f>IFERROR(__xludf.DUMMYFUNCTION("""COMPUTED_VALUE"""),"")</f>
        <v/>
      </c>
      <c r="W235" s="41" t="str">
        <f>IFERROR(__xludf.DUMMYFUNCTION("""COMPUTED_VALUE"""),"")</f>
        <v/>
      </c>
      <c r="X235" s="41" t="str">
        <f>IFERROR(__xludf.DUMMYFUNCTION("""COMPUTED_VALUE"""),"")</f>
        <v/>
      </c>
      <c r="Y235" s="41" t="str">
        <f>IFERROR(__xludf.DUMMYFUNCTION("""COMPUTED_VALUE"""),"")</f>
        <v/>
      </c>
      <c r="Z235" s="41" t="str">
        <f>IFERROR(__xludf.DUMMYFUNCTION("""COMPUTED_VALUE"""),"")</f>
        <v/>
      </c>
      <c r="AA235" s="41" t="str">
        <f>IFERROR(__xludf.DUMMYFUNCTION("""COMPUTED_VALUE"""),"")</f>
        <v/>
      </c>
      <c r="AB235" s="38" t="str">
        <f>IFERROR(__xludf.DUMMYFUNCTION("""COMPUTED_VALUE"""),"")</f>
        <v/>
      </c>
    </row>
    <row r="236">
      <c r="A236" s="41" t="str">
        <f>IFERROR(__xludf.DUMMYFUNCTION("""COMPUTED_VALUE"""),"Swift, Git, XCode, Jira, Bitbucket, GitHub, React Native, Kotlin, Bitrise, Zeplin")</f>
        <v>Swift, Git, XCode, Jira, Bitbucket, GitHub, React Native, Kotlin, Bitrise, Zeplin</v>
      </c>
      <c r="B236" s="42" t="s">
        <v>4280</v>
      </c>
      <c r="C236" s="41" t="s">
        <v>4281</v>
      </c>
      <c r="D236" s="41" t="s">
        <v>4169</v>
      </c>
      <c r="E236" s="41" t="s">
        <v>4269</v>
      </c>
      <c r="F236" s="41" t="s">
        <v>4244</v>
      </c>
      <c r="N236" s="38"/>
      <c r="P236" s="42" t="str">
        <f>IFERROR(__xludf.DUMMYFUNCTION("""COMPUTED_VALUE"""),".net")</f>
        <v>.net</v>
      </c>
      <c r="Q236" s="41" t="str">
        <f>IFERROR(__xludf.DUMMYFUNCTION("""COMPUTED_VALUE"""),"nodejs")</f>
        <v>nodejs</v>
      </c>
      <c r="R236" s="41" t="str">
        <f>IFERROR(__xludf.DUMMYFUNCTION("""COMPUTED_VALUE"""),"gcp")</f>
        <v>gcp</v>
      </c>
      <c r="S236" s="41" t="str">
        <f>IFERROR(__xludf.DUMMYFUNCTION("""COMPUTED_VALUE"""),"")</f>
        <v/>
      </c>
      <c r="T236" s="41" t="str">
        <f>IFERROR(__xludf.DUMMYFUNCTION("""COMPUTED_VALUE"""),"")</f>
        <v/>
      </c>
      <c r="U236" s="41" t="str">
        <f>IFERROR(__xludf.DUMMYFUNCTION("""COMPUTED_VALUE"""),"")</f>
        <v/>
      </c>
      <c r="V236" s="41" t="str">
        <f>IFERROR(__xludf.DUMMYFUNCTION("""COMPUTED_VALUE"""),"")</f>
        <v/>
      </c>
      <c r="W236" s="41" t="str">
        <f>IFERROR(__xludf.DUMMYFUNCTION("""COMPUTED_VALUE"""),"")</f>
        <v/>
      </c>
      <c r="X236" s="41" t="str">
        <f>IFERROR(__xludf.DUMMYFUNCTION("""COMPUTED_VALUE"""),"")</f>
        <v/>
      </c>
      <c r="Y236" s="41" t="str">
        <f>IFERROR(__xludf.DUMMYFUNCTION("""COMPUTED_VALUE"""),"")</f>
        <v/>
      </c>
      <c r="Z236" s="41" t="str">
        <f>IFERROR(__xludf.DUMMYFUNCTION("""COMPUTED_VALUE"""),"")</f>
        <v/>
      </c>
      <c r="AA236" s="41" t="str">
        <f>IFERROR(__xludf.DUMMYFUNCTION("""COMPUTED_VALUE"""),"")</f>
        <v/>
      </c>
      <c r="AB236" s="38" t="str">
        <f>IFERROR(__xludf.DUMMYFUNCTION("""COMPUTED_VALUE"""),"")</f>
        <v/>
      </c>
    </row>
    <row r="237">
      <c r="A237" s="41" t="str">
        <f>IFERROR(__xludf.DUMMYFUNCTION("""COMPUTED_VALUE"""),"Redshift, Holistics ")</f>
        <v>Redshift, Holistics </v>
      </c>
      <c r="B237" s="42" t="s">
        <v>103</v>
      </c>
      <c r="N237" s="38"/>
      <c r="P237" s="42" t="str">
        <f>IFERROR(__xludf.DUMMYFUNCTION("""COMPUTED_VALUE"""),"react")</f>
        <v>react</v>
      </c>
      <c r="Q237" s="41" t="str">
        <f>IFERROR(__xludf.DUMMYFUNCTION("""COMPUTED_VALUE"""),"spring")</f>
        <v>spring</v>
      </c>
      <c r="R237" s="41" t="str">
        <f>IFERROR(__xludf.DUMMYFUNCTION("""COMPUTED_VALUE"""),"css-in-js")</f>
        <v>css-in-js</v>
      </c>
      <c r="S237" s="41" t="str">
        <f>IFERROR(__xludf.DUMMYFUNCTION("""COMPUTED_VALUE"""),"")</f>
        <v/>
      </c>
      <c r="T237" s="41" t="str">
        <f>IFERROR(__xludf.DUMMYFUNCTION("""COMPUTED_VALUE"""),"")</f>
        <v/>
      </c>
      <c r="U237" s="41" t="str">
        <f>IFERROR(__xludf.DUMMYFUNCTION("""COMPUTED_VALUE"""),"")</f>
        <v/>
      </c>
      <c r="V237" s="41" t="str">
        <f>IFERROR(__xludf.DUMMYFUNCTION("""COMPUTED_VALUE"""),"")</f>
        <v/>
      </c>
      <c r="W237" s="41" t="str">
        <f>IFERROR(__xludf.DUMMYFUNCTION("""COMPUTED_VALUE"""),"")</f>
        <v/>
      </c>
      <c r="X237" s="41" t="str">
        <f>IFERROR(__xludf.DUMMYFUNCTION("""COMPUTED_VALUE"""),"")</f>
        <v/>
      </c>
      <c r="Y237" s="41" t="str">
        <f>IFERROR(__xludf.DUMMYFUNCTION("""COMPUTED_VALUE"""),"")</f>
        <v/>
      </c>
      <c r="Z237" s="41" t="str">
        <f>IFERROR(__xludf.DUMMYFUNCTION("""COMPUTED_VALUE"""),"")</f>
        <v/>
      </c>
      <c r="AA237" s="41" t="str">
        <f>IFERROR(__xludf.DUMMYFUNCTION("""COMPUTED_VALUE"""),"")</f>
        <v/>
      </c>
      <c r="AB237" s="38" t="str">
        <f>IFERROR(__xludf.DUMMYFUNCTION("""COMPUTED_VALUE"""),"")</f>
        <v/>
      </c>
    </row>
    <row r="238">
      <c r="A238" s="41" t="str">
        <f>IFERROR(__xludf.DUMMYFUNCTION("""COMPUTED_VALUE"""),"Angular java")</f>
        <v>Angular java</v>
      </c>
      <c r="B238" s="42" t="s">
        <v>1467</v>
      </c>
      <c r="C238" s="41" t="s">
        <v>4282</v>
      </c>
      <c r="D238" s="41" t="s">
        <v>4283</v>
      </c>
      <c r="E238" s="41" t="s">
        <v>4264</v>
      </c>
      <c r="F238" s="41" t="s">
        <v>4265</v>
      </c>
      <c r="G238" s="41" t="s">
        <v>4284</v>
      </c>
      <c r="H238" s="41" t="s">
        <v>549</v>
      </c>
      <c r="I238" s="41" t="s">
        <v>170</v>
      </c>
      <c r="J238" s="41" t="s">
        <v>4285</v>
      </c>
      <c r="K238" s="41" t="s">
        <v>4286</v>
      </c>
      <c r="N238" s="38"/>
      <c r="P238" s="42" t="str">
        <f>IFERROR(__xludf.DUMMYFUNCTION("""COMPUTED_VALUE"""),"lamp")</f>
        <v>lamp</v>
      </c>
      <c r="Q238" s="41" t="str">
        <f>IFERROR(__xludf.DUMMYFUNCTION("""COMPUTED_VALUE"""),"boot")</f>
        <v>boot</v>
      </c>
      <c r="R238" s="41" t="str">
        <f>IFERROR(__xludf.DUMMYFUNCTION("""COMPUTED_VALUE"""),"vue")</f>
        <v>vue</v>
      </c>
      <c r="S238" s="41" t="str">
        <f>IFERROR(__xludf.DUMMYFUNCTION("""COMPUTED_VALUE"""),"")</f>
        <v/>
      </c>
      <c r="T238" s="41" t="str">
        <f>IFERROR(__xludf.DUMMYFUNCTION("""COMPUTED_VALUE"""),"")</f>
        <v/>
      </c>
      <c r="U238" s="41" t="str">
        <f>IFERROR(__xludf.DUMMYFUNCTION("""COMPUTED_VALUE"""),"")</f>
        <v/>
      </c>
      <c r="V238" s="41" t="str">
        <f>IFERROR(__xludf.DUMMYFUNCTION("""COMPUTED_VALUE"""),"")</f>
        <v/>
      </c>
      <c r="W238" s="41" t="str">
        <f>IFERROR(__xludf.DUMMYFUNCTION("""COMPUTED_VALUE"""),"")</f>
        <v/>
      </c>
      <c r="X238" s="41" t="str">
        <f>IFERROR(__xludf.DUMMYFUNCTION("""COMPUTED_VALUE"""),"")</f>
        <v/>
      </c>
      <c r="Y238" s="41" t="str">
        <f>IFERROR(__xludf.DUMMYFUNCTION("""COMPUTED_VALUE"""),"")</f>
        <v/>
      </c>
      <c r="Z238" s="41" t="str">
        <f>IFERROR(__xludf.DUMMYFUNCTION("""COMPUTED_VALUE"""),"")</f>
        <v/>
      </c>
      <c r="AA238" s="41" t="str">
        <f>IFERROR(__xludf.DUMMYFUNCTION("""COMPUTED_VALUE"""),"")</f>
        <v/>
      </c>
      <c r="AB238" s="38" t="str">
        <f>IFERROR(__xludf.DUMMYFUNCTION("""COMPUTED_VALUE"""),"")</f>
        <v/>
      </c>
    </row>
    <row r="239">
      <c r="A239" s="41" t="str">
        <f>IFERROR(__xludf.DUMMYFUNCTION("""COMPUTED_VALUE"""),"PHP")</f>
        <v>PHP</v>
      </c>
      <c r="B239" s="42" t="s">
        <v>4287</v>
      </c>
      <c r="C239" s="41" t="s">
        <v>4288</v>
      </c>
      <c r="N239" s="38"/>
      <c r="P239" s="42" t="str">
        <f>IFERROR(__xludf.DUMMYFUNCTION("""COMPUTED_VALUE"""),"stack")</f>
        <v>stack</v>
      </c>
      <c r="Q239" s="41" t="str">
        <f>IFERROR(__xludf.DUMMYFUNCTION("""COMPUTED_VALUE"""),"objective")</f>
        <v>objective</v>
      </c>
      <c r="R239" s="41" t="str">
        <f>IFERROR(__xludf.DUMMYFUNCTION("""COMPUTED_VALUE"""),"java")</f>
        <v>java</v>
      </c>
      <c r="S239" s="41" t="str">
        <f>IFERROR(__xludf.DUMMYFUNCTION("""COMPUTED_VALUE"""),"")</f>
        <v/>
      </c>
      <c r="T239" s="41" t="str">
        <f>IFERROR(__xludf.DUMMYFUNCTION("""COMPUTED_VALUE"""),"")</f>
        <v/>
      </c>
      <c r="U239" s="41" t="str">
        <f>IFERROR(__xludf.DUMMYFUNCTION("""COMPUTED_VALUE"""),"")</f>
        <v/>
      </c>
      <c r="V239" s="41" t="str">
        <f>IFERROR(__xludf.DUMMYFUNCTION("""COMPUTED_VALUE"""),"")</f>
        <v/>
      </c>
      <c r="W239" s="41" t="str">
        <f>IFERROR(__xludf.DUMMYFUNCTION("""COMPUTED_VALUE"""),"")</f>
        <v/>
      </c>
      <c r="X239" s="41" t="str">
        <f>IFERROR(__xludf.DUMMYFUNCTION("""COMPUTED_VALUE"""),"")</f>
        <v/>
      </c>
      <c r="Y239" s="41" t="str">
        <f>IFERROR(__xludf.DUMMYFUNCTION("""COMPUTED_VALUE"""),"")</f>
        <v/>
      </c>
      <c r="Z239" s="41" t="str">
        <f>IFERROR(__xludf.DUMMYFUNCTION("""COMPUTED_VALUE"""),"")</f>
        <v/>
      </c>
      <c r="AA239" s="41" t="str">
        <f>IFERROR(__xludf.DUMMYFUNCTION("""COMPUTED_VALUE"""),"")</f>
        <v/>
      </c>
      <c r="AB239" s="38" t="str">
        <f>IFERROR(__xludf.DUMMYFUNCTION("""COMPUTED_VALUE"""),"")</f>
        <v/>
      </c>
    </row>
    <row r="240">
      <c r="A240" s="41" t="str">
        <f>IFERROR(__xludf.DUMMYFUNCTION("""COMPUTED_VALUE"""),"SQL, Excel, R")</f>
        <v>SQL, Excel, R</v>
      </c>
      <c r="B240" s="42" t="s">
        <v>1487</v>
      </c>
      <c r="N240" s="38"/>
      <c r="P240" s="42" t="str">
        <f>IFERROR(__xludf.DUMMYFUNCTION("""COMPUTED_VALUE"""),"javascript")</f>
        <v>javascript</v>
      </c>
      <c r="Q240" s="41" t="str">
        <f>IFERROR(__xludf.DUMMYFUNCTION("""COMPUTED_VALUE"""),"c")</f>
        <v>c</v>
      </c>
      <c r="R240" s="41" t="str">
        <f>IFERROR(__xludf.DUMMYFUNCTION("""COMPUTED_VALUE"""),"js")</f>
        <v>js</v>
      </c>
      <c r="S240" s="41" t="str">
        <f>IFERROR(__xludf.DUMMYFUNCTION("""COMPUTED_VALUE"""),"")</f>
        <v/>
      </c>
      <c r="T240" s="41" t="str">
        <f>IFERROR(__xludf.DUMMYFUNCTION("""COMPUTED_VALUE"""),"")</f>
        <v/>
      </c>
      <c r="U240" s="41" t="str">
        <f>IFERROR(__xludf.DUMMYFUNCTION("""COMPUTED_VALUE"""),"")</f>
        <v/>
      </c>
      <c r="V240" s="41" t="str">
        <f>IFERROR(__xludf.DUMMYFUNCTION("""COMPUTED_VALUE"""),"")</f>
        <v/>
      </c>
      <c r="W240" s="41" t="str">
        <f>IFERROR(__xludf.DUMMYFUNCTION("""COMPUTED_VALUE"""),"")</f>
        <v/>
      </c>
      <c r="X240" s="41" t="str">
        <f>IFERROR(__xludf.DUMMYFUNCTION("""COMPUTED_VALUE"""),"")</f>
        <v/>
      </c>
      <c r="Y240" s="41" t="str">
        <f>IFERROR(__xludf.DUMMYFUNCTION("""COMPUTED_VALUE"""),"")</f>
        <v/>
      </c>
      <c r="Z240" s="41" t="str">
        <f>IFERROR(__xludf.DUMMYFUNCTION("""COMPUTED_VALUE"""),"")</f>
        <v/>
      </c>
      <c r="AA240" s="41" t="str">
        <f>IFERROR(__xludf.DUMMYFUNCTION("""COMPUTED_VALUE"""),"")</f>
        <v/>
      </c>
      <c r="AB240" s="38" t="str">
        <f>IFERROR(__xludf.DUMMYFUNCTION("""COMPUTED_VALUE"""),"")</f>
        <v/>
      </c>
    </row>
    <row r="241">
      <c r="A241" s="41" t="str">
        <f>IFERROR(__xludf.DUMMYFUNCTION("""COMPUTED_VALUE"""),"Laptop, Mobile phone ")</f>
        <v>Laptop, Mobile phone </v>
      </c>
      <c r="B241" s="42" t="s">
        <v>44</v>
      </c>
      <c r="N241" s="38"/>
      <c r="P241" s="42" t="str">
        <f>IFERROR(__xludf.DUMMYFUNCTION("""COMPUTED_VALUE"""),"mevn")</f>
        <v>mevn</v>
      </c>
      <c r="Q241" s="41" t="str">
        <f>IFERROR(__xludf.DUMMYFUNCTION("""COMPUTED_VALUE"""),"css")</f>
        <v>css</v>
      </c>
      <c r="R241" s="41" t="str">
        <f>IFERROR(__xludf.DUMMYFUNCTION("""COMPUTED_VALUE"""),"vuejs")</f>
        <v>vuejs</v>
      </c>
      <c r="S241" s="41" t="str">
        <f>IFERROR(__xludf.DUMMYFUNCTION("""COMPUTED_VALUE"""),"")</f>
        <v/>
      </c>
      <c r="T241" s="41" t="str">
        <f>IFERROR(__xludf.DUMMYFUNCTION("""COMPUTED_VALUE"""),"")</f>
        <v/>
      </c>
      <c r="U241" s="41" t="str">
        <f>IFERROR(__xludf.DUMMYFUNCTION("""COMPUTED_VALUE"""),"")</f>
        <v/>
      </c>
      <c r="V241" s="41" t="str">
        <f>IFERROR(__xludf.DUMMYFUNCTION("""COMPUTED_VALUE"""),"")</f>
        <v/>
      </c>
      <c r="W241" s="41" t="str">
        <f>IFERROR(__xludf.DUMMYFUNCTION("""COMPUTED_VALUE"""),"")</f>
        <v/>
      </c>
      <c r="X241" s="41" t="str">
        <f>IFERROR(__xludf.DUMMYFUNCTION("""COMPUTED_VALUE"""),"")</f>
        <v/>
      </c>
      <c r="Y241" s="41" t="str">
        <f>IFERROR(__xludf.DUMMYFUNCTION("""COMPUTED_VALUE"""),"")</f>
        <v/>
      </c>
      <c r="Z241" s="41" t="str">
        <f>IFERROR(__xludf.DUMMYFUNCTION("""COMPUTED_VALUE"""),"")</f>
        <v/>
      </c>
      <c r="AA241" s="41" t="str">
        <f>IFERROR(__xludf.DUMMYFUNCTION("""COMPUTED_VALUE"""),"")</f>
        <v/>
      </c>
      <c r="AB241" s="38" t="str">
        <f>IFERROR(__xludf.DUMMYFUNCTION("""COMPUTED_VALUE"""),"")</f>
        <v/>
      </c>
    </row>
    <row r="242">
      <c r="A242" s="41" t="str">
        <f>IFERROR(__xludf.DUMMYFUNCTION("""COMPUTED_VALUE"""),"C#, Js, Ts")</f>
        <v>C#, Js, Ts</v>
      </c>
      <c r="B242" s="42" t="s">
        <v>2094</v>
      </c>
      <c r="C242" s="41" t="s">
        <v>2031</v>
      </c>
      <c r="D242" s="41" t="s">
        <v>4289</v>
      </c>
      <c r="N242" s="38"/>
      <c r="P242" s="42" t="str">
        <f>IFERROR(__xludf.DUMMYFUNCTION("""COMPUTED_VALUE"""),"django")</f>
        <v>django</v>
      </c>
      <c r="Q242" s="41" t="str">
        <f>IFERROR(__xludf.DUMMYFUNCTION("""COMPUTED_VALUE"""),"sql")</f>
        <v>sql</v>
      </c>
      <c r="R242" s="41" t="str">
        <f>IFERROR(__xludf.DUMMYFUNCTION("""COMPUTED_VALUE"""),"")</f>
        <v/>
      </c>
      <c r="S242" s="41" t="str">
        <f>IFERROR(__xludf.DUMMYFUNCTION("""COMPUTED_VALUE"""),"")</f>
        <v/>
      </c>
      <c r="T242" s="41" t="str">
        <f>IFERROR(__xludf.DUMMYFUNCTION("""COMPUTED_VALUE"""),"")</f>
        <v/>
      </c>
      <c r="U242" s="41" t="str">
        <f>IFERROR(__xludf.DUMMYFUNCTION("""COMPUTED_VALUE"""),"")</f>
        <v/>
      </c>
      <c r="V242" s="41" t="str">
        <f>IFERROR(__xludf.DUMMYFUNCTION("""COMPUTED_VALUE"""),"")</f>
        <v/>
      </c>
      <c r="W242" s="41" t="str">
        <f>IFERROR(__xludf.DUMMYFUNCTION("""COMPUTED_VALUE"""),"")</f>
        <v/>
      </c>
      <c r="X242" s="41" t="str">
        <f>IFERROR(__xludf.DUMMYFUNCTION("""COMPUTED_VALUE"""),"")</f>
        <v/>
      </c>
      <c r="Y242" s="41" t="str">
        <f>IFERROR(__xludf.DUMMYFUNCTION("""COMPUTED_VALUE"""),"")</f>
        <v/>
      </c>
      <c r="Z242" s="41" t="str">
        <f>IFERROR(__xludf.DUMMYFUNCTION("""COMPUTED_VALUE"""),"")</f>
        <v/>
      </c>
      <c r="AA242" s="41" t="str">
        <f>IFERROR(__xludf.DUMMYFUNCTION("""COMPUTED_VALUE"""),"")</f>
        <v/>
      </c>
      <c r="AB242" s="38" t="str">
        <f>IFERROR(__xludf.DUMMYFUNCTION("""COMPUTED_VALUE"""),"")</f>
        <v/>
      </c>
    </row>
    <row r="243">
      <c r="A243" s="41" t="str">
        <f>IFERROR(__xludf.DUMMYFUNCTION("""COMPUTED_VALUE"""),"Ruby")</f>
        <v>Ruby</v>
      </c>
      <c r="B243" s="42" t="s">
        <v>87</v>
      </c>
      <c r="C243" s="41" t="s">
        <v>4290</v>
      </c>
      <c r="N243" s="38"/>
      <c r="P243" s="42" t="str">
        <f>IFERROR(__xludf.DUMMYFUNCTION("""COMPUTED_VALUE"""),"java")</f>
        <v>java</v>
      </c>
      <c r="Q243" s="41" t="str">
        <f>IFERROR(__xludf.DUMMYFUNCTION("""COMPUTED_VALUE"""),"python")</f>
        <v>python</v>
      </c>
      <c r="R243" s="41" t="str">
        <f>IFERROR(__xludf.DUMMYFUNCTION("""COMPUTED_VALUE"""),"")</f>
        <v/>
      </c>
      <c r="S243" s="41" t="str">
        <f>IFERROR(__xludf.DUMMYFUNCTION("""COMPUTED_VALUE"""),"")</f>
        <v/>
      </c>
      <c r="T243" s="41" t="str">
        <f>IFERROR(__xludf.DUMMYFUNCTION("""COMPUTED_VALUE"""),"")</f>
        <v/>
      </c>
      <c r="U243" s="41" t="str">
        <f>IFERROR(__xludf.DUMMYFUNCTION("""COMPUTED_VALUE"""),"")</f>
        <v/>
      </c>
      <c r="V243" s="41" t="str">
        <f>IFERROR(__xludf.DUMMYFUNCTION("""COMPUTED_VALUE"""),"")</f>
        <v/>
      </c>
      <c r="W243" s="41" t="str">
        <f>IFERROR(__xludf.DUMMYFUNCTION("""COMPUTED_VALUE"""),"")</f>
        <v/>
      </c>
      <c r="X243" s="41" t="str">
        <f>IFERROR(__xludf.DUMMYFUNCTION("""COMPUTED_VALUE"""),"")</f>
        <v/>
      </c>
      <c r="Y243" s="41" t="str">
        <f>IFERROR(__xludf.DUMMYFUNCTION("""COMPUTED_VALUE"""),"")</f>
        <v/>
      </c>
      <c r="Z243" s="41" t="str">
        <f>IFERROR(__xludf.DUMMYFUNCTION("""COMPUTED_VALUE"""),"")</f>
        <v/>
      </c>
      <c r="AA243" s="41" t="str">
        <f>IFERROR(__xludf.DUMMYFUNCTION("""COMPUTED_VALUE"""),"")</f>
        <v/>
      </c>
      <c r="AB243" s="38" t="str">
        <f>IFERROR(__xludf.DUMMYFUNCTION("""COMPUTED_VALUE"""),"")</f>
        <v/>
      </c>
    </row>
    <row r="244">
      <c r="A244" s="41" t="str">
        <f>IFERROR(__xludf.DUMMYFUNCTION("""COMPUTED_VALUE"""),"Python, AWS")</f>
        <v>Python, AWS</v>
      </c>
      <c r="B244" s="42" t="s">
        <v>809</v>
      </c>
      <c r="C244" s="41" t="s">
        <v>4220</v>
      </c>
      <c r="D244" s="41" t="s">
        <v>4291</v>
      </c>
      <c r="N244" s="38"/>
      <c r="P244" s="42" t="str">
        <f>IFERROR(__xludf.DUMMYFUNCTION("""COMPUTED_VALUE"""),"kotlin")</f>
        <v>kotlin</v>
      </c>
      <c r="Q244" s="41" t="str">
        <f>IFERROR(__xludf.DUMMYFUNCTION("""COMPUTED_VALUE"""),"reactnative")</f>
        <v>reactnative</v>
      </c>
      <c r="R244" s="41" t="str">
        <f>IFERROR(__xludf.DUMMYFUNCTION("""COMPUTED_VALUE"""),"")</f>
        <v/>
      </c>
      <c r="S244" s="41" t="str">
        <f>IFERROR(__xludf.DUMMYFUNCTION("""COMPUTED_VALUE"""),"")</f>
        <v/>
      </c>
      <c r="T244" s="41" t="str">
        <f>IFERROR(__xludf.DUMMYFUNCTION("""COMPUTED_VALUE"""),"")</f>
        <v/>
      </c>
      <c r="U244" s="41" t="str">
        <f>IFERROR(__xludf.DUMMYFUNCTION("""COMPUTED_VALUE"""),"")</f>
        <v/>
      </c>
      <c r="V244" s="41" t="str">
        <f>IFERROR(__xludf.DUMMYFUNCTION("""COMPUTED_VALUE"""),"")</f>
        <v/>
      </c>
      <c r="W244" s="41" t="str">
        <f>IFERROR(__xludf.DUMMYFUNCTION("""COMPUTED_VALUE"""),"")</f>
        <v/>
      </c>
      <c r="X244" s="41" t="str">
        <f>IFERROR(__xludf.DUMMYFUNCTION("""COMPUTED_VALUE"""),"")</f>
        <v/>
      </c>
      <c r="Y244" s="41" t="str">
        <f>IFERROR(__xludf.DUMMYFUNCTION("""COMPUTED_VALUE"""),"")</f>
        <v/>
      </c>
      <c r="Z244" s="41" t="str">
        <f>IFERROR(__xludf.DUMMYFUNCTION("""COMPUTED_VALUE"""),"")</f>
        <v/>
      </c>
      <c r="AA244" s="41" t="str">
        <f>IFERROR(__xludf.DUMMYFUNCTION("""COMPUTED_VALUE"""),"")</f>
        <v/>
      </c>
      <c r="AB244" s="38" t="str">
        <f>IFERROR(__xludf.DUMMYFUNCTION("""COMPUTED_VALUE"""),"")</f>
        <v/>
      </c>
    </row>
    <row r="245">
      <c r="A245" s="41" t="str">
        <f>IFERROR(__xludf.DUMMYFUNCTION("""COMPUTED_VALUE"""),"PLC")</f>
        <v>PLC</v>
      </c>
      <c r="B245" s="42" t="s">
        <v>1393</v>
      </c>
      <c r="N245" s="38"/>
      <c r="P245" s="42" t="str">
        <f>IFERROR(__xludf.DUMMYFUNCTION("""COMPUTED_VALUE"""),"ruby")</f>
        <v>ruby</v>
      </c>
      <c r="Q245" s="41" t="str">
        <f>IFERROR(__xludf.DUMMYFUNCTION("""COMPUTED_VALUE"""),"vmware")</f>
        <v>vmware</v>
      </c>
      <c r="R245" s="41" t="str">
        <f>IFERROR(__xludf.DUMMYFUNCTION("""COMPUTED_VALUE"""),"")</f>
        <v/>
      </c>
      <c r="S245" s="41" t="str">
        <f>IFERROR(__xludf.DUMMYFUNCTION("""COMPUTED_VALUE"""),"")</f>
        <v/>
      </c>
      <c r="T245" s="41" t="str">
        <f>IFERROR(__xludf.DUMMYFUNCTION("""COMPUTED_VALUE"""),"")</f>
        <v/>
      </c>
      <c r="U245" s="41" t="str">
        <f>IFERROR(__xludf.DUMMYFUNCTION("""COMPUTED_VALUE"""),"")</f>
        <v/>
      </c>
      <c r="V245" s="41" t="str">
        <f>IFERROR(__xludf.DUMMYFUNCTION("""COMPUTED_VALUE"""),"")</f>
        <v/>
      </c>
      <c r="W245" s="41" t="str">
        <f>IFERROR(__xludf.DUMMYFUNCTION("""COMPUTED_VALUE"""),"")</f>
        <v/>
      </c>
      <c r="X245" s="41" t="str">
        <f>IFERROR(__xludf.DUMMYFUNCTION("""COMPUTED_VALUE"""),"")</f>
        <v/>
      </c>
      <c r="Y245" s="41" t="str">
        <f>IFERROR(__xludf.DUMMYFUNCTION("""COMPUTED_VALUE"""),"")</f>
        <v/>
      </c>
      <c r="Z245" s="41" t="str">
        <f>IFERROR(__xludf.DUMMYFUNCTION("""COMPUTED_VALUE"""),"")</f>
        <v/>
      </c>
      <c r="AA245" s="41" t="str">
        <f>IFERROR(__xludf.DUMMYFUNCTION("""COMPUTED_VALUE"""),"")</f>
        <v/>
      </c>
      <c r="AB245" s="38" t="str">
        <f>IFERROR(__xludf.DUMMYFUNCTION("""COMPUTED_VALUE"""),"")</f>
        <v/>
      </c>
    </row>
    <row r="246">
      <c r="A246" s="41" t="str">
        <f>IFERROR(__xludf.DUMMYFUNCTION("""COMPUTED_VALUE"""),"Vscode")</f>
        <v>Vscode</v>
      </c>
      <c r="B246" s="42" t="s">
        <v>78</v>
      </c>
      <c r="C246" s="41" t="s">
        <v>1233</v>
      </c>
      <c r="N246" s="38"/>
      <c r="P246" s="42" t="str">
        <f>IFERROR(__xludf.DUMMYFUNCTION("""COMPUTED_VALUE"""),"on")</f>
        <v>on</v>
      </c>
      <c r="Q246" s="41" t="str">
        <f>IFERROR(__xludf.DUMMYFUNCTION("""COMPUTED_VALUE"""),"react")</f>
        <v>react</v>
      </c>
      <c r="R246" s="41" t="str">
        <f>IFERROR(__xludf.DUMMYFUNCTION("""COMPUTED_VALUE"""),"")</f>
        <v/>
      </c>
      <c r="S246" s="41" t="str">
        <f>IFERROR(__xludf.DUMMYFUNCTION("""COMPUTED_VALUE"""),"")</f>
        <v/>
      </c>
      <c r="T246" s="41" t="str">
        <f>IFERROR(__xludf.DUMMYFUNCTION("""COMPUTED_VALUE"""),"")</f>
        <v/>
      </c>
      <c r="U246" s="41" t="str">
        <f>IFERROR(__xludf.DUMMYFUNCTION("""COMPUTED_VALUE"""),"")</f>
        <v/>
      </c>
      <c r="V246" s="41" t="str">
        <f>IFERROR(__xludf.DUMMYFUNCTION("""COMPUTED_VALUE"""),"")</f>
        <v/>
      </c>
      <c r="W246" s="41" t="str">
        <f>IFERROR(__xludf.DUMMYFUNCTION("""COMPUTED_VALUE"""),"")</f>
        <v/>
      </c>
      <c r="X246" s="41" t="str">
        <f>IFERROR(__xludf.DUMMYFUNCTION("""COMPUTED_VALUE"""),"")</f>
        <v/>
      </c>
      <c r="Y246" s="41" t="str">
        <f>IFERROR(__xludf.DUMMYFUNCTION("""COMPUTED_VALUE"""),"")</f>
        <v/>
      </c>
      <c r="Z246" s="41" t="str">
        <f>IFERROR(__xludf.DUMMYFUNCTION("""COMPUTED_VALUE"""),"")</f>
        <v/>
      </c>
      <c r="AA246" s="41" t="str">
        <f>IFERROR(__xludf.DUMMYFUNCTION("""COMPUTED_VALUE"""),"")</f>
        <v/>
      </c>
      <c r="AB246" s="38" t="str">
        <f>IFERROR(__xludf.DUMMYFUNCTION("""COMPUTED_VALUE"""),"")</f>
        <v/>
      </c>
    </row>
    <row r="247">
      <c r="A247" s="41" t="str">
        <f>IFERROR(__xludf.DUMMYFUNCTION("""COMPUTED_VALUE"""),"laptop")</f>
        <v>laptop</v>
      </c>
      <c r="B247" s="42" t="s">
        <v>738</v>
      </c>
      <c r="N247" s="38"/>
      <c r="P247" s="42" t="str">
        <f>IFERROR(__xludf.DUMMYFUNCTION("""COMPUTED_VALUE"""),"rails")</f>
        <v>rails</v>
      </c>
      <c r="Q247" s="41" t="str">
        <f>IFERROR(__xludf.DUMMYFUNCTION("""COMPUTED_VALUE"""),"native")</f>
        <v>native</v>
      </c>
      <c r="R247" s="41" t="str">
        <f>IFERROR(__xludf.DUMMYFUNCTION("""COMPUTED_VALUE"""),"")</f>
        <v/>
      </c>
      <c r="S247" s="41" t="str">
        <f>IFERROR(__xludf.DUMMYFUNCTION("""COMPUTED_VALUE"""),"")</f>
        <v/>
      </c>
      <c r="T247" s="41" t="str">
        <f>IFERROR(__xludf.DUMMYFUNCTION("""COMPUTED_VALUE"""),"")</f>
        <v/>
      </c>
      <c r="U247" s="41" t="str">
        <f>IFERROR(__xludf.DUMMYFUNCTION("""COMPUTED_VALUE"""),"")</f>
        <v/>
      </c>
      <c r="V247" s="41" t="str">
        <f>IFERROR(__xludf.DUMMYFUNCTION("""COMPUTED_VALUE"""),"")</f>
        <v/>
      </c>
      <c r="W247" s="41" t="str">
        <f>IFERROR(__xludf.DUMMYFUNCTION("""COMPUTED_VALUE"""),"")</f>
        <v/>
      </c>
      <c r="X247" s="41" t="str">
        <f>IFERROR(__xludf.DUMMYFUNCTION("""COMPUTED_VALUE"""),"")</f>
        <v/>
      </c>
      <c r="Y247" s="41" t="str">
        <f>IFERROR(__xludf.DUMMYFUNCTION("""COMPUTED_VALUE"""),"")</f>
        <v/>
      </c>
      <c r="Z247" s="41" t="str">
        <f>IFERROR(__xludf.DUMMYFUNCTION("""COMPUTED_VALUE"""),"")</f>
        <v/>
      </c>
      <c r="AA247" s="41" t="str">
        <f>IFERROR(__xludf.DUMMYFUNCTION("""COMPUTED_VALUE"""),"")</f>
        <v/>
      </c>
      <c r="AB247" s="38" t="str">
        <f>IFERROR(__xludf.DUMMYFUNCTION("""COMPUTED_VALUE"""),"")</f>
        <v/>
      </c>
    </row>
    <row r="248">
      <c r="A248" s="41" t="str">
        <f>IFERROR(__xludf.DUMMYFUNCTION("""COMPUTED_VALUE"""),"Java")</f>
        <v>Java</v>
      </c>
      <c r="B248" s="42" t="s">
        <v>518</v>
      </c>
      <c r="N248" s="38"/>
      <c r="P248" s="42" t="str">
        <f>IFERROR(__xludf.DUMMYFUNCTION("""COMPUTED_VALUE"""),"react")</f>
        <v>react</v>
      </c>
      <c r="Q248" s="41" t="str">
        <f>IFERROR(__xludf.DUMMYFUNCTION("""COMPUTED_VALUE"""),"iphone")</f>
        <v>iphone</v>
      </c>
      <c r="R248" s="41" t="str">
        <f>IFERROR(__xludf.DUMMYFUNCTION("""COMPUTED_VALUE"""),"")</f>
        <v/>
      </c>
      <c r="S248" s="41" t="str">
        <f>IFERROR(__xludf.DUMMYFUNCTION("""COMPUTED_VALUE"""),"")</f>
        <v/>
      </c>
      <c r="T248" s="41" t="str">
        <f>IFERROR(__xludf.DUMMYFUNCTION("""COMPUTED_VALUE"""),"")</f>
        <v/>
      </c>
      <c r="U248" s="41" t="str">
        <f>IFERROR(__xludf.DUMMYFUNCTION("""COMPUTED_VALUE"""),"")</f>
        <v/>
      </c>
      <c r="V248" s="41" t="str">
        <f>IFERROR(__xludf.DUMMYFUNCTION("""COMPUTED_VALUE"""),"")</f>
        <v/>
      </c>
      <c r="W248" s="41" t="str">
        <f>IFERROR(__xludf.DUMMYFUNCTION("""COMPUTED_VALUE"""),"")</f>
        <v/>
      </c>
      <c r="X248" s="41" t="str">
        <f>IFERROR(__xludf.DUMMYFUNCTION("""COMPUTED_VALUE"""),"")</f>
        <v/>
      </c>
      <c r="Y248" s="41" t="str">
        <f>IFERROR(__xludf.DUMMYFUNCTION("""COMPUTED_VALUE"""),"")</f>
        <v/>
      </c>
      <c r="Z248" s="41" t="str">
        <f>IFERROR(__xludf.DUMMYFUNCTION("""COMPUTED_VALUE"""),"")</f>
        <v/>
      </c>
      <c r="AA248" s="41" t="str">
        <f>IFERROR(__xludf.DUMMYFUNCTION("""COMPUTED_VALUE"""),"")</f>
        <v/>
      </c>
      <c r="AB248" s="38" t="str">
        <f>IFERROR(__xludf.DUMMYFUNCTION("""COMPUTED_VALUE"""),"")</f>
        <v/>
      </c>
    </row>
    <row r="249">
      <c r="A249" s="41" t="str">
        <f>IFERROR(__xludf.DUMMYFUNCTION("""COMPUTED_VALUE"""),"VueJS")</f>
        <v>VueJS</v>
      </c>
      <c r="B249" s="42" t="s">
        <v>498</v>
      </c>
      <c r="N249" s="38"/>
      <c r="P249" s="42" t="str">
        <f>IFERROR(__xludf.DUMMYFUNCTION("""COMPUTED_VALUE"""),"framework")</f>
        <v>framework</v>
      </c>
      <c r="Q249" s="41" t="str">
        <f>IFERROR(__xludf.DUMMYFUNCTION("""COMPUTED_VALUE"""),"11")</f>
        <v>11</v>
      </c>
      <c r="R249" s="41" t="str">
        <f>IFERROR(__xludf.DUMMYFUNCTION("""COMPUTED_VALUE"""),"")</f>
        <v/>
      </c>
      <c r="S249" s="41" t="str">
        <f>IFERROR(__xludf.DUMMYFUNCTION("""COMPUTED_VALUE"""),"")</f>
        <v/>
      </c>
      <c r="T249" s="41" t="str">
        <f>IFERROR(__xludf.DUMMYFUNCTION("""COMPUTED_VALUE"""),"")</f>
        <v/>
      </c>
      <c r="U249" s="41" t="str">
        <f>IFERROR(__xludf.DUMMYFUNCTION("""COMPUTED_VALUE"""),"")</f>
        <v/>
      </c>
      <c r="V249" s="41" t="str">
        <f>IFERROR(__xludf.DUMMYFUNCTION("""COMPUTED_VALUE"""),"")</f>
        <v/>
      </c>
      <c r="W249" s="41" t="str">
        <f>IFERROR(__xludf.DUMMYFUNCTION("""COMPUTED_VALUE"""),"")</f>
        <v/>
      </c>
      <c r="X249" s="41" t="str">
        <f>IFERROR(__xludf.DUMMYFUNCTION("""COMPUTED_VALUE"""),"")</f>
        <v/>
      </c>
      <c r="Y249" s="41" t="str">
        <f>IFERROR(__xludf.DUMMYFUNCTION("""COMPUTED_VALUE"""),"")</f>
        <v/>
      </c>
      <c r="Z249" s="41" t="str">
        <f>IFERROR(__xludf.DUMMYFUNCTION("""COMPUTED_VALUE"""),"")</f>
        <v/>
      </c>
      <c r="AA249" s="41" t="str">
        <f>IFERROR(__xludf.DUMMYFUNCTION("""COMPUTED_VALUE"""),"")</f>
        <v/>
      </c>
      <c r="AB249" s="38" t="str">
        <f>IFERROR(__xludf.DUMMYFUNCTION("""COMPUTED_VALUE"""),"")</f>
        <v/>
      </c>
    </row>
    <row r="250">
      <c r="A250" s="41" t="str">
        <f>IFERROR(__xludf.DUMMYFUNCTION("""COMPUTED_VALUE"""),"sql")</f>
        <v>sql</v>
      </c>
      <c r="B250" s="42" t="s">
        <v>224</v>
      </c>
      <c r="N250" s="38"/>
      <c r="P250" s="42" t="str">
        <f>IFERROR(__xludf.DUMMYFUNCTION("""COMPUTED_VALUE"""),"react")</f>
        <v>react</v>
      </c>
      <c r="Q250" s="41" t="str">
        <f>IFERROR(__xludf.DUMMYFUNCTION("""COMPUTED_VALUE"""),"java")</f>
        <v>java</v>
      </c>
      <c r="R250" s="41" t="str">
        <f>IFERROR(__xludf.DUMMYFUNCTION("""COMPUTED_VALUE"""),"")</f>
        <v/>
      </c>
      <c r="S250" s="41" t="str">
        <f>IFERROR(__xludf.DUMMYFUNCTION("""COMPUTED_VALUE"""),"")</f>
        <v/>
      </c>
      <c r="T250" s="41" t="str">
        <f>IFERROR(__xludf.DUMMYFUNCTION("""COMPUTED_VALUE"""),"")</f>
        <v/>
      </c>
      <c r="U250" s="41" t="str">
        <f>IFERROR(__xludf.DUMMYFUNCTION("""COMPUTED_VALUE"""),"")</f>
        <v/>
      </c>
      <c r="V250" s="41" t="str">
        <f>IFERROR(__xludf.DUMMYFUNCTION("""COMPUTED_VALUE"""),"")</f>
        <v/>
      </c>
      <c r="W250" s="41" t="str">
        <f>IFERROR(__xludf.DUMMYFUNCTION("""COMPUTED_VALUE"""),"")</f>
        <v/>
      </c>
      <c r="X250" s="41" t="str">
        <f>IFERROR(__xludf.DUMMYFUNCTION("""COMPUTED_VALUE"""),"")</f>
        <v/>
      </c>
      <c r="Y250" s="41" t="str">
        <f>IFERROR(__xludf.DUMMYFUNCTION("""COMPUTED_VALUE"""),"")</f>
        <v/>
      </c>
      <c r="Z250" s="41" t="str">
        <f>IFERROR(__xludf.DUMMYFUNCTION("""COMPUTED_VALUE"""),"")</f>
        <v/>
      </c>
      <c r="AA250" s="41" t="str">
        <f>IFERROR(__xludf.DUMMYFUNCTION("""COMPUTED_VALUE"""),"")</f>
        <v/>
      </c>
      <c r="AB250" s="38" t="str">
        <f>IFERROR(__xludf.DUMMYFUNCTION("""COMPUTED_VALUE"""),"")</f>
        <v/>
      </c>
    </row>
    <row r="251">
      <c r="A251" s="41" t="str">
        <f>IFERROR(__xludf.DUMMYFUNCTION("""COMPUTED_VALUE"""),"Python and flutter")</f>
        <v>Python and flutter</v>
      </c>
      <c r="B251" s="42" t="s">
        <v>1427</v>
      </c>
      <c r="N251" s="38"/>
      <c r="P251" s="42" t="str">
        <f>IFERROR(__xludf.DUMMYFUNCTION("""COMPUTED_VALUE"""),"native")</f>
        <v>native</v>
      </c>
      <c r="Q251" s="41" t="str">
        <f>IFERROR(__xludf.DUMMYFUNCTION("""COMPUTED_VALUE"""),"slack")</f>
        <v>slack</v>
      </c>
      <c r="R251" s="41" t="str">
        <f>IFERROR(__xludf.DUMMYFUNCTION("""COMPUTED_VALUE"""),"")</f>
        <v/>
      </c>
      <c r="S251" s="41" t="str">
        <f>IFERROR(__xludf.DUMMYFUNCTION("""COMPUTED_VALUE"""),"")</f>
        <v/>
      </c>
      <c r="T251" s="41" t="str">
        <f>IFERROR(__xludf.DUMMYFUNCTION("""COMPUTED_VALUE"""),"")</f>
        <v/>
      </c>
      <c r="U251" s="41" t="str">
        <f>IFERROR(__xludf.DUMMYFUNCTION("""COMPUTED_VALUE"""),"")</f>
        <v/>
      </c>
      <c r="V251" s="41" t="str">
        <f>IFERROR(__xludf.DUMMYFUNCTION("""COMPUTED_VALUE"""),"")</f>
        <v/>
      </c>
      <c r="W251" s="41" t="str">
        <f>IFERROR(__xludf.DUMMYFUNCTION("""COMPUTED_VALUE"""),"")</f>
        <v/>
      </c>
      <c r="X251" s="41" t="str">
        <f>IFERROR(__xludf.DUMMYFUNCTION("""COMPUTED_VALUE"""),"")</f>
        <v/>
      </c>
      <c r="Y251" s="41" t="str">
        <f>IFERROR(__xludf.DUMMYFUNCTION("""COMPUTED_VALUE"""),"")</f>
        <v/>
      </c>
      <c r="Z251" s="41" t="str">
        <f>IFERROR(__xludf.DUMMYFUNCTION("""COMPUTED_VALUE"""),"")</f>
        <v/>
      </c>
      <c r="AA251" s="41" t="str">
        <f>IFERROR(__xludf.DUMMYFUNCTION("""COMPUTED_VALUE"""),"")</f>
        <v/>
      </c>
      <c r="AB251" s="38" t="str">
        <f>IFERROR(__xludf.DUMMYFUNCTION("""COMPUTED_VALUE"""),"")</f>
        <v/>
      </c>
    </row>
    <row r="252">
      <c r="A252" s="41" t="str">
        <f>IFERROR(__xludf.DUMMYFUNCTION("""COMPUTED_VALUE"""),"Python,React,.Net")</f>
        <v>Python,React,.Net</v>
      </c>
      <c r="B252" s="42" t="s">
        <v>405</v>
      </c>
      <c r="N252" s="38"/>
      <c r="P252" s="42" t="str">
        <f>IFERROR(__xludf.DUMMYFUNCTION("""COMPUTED_VALUE"""),"typescript")</f>
        <v>typescript</v>
      </c>
      <c r="Q252" s="41" t="str">
        <f>IFERROR(__xludf.DUMMYFUNCTION("""COMPUTED_VALUE"""),"ios")</f>
        <v>ios</v>
      </c>
      <c r="R252" s="41" t="str">
        <f>IFERROR(__xludf.DUMMYFUNCTION("""COMPUTED_VALUE"""),"")</f>
        <v/>
      </c>
      <c r="S252" s="41" t="str">
        <f>IFERROR(__xludf.DUMMYFUNCTION("""COMPUTED_VALUE"""),"")</f>
        <v/>
      </c>
      <c r="T252" s="41" t="str">
        <f>IFERROR(__xludf.DUMMYFUNCTION("""COMPUTED_VALUE"""),"")</f>
        <v/>
      </c>
      <c r="U252" s="41" t="str">
        <f>IFERROR(__xludf.DUMMYFUNCTION("""COMPUTED_VALUE"""),"")</f>
        <v/>
      </c>
      <c r="V252" s="41" t="str">
        <f>IFERROR(__xludf.DUMMYFUNCTION("""COMPUTED_VALUE"""),"")</f>
        <v/>
      </c>
      <c r="W252" s="41" t="str">
        <f>IFERROR(__xludf.DUMMYFUNCTION("""COMPUTED_VALUE"""),"")</f>
        <v/>
      </c>
      <c r="X252" s="41" t="str">
        <f>IFERROR(__xludf.DUMMYFUNCTION("""COMPUTED_VALUE"""),"")</f>
        <v/>
      </c>
      <c r="Y252" s="41" t="str">
        <f>IFERROR(__xludf.DUMMYFUNCTION("""COMPUTED_VALUE"""),"")</f>
        <v/>
      </c>
      <c r="Z252" s="41" t="str">
        <f>IFERROR(__xludf.DUMMYFUNCTION("""COMPUTED_VALUE"""),"")</f>
        <v/>
      </c>
      <c r="AA252" s="41" t="str">
        <f>IFERROR(__xludf.DUMMYFUNCTION("""COMPUTED_VALUE"""),"")</f>
        <v/>
      </c>
      <c r="AB252" s="38" t="str">
        <f>IFERROR(__xludf.DUMMYFUNCTION("""COMPUTED_VALUE"""),"")</f>
        <v/>
      </c>
    </row>
    <row r="253">
      <c r="A253" s="41" t="str">
        <f>IFERROR(__xludf.DUMMYFUNCTION("""COMPUTED_VALUE"""),"Java, Python, nodejs, angular")</f>
        <v>Java, Python, nodejs, angular</v>
      </c>
      <c r="B253" s="42" t="s">
        <v>1452</v>
      </c>
      <c r="N253" s="38"/>
      <c r="P253" s="42" t="str">
        <f>IFERROR(__xludf.DUMMYFUNCTION("""COMPUTED_VALUE"""),"android")</f>
        <v>android</v>
      </c>
      <c r="Q253" s="41" t="str">
        <f>IFERROR(__xludf.DUMMYFUNCTION("""COMPUTED_VALUE"""),"ar")</f>
        <v>ar</v>
      </c>
      <c r="R253" s="41" t="str">
        <f>IFERROR(__xludf.DUMMYFUNCTION("""COMPUTED_VALUE"""),"")</f>
        <v/>
      </c>
      <c r="S253" s="41" t="str">
        <f>IFERROR(__xludf.DUMMYFUNCTION("""COMPUTED_VALUE"""),"")</f>
        <v/>
      </c>
      <c r="T253" s="41" t="str">
        <f>IFERROR(__xludf.DUMMYFUNCTION("""COMPUTED_VALUE"""),"")</f>
        <v/>
      </c>
      <c r="U253" s="41" t="str">
        <f>IFERROR(__xludf.DUMMYFUNCTION("""COMPUTED_VALUE"""),"")</f>
        <v/>
      </c>
      <c r="V253" s="41" t="str">
        <f>IFERROR(__xludf.DUMMYFUNCTION("""COMPUTED_VALUE"""),"")</f>
        <v/>
      </c>
      <c r="W253" s="41" t="str">
        <f>IFERROR(__xludf.DUMMYFUNCTION("""COMPUTED_VALUE"""),"")</f>
        <v/>
      </c>
      <c r="X253" s="41" t="str">
        <f>IFERROR(__xludf.DUMMYFUNCTION("""COMPUTED_VALUE"""),"")</f>
        <v/>
      </c>
      <c r="Y253" s="41" t="str">
        <f>IFERROR(__xludf.DUMMYFUNCTION("""COMPUTED_VALUE"""),"")</f>
        <v/>
      </c>
      <c r="Z253" s="41" t="str">
        <f>IFERROR(__xludf.DUMMYFUNCTION("""COMPUTED_VALUE"""),"")</f>
        <v/>
      </c>
      <c r="AA253" s="41" t="str">
        <f>IFERROR(__xludf.DUMMYFUNCTION("""COMPUTED_VALUE"""),"")</f>
        <v/>
      </c>
      <c r="AB253" s="38" t="str">
        <f>IFERROR(__xludf.DUMMYFUNCTION("""COMPUTED_VALUE"""),"")</f>
        <v/>
      </c>
    </row>
    <row r="254">
      <c r="A254" s="41" t="str">
        <f>IFERROR(__xludf.DUMMYFUNCTION("""COMPUTED_VALUE"""),"Java, python")</f>
        <v>Java, python</v>
      </c>
      <c r="B254" s="42" t="s">
        <v>78</v>
      </c>
      <c r="C254" s="41" t="s">
        <v>1979</v>
      </c>
      <c r="D254" s="41" t="s">
        <v>321</v>
      </c>
      <c r="N254" s="38"/>
      <c r="P254" s="42" t="str">
        <f>IFERROR(__xludf.DUMMYFUNCTION("""COMPUTED_VALUE"""),"java")</f>
        <v>java</v>
      </c>
      <c r="Q254" s="41" t="str">
        <f>IFERROR(__xludf.DUMMYFUNCTION("""COMPUTED_VALUE"""),"stuff")</f>
        <v>stuff</v>
      </c>
      <c r="R254" s="41" t="str">
        <f>IFERROR(__xludf.DUMMYFUNCTION("""COMPUTED_VALUE"""),"")</f>
        <v/>
      </c>
      <c r="S254" s="41" t="str">
        <f>IFERROR(__xludf.DUMMYFUNCTION("""COMPUTED_VALUE"""),"")</f>
        <v/>
      </c>
      <c r="T254" s="41" t="str">
        <f>IFERROR(__xludf.DUMMYFUNCTION("""COMPUTED_VALUE"""),"")</f>
        <v/>
      </c>
      <c r="U254" s="41" t="str">
        <f>IFERROR(__xludf.DUMMYFUNCTION("""COMPUTED_VALUE"""),"")</f>
        <v/>
      </c>
      <c r="V254" s="41" t="str">
        <f>IFERROR(__xludf.DUMMYFUNCTION("""COMPUTED_VALUE"""),"")</f>
        <v/>
      </c>
      <c r="W254" s="41" t="str">
        <f>IFERROR(__xludf.DUMMYFUNCTION("""COMPUTED_VALUE"""),"")</f>
        <v/>
      </c>
      <c r="X254" s="41" t="str">
        <f>IFERROR(__xludf.DUMMYFUNCTION("""COMPUTED_VALUE"""),"")</f>
        <v/>
      </c>
      <c r="Y254" s="41" t="str">
        <f>IFERROR(__xludf.DUMMYFUNCTION("""COMPUTED_VALUE"""),"")</f>
        <v/>
      </c>
      <c r="Z254" s="41" t="str">
        <f>IFERROR(__xludf.DUMMYFUNCTION("""COMPUTED_VALUE"""),"")</f>
        <v/>
      </c>
      <c r="AA254" s="41" t="str">
        <f>IFERROR(__xludf.DUMMYFUNCTION("""COMPUTED_VALUE"""),"")</f>
        <v/>
      </c>
      <c r="AB254" s="38" t="str">
        <f>IFERROR(__xludf.DUMMYFUNCTION("""COMPUTED_VALUE"""),"")</f>
        <v/>
      </c>
    </row>
    <row r="255">
      <c r="A255" s="41" t="str">
        <f>IFERROR(__xludf.DUMMYFUNCTION("""COMPUTED_VALUE"""),"GCP,vuejs,nuxtjs")</f>
        <v>GCP,vuejs,nuxtjs</v>
      </c>
      <c r="B255" s="42" t="s">
        <v>224</v>
      </c>
      <c r="C255" s="41" t="s">
        <v>78</v>
      </c>
      <c r="D255" s="41" t="s">
        <v>4016</v>
      </c>
      <c r="E255" s="41" t="s">
        <v>4252</v>
      </c>
      <c r="N255" s="38"/>
      <c r="P255" s="42" t="str">
        <f>IFERROR(__xludf.DUMMYFUNCTION("""COMPUTED_VALUE"""),"webflow")</f>
        <v>webflow</v>
      </c>
      <c r="Q255" s="41" t="str">
        <f>IFERROR(__xludf.DUMMYFUNCTION("""COMPUTED_VALUE"""),"sql")</f>
        <v>sql</v>
      </c>
      <c r="R255" s="41" t="str">
        <f>IFERROR(__xludf.DUMMYFUNCTION("""COMPUTED_VALUE"""),"")</f>
        <v/>
      </c>
      <c r="S255" s="41" t="str">
        <f>IFERROR(__xludf.DUMMYFUNCTION("""COMPUTED_VALUE"""),"")</f>
        <v/>
      </c>
      <c r="T255" s="41" t="str">
        <f>IFERROR(__xludf.DUMMYFUNCTION("""COMPUTED_VALUE"""),"")</f>
        <v/>
      </c>
      <c r="U255" s="41" t="str">
        <f>IFERROR(__xludf.DUMMYFUNCTION("""COMPUTED_VALUE"""),"")</f>
        <v/>
      </c>
      <c r="V255" s="41" t="str">
        <f>IFERROR(__xludf.DUMMYFUNCTION("""COMPUTED_VALUE"""),"")</f>
        <v/>
      </c>
      <c r="W255" s="41" t="str">
        <f>IFERROR(__xludf.DUMMYFUNCTION("""COMPUTED_VALUE"""),"")</f>
        <v/>
      </c>
      <c r="X255" s="41" t="str">
        <f>IFERROR(__xludf.DUMMYFUNCTION("""COMPUTED_VALUE"""),"")</f>
        <v/>
      </c>
      <c r="Y255" s="41" t="str">
        <f>IFERROR(__xludf.DUMMYFUNCTION("""COMPUTED_VALUE"""),"")</f>
        <v/>
      </c>
      <c r="Z255" s="41" t="str">
        <f>IFERROR(__xludf.DUMMYFUNCTION("""COMPUTED_VALUE"""),"")</f>
        <v/>
      </c>
      <c r="AA255" s="41" t="str">
        <f>IFERROR(__xludf.DUMMYFUNCTION("""COMPUTED_VALUE"""),"")</f>
        <v/>
      </c>
      <c r="AB255" s="38" t="str">
        <f>IFERROR(__xludf.DUMMYFUNCTION("""COMPUTED_VALUE"""),"")</f>
        <v/>
      </c>
    </row>
    <row r="256">
      <c r="A256" s="41" t="str">
        <f>IFERROR(__xludf.DUMMYFUNCTION("""COMPUTED_VALUE"""),"Android")</f>
        <v>Android</v>
      </c>
      <c r="B256" s="42" t="s">
        <v>224</v>
      </c>
      <c r="C256" s="41" t="s">
        <v>508</v>
      </c>
      <c r="N256" s="38"/>
      <c r="P256" s="42" t="str">
        <f>IFERROR(__xludf.DUMMYFUNCTION("""COMPUTED_VALUE"""),"java")</f>
        <v>java</v>
      </c>
      <c r="Q256" s="41" t="str">
        <f>IFERROR(__xludf.DUMMYFUNCTION("""COMPUTED_VALUE"""),"spring")</f>
        <v>spring</v>
      </c>
      <c r="R256" s="41" t="str">
        <f>IFERROR(__xludf.DUMMYFUNCTION("""COMPUTED_VALUE"""),"")</f>
        <v/>
      </c>
      <c r="S256" s="41" t="str">
        <f>IFERROR(__xludf.DUMMYFUNCTION("""COMPUTED_VALUE"""),"")</f>
        <v/>
      </c>
      <c r="T256" s="41" t="str">
        <f>IFERROR(__xludf.DUMMYFUNCTION("""COMPUTED_VALUE"""),"")</f>
        <v/>
      </c>
      <c r="U256" s="41" t="str">
        <f>IFERROR(__xludf.DUMMYFUNCTION("""COMPUTED_VALUE"""),"")</f>
        <v/>
      </c>
      <c r="V256" s="41" t="str">
        <f>IFERROR(__xludf.DUMMYFUNCTION("""COMPUTED_VALUE"""),"")</f>
        <v/>
      </c>
      <c r="W256" s="41" t="str">
        <f>IFERROR(__xludf.DUMMYFUNCTION("""COMPUTED_VALUE"""),"")</f>
        <v/>
      </c>
      <c r="X256" s="41" t="str">
        <f>IFERROR(__xludf.DUMMYFUNCTION("""COMPUTED_VALUE"""),"")</f>
        <v/>
      </c>
      <c r="Y256" s="41" t="str">
        <f>IFERROR(__xludf.DUMMYFUNCTION("""COMPUTED_VALUE"""),"")</f>
        <v/>
      </c>
      <c r="Z256" s="41" t="str">
        <f>IFERROR(__xludf.DUMMYFUNCTION("""COMPUTED_VALUE"""),"")</f>
        <v/>
      </c>
      <c r="AA256" s="41" t="str">
        <f>IFERROR(__xludf.DUMMYFUNCTION("""COMPUTED_VALUE"""),"")</f>
        <v/>
      </c>
      <c r="AB256" s="38" t="str">
        <f>IFERROR(__xludf.DUMMYFUNCTION("""COMPUTED_VALUE"""),"")</f>
        <v/>
      </c>
    </row>
    <row r="257">
      <c r="A257" s="41" t="str">
        <f>IFERROR(__xludf.DUMMYFUNCTION("""COMPUTED_VALUE"""),"Laptop")</f>
        <v>Laptop</v>
      </c>
      <c r="B257" s="42" t="s">
        <v>4269</v>
      </c>
      <c r="C257" s="41" t="s">
        <v>270</v>
      </c>
      <c r="D257" s="41" t="s">
        <v>4292</v>
      </c>
      <c r="N257" s="38"/>
      <c r="P257" s="42" t="str">
        <f>IFERROR(__xludf.DUMMYFUNCTION("""COMPUTED_VALUE"""),"java")</f>
        <v>java</v>
      </c>
      <c r="Q257" s="41" t="str">
        <f>IFERROR(__xludf.DUMMYFUNCTION("""COMPUTED_VALUE"""),"boot")</f>
        <v>boot</v>
      </c>
      <c r="R257" s="41" t="str">
        <f>IFERROR(__xludf.DUMMYFUNCTION("""COMPUTED_VALUE"""),"")</f>
        <v/>
      </c>
      <c r="S257" s="41" t="str">
        <f>IFERROR(__xludf.DUMMYFUNCTION("""COMPUTED_VALUE"""),"")</f>
        <v/>
      </c>
      <c r="T257" s="41" t="str">
        <f>IFERROR(__xludf.DUMMYFUNCTION("""COMPUTED_VALUE"""),"")</f>
        <v/>
      </c>
      <c r="U257" s="41" t="str">
        <f>IFERROR(__xludf.DUMMYFUNCTION("""COMPUTED_VALUE"""),"")</f>
        <v/>
      </c>
      <c r="V257" s="41" t="str">
        <f>IFERROR(__xludf.DUMMYFUNCTION("""COMPUTED_VALUE"""),"")</f>
        <v/>
      </c>
      <c r="W257" s="41" t="str">
        <f>IFERROR(__xludf.DUMMYFUNCTION("""COMPUTED_VALUE"""),"")</f>
        <v/>
      </c>
      <c r="X257" s="41" t="str">
        <f>IFERROR(__xludf.DUMMYFUNCTION("""COMPUTED_VALUE"""),"")</f>
        <v/>
      </c>
      <c r="Y257" s="41" t="str">
        <f>IFERROR(__xludf.DUMMYFUNCTION("""COMPUTED_VALUE"""),"")</f>
        <v/>
      </c>
      <c r="Z257" s="41" t="str">
        <f>IFERROR(__xludf.DUMMYFUNCTION("""COMPUTED_VALUE"""),"")</f>
        <v/>
      </c>
      <c r="AA257" s="41" t="str">
        <f>IFERROR(__xludf.DUMMYFUNCTION("""COMPUTED_VALUE"""),"")</f>
        <v/>
      </c>
      <c r="AB257" s="38" t="str">
        <f>IFERROR(__xludf.DUMMYFUNCTION("""COMPUTED_VALUE"""),"")</f>
        <v/>
      </c>
    </row>
    <row r="258">
      <c r="A258" s="41" t="str">
        <f>IFERROR(__xludf.DUMMYFUNCTION("""COMPUTED_VALUE"""),"Laravel, React, Vue")</f>
        <v>Laravel, React, Vue</v>
      </c>
      <c r="B258" s="42" t="s">
        <v>865</v>
      </c>
      <c r="N258" s="38"/>
      <c r="P258" s="42" t="str">
        <f>IFERROR(__xludf.DUMMYFUNCTION("""COMPUTED_VALUE"""),"groovy")</f>
        <v>groovy</v>
      </c>
      <c r="Q258" s="41" t="str">
        <f>IFERROR(__xludf.DUMMYFUNCTION("""COMPUTED_VALUE"""),"docker")</f>
        <v>docker</v>
      </c>
      <c r="R258" s="41" t="str">
        <f>IFERROR(__xludf.DUMMYFUNCTION("""COMPUTED_VALUE"""),"")</f>
        <v/>
      </c>
      <c r="S258" s="41" t="str">
        <f>IFERROR(__xludf.DUMMYFUNCTION("""COMPUTED_VALUE"""),"")</f>
        <v/>
      </c>
      <c r="T258" s="41" t="str">
        <f>IFERROR(__xludf.DUMMYFUNCTION("""COMPUTED_VALUE"""),"")</f>
        <v/>
      </c>
      <c r="U258" s="41" t="str">
        <f>IFERROR(__xludf.DUMMYFUNCTION("""COMPUTED_VALUE"""),"")</f>
        <v/>
      </c>
      <c r="V258" s="41" t="str">
        <f>IFERROR(__xludf.DUMMYFUNCTION("""COMPUTED_VALUE"""),"")</f>
        <v/>
      </c>
      <c r="W258" s="41" t="str">
        <f>IFERROR(__xludf.DUMMYFUNCTION("""COMPUTED_VALUE"""),"")</f>
        <v/>
      </c>
      <c r="X258" s="41" t="str">
        <f>IFERROR(__xludf.DUMMYFUNCTION("""COMPUTED_VALUE"""),"")</f>
        <v/>
      </c>
      <c r="Y258" s="41" t="str">
        <f>IFERROR(__xludf.DUMMYFUNCTION("""COMPUTED_VALUE"""),"")</f>
        <v/>
      </c>
      <c r="Z258" s="41" t="str">
        <f>IFERROR(__xludf.DUMMYFUNCTION("""COMPUTED_VALUE"""),"")</f>
        <v/>
      </c>
      <c r="AA258" s="41" t="str">
        <f>IFERROR(__xludf.DUMMYFUNCTION("""COMPUTED_VALUE"""),"")</f>
        <v/>
      </c>
      <c r="AB258" s="38" t="str">
        <f>IFERROR(__xludf.DUMMYFUNCTION("""COMPUTED_VALUE"""),"")</f>
        <v/>
      </c>
    </row>
    <row r="259">
      <c r="A259" s="41" t="str">
        <f>IFERROR(__xludf.DUMMYFUNCTION("""COMPUTED_VALUE"""),".net")</f>
        <v>.net</v>
      </c>
      <c r="B259" s="42" t="s">
        <v>87</v>
      </c>
      <c r="N259" s="38"/>
      <c r="P259" s="42" t="str">
        <f>IFERROR(__xludf.DUMMYFUNCTION("""COMPUTED_VALUE"""),".net")</f>
        <v>.net</v>
      </c>
      <c r="Q259" s="45" t="str">
        <f>IFERROR(__xludf.DUMMYFUNCTION("""COMPUTED_VALUE"""),"asp.net")</f>
        <v>asp.net</v>
      </c>
      <c r="R259" s="41" t="str">
        <f>IFERROR(__xludf.DUMMYFUNCTION("""COMPUTED_VALUE"""),"")</f>
        <v/>
      </c>
      <c r="S259" s="41" t="str">
        <f>IFERROR(__xludf.DUMMYFUNCTION("""COMPUTED_VALUE"""),"")</f>
        <v/>
      </c>
      <c r="T259" s="41" t="str">
        <f>IFERROR(__xludf.DUMMYFUNCTION("""COMPUTED_VALUE"""),"")</f>
        <v/>
      </c>
      <c r="U259" s="41" t="str">
        <f>IFERROR(__xludf.DUMMYFUNCTION("""COMPUTED_VALUE"""),"")</f>
        <v/>
      </c>
      <c r="V259" s="41" t="str">
        <f>IFERROR(__xludf.DUMMYFUNCTION("""COMPUTED_VALUE"""),"")</f>
        <v/>
      </c>
      <c r="W259" s="41" t="str">
        <f>IFERROR(__xludf.DUMMYFUNCTION("""COMPUTED_VALUE"""),"")</f>
        <v/>
      </c>
      <c r="X259" s="41" t="str">
        <f>IFERROR(__xludf.DUMMYFUNCTION("""COMPUTED_VALUE"""),"")</f>
        <v/>
      </c>
      <c r="Y259" s="41" t="str">
        <f>IFERROR(__xludf.DUMMYFUNCTION("""COMPUTED_VALUE"""),"")</f>
        <v/>
      </c>
      <c r="Z259" s="41" t="str">
        <f>IFERROR(__xludf.DUMMYFUNCTION("""COMPUTED_VALUE"""),"")</f>
        <v/>
      </c>
      <c r="AA259" s="41" t="str">
        <f>IFERROR(__xludf.DUMMYFUNCTION("""COMPUTED_VALUE"""),"")</f>
        <v/>
      </c>
      <c r="AB259" s="38" t="str">
        <f>IFERROR(__xludf.DUMMYFUNCTION("""COMPUTED_VALUE"""),"")</f>
        <v/>
      </c>
    </row>
    <row r="260">
      <c r="A260" s="41" t="str">
        <f>IFERROR(__xludf.DUMMYFUNCTION("""COMPUTED_VALUE"""),"Flutter,Golang,Nodejs,Vuejs")</f>
        <v>Flutter,Golang,Nodejs,Vuejs</v>
      </c>
      <c r="B260" s="42" t="s">
        <v>103</v>
      </c>
      <c r="C260" s="41" t="s">
        <v>1979</v>
      </c>
      <c r="D260" s="41" t="s">
        <v>4184</v>
      </c>
      <c r="N260" s="38"/>
      <c r="P260" s="46" t="str">
        <f>IFERROR(__xludf.DUMMYFUNCTION("""COMPUTED_VALUE"""),"asp.net")</f>
        <v>asp.net</v>
      </c>
      <c r="Q260" s="41" t="str">
        <f>IFERROR(__xludf.DUMMYFUNCTION("""COMPUTED_VALUE"""),"xcode")</f>
        <v>xcode</v>
      </c>
      <c r="R260" s="41" t="str">
        <f>IFERROR(__xludf.DUMMYFUNCTION("""COMPUTED_VALUE"""),"")</f>
        <v/>
      </c>
      <c r="S260" s="41" t="str">
        <f>IFERROR(__xludf.DUMMYFUNCTION("""COMPUTED_VALUE"""),"")</f>
        <v/>
      </c>
      <c r="T260" s="41" t="str">
        <f>IFERROR(__xludf.DUMMYFUNCTION("""COMPUTED_VALUE"""),"")</f>
        <v/>
      </c>
      <c r="U260" s="41" t="str">
        <f>IFERROR(__xludf.DUMMYFUNCTION("""COMPUTED_VALUE"""),"")</f>
        <v/>
      </c>
      <c r="V260" s="41" t="str">
        <f>IFERROR(__xludf.DUMMYFUNCTION("""COMPUTED_VALUE"""),"")</f>
        <v/>
      </c>
      <c r="W260" s="41" t="str">
        <f>IFERROR(__xludf.DUMMYFUNCTION("""COMPUTED_VALUE"""),"")</f>
        <v/>
      </c>
      <c r="X260" s="41" t="str">
        <f>IFERROR(__xludf.DUMMYFUNCTION("""COMPUTED_VALUE"""),"")</f>
        <v/>
      </c>
      <c r="Y260" s="41" t="str">
        <f>IFERROR(__xludf.DUMMYFUNCTION("""COMPUTED_VALUE"""),"")</f>
        <v/>
      </c>
      <c r="Z260" s="41" t="str">
        <f>IFERROR(__xludf.DUMMYFUNCTION("""COMPUTED_VALUE"""),"")</f>
        <v/>
      </c>
      <c r="AA260" s="41" t="str">
        <f>IFERROR(__xludf.DUMMYFUNCTION("""COMPUTED_VALUE"""),"")</f>
        <v/>
      </c>
      <c r="AB260" s="38" t="str">
        <f>IFERROR(__xludf.DUMMYFUNCTION("""COMPUTED_VALUE"""),"")</f>
        <v/>
      </c>
    </row>
    <row r="261">
      <c r="A261" s="41" t="str">
        <f>IFERROR(__xludf.DUMMYFUNCTION("""COMPUTED_VALUE"""),"Laravel, React, Vue")</f>
        <v>Laravel, React, Vue</v>
      </c>
      <c r="B261" s="42" t="s">
        <v>384</v>
      </c>
      <c r="N261" s="38"/>
      <c r="P261" s="42" t="str">
        <f>IFERROR(__xludf.DUMMYFUNCTION("""COMPUTED_VALUE"""),"(c#")</f>
        <v>(c#</v>
      </c>
      <c r="Q261" s="41" t="str">
        <f>IFERROR(__xludf.DUMMYFUNCTION("""COMPUTED_VALUE"""),"python")</f>
        <v>python</v>
      </c>
      <c r="R261" s="41" t="str">
        <f>IFERROR(__xludf.DUMMYFUNCTION("""COMPUTED_VALUE"""),"")</f>
        <v/>
      </c>
      <c r="S261" s="41" t="str">
        <f>IFERROR(__xludf.DUMMYFUNCTION("""COMPUTED_VALUE"""),"")</f>
        <v/>
      </c>
      <c r="T261" s="41" t="str">
        <f>IFERROR(__xludf.DUMMYFUNCTION("""COMPUTED_VALUE"""),"")</f>
        <v/>
      </c>
      <c r="U261" s="41" t="str">
        <f>IFERROR(__xludf.DUMMYFUNCTION("""COMPUTED_VALUE"""),"")</f>
        <v/>
      </c>
      <c r="V261" s="41" t="str">
        <f>IFERROR(__xludf.DUMMYFUNCTION("""COMPUTED_VALUE"""),"")</f>
        <v/>
      </c>
      <c r="W261" s="41" t="str">
        <f>IFERROR(__xludf.DUMMYFUNCTION("""COMPUTED_VALUE"""),"")</f>
        <v/>
      </c>
      <c r="X261" s="41" t="str">
        <f>IFERROR(__xludf.DUMMYFUNCTION("""COMPUTED_VALUE"""),"")</f>
        <v/>
      </c>
      <c r="Y261" s="41" t="str">
        <f>IFERROR(__xludf.DUMMYFUNCTION("""COMPUTED_VALUE"""),"")</f>
        <v/>
      </c>
      <c r="Z261" s="41" t="str">
        <f>IFERROR(__xludf.DUMMYFUNCTION("""COMPUTED_VALUE"""),"")</f>
        <v/>
      </c>
      <c r="AA261" s="41" t="str">
        <f>IFERROR(__xludf.DUMMYFUNCTION("""COMPUTED_VALUE"""),"")</f>
        <v/>
      </c>
      <c r="AB261" s="38" t="str">
        <f>IFERROR(__xludf.DUMMYFUNCTION("""COMPUTED_VALUE"""),"")</f>
        <v/>
      </c>
    </row>
    <row r="262">
      <c r="A262" s="41" t="str">
        <f>IFERROR(__xludf.DUMMYFUNCTION("""COMPUTED_VALUE"""),"C#, Angular, React ")</f>
        <v>C#, Angular, React </v>
      </c>
      <c r="B262" s="42" t="s">
        <v>457</v>
      </c>
      <c r="C262" s="41" t="s">
        <v>1949</v>
      </c>
      <c r="D262" s="41" t="s">
        <v>4102</v>
      </c>
      <c r="E262" s="41" t="s">
        <v>3717</v>
      </c>
      <c r="N262" s="38"/>
      <c r="P262" s="42" t="str">
        <f>IFERROR(__xludf.DUMMYFUNCTION("""COMPUTED_VALUE"""),"and")</f>
        <v>and</v>
      </c>
      <c r="Q262" s="41" t="str">
        <f>IFERROR(__xludf.DUMMYFUNCTION("""COMPUTED_VALUE"""),"react")</f>
        <v>react</v>
      </c>
      <c r="R262" s="41" t="str">
        <f>IFERROR(__xludf.DUMMYFUNCTION("""COMPUTED_VALUE"""),"")</f>
        <v/>
      </c>
      <c r="S262" s="41" t="str">
        <f>IFERROR(__xludf.DUMMYFUNCTION("""COMPUTED_VALUE"""),"")</f>
        <v/>
      </c>
      <c r="T262" s="41" t="str">
        <f>IFERROR(__xludf.DUMMYFUNCTION("""COMPUTED_VALUE"""),"")</f>
        <v/>
      </c>
      <c r="U262" s="41" t="str">
        <f>IFERROR(__xludf.DUMMYFUNCTION("""COMPUTED_VALUE"""),"")</f>
        <v/>
      </c>
      <c r="V262" s="41" t="str">
        <f>IFERROR(__xludf.DUMMYFUNCTION("""COMPUTED_VALUE"""),"")</f>
        <v/>
      </c>
      <c r="W262" s="41" t="str">
        <f>IFERROR(__xludf.DUMMYFUNCTION("""COMPUTED_VALUE"""),"")</f>
        <v/>
      </c>
      <c r="X262" s="41" t="str">
        <f>IFERROR(__xludf.DUMMYFUNCTION("""COMPUTED_VALUE"""),"")</f>
        <v/>
      </c>
      <c r="Y262" s="41" t="str">
        <f>IFERROR(__xludf.DUMMYFUNCTION("""COMPUTED_VALUE"""),"")</f>
        <v/>
      </c>
      <c r="Z262" s="41" t="str">
        <f>IFERROR(__xludf.DUMMYFUNCTION("""COMPUTED_VALUE"""),"")</f>
        <v/>
      </c>
      <c r="AA262" s="41" t="str">
        <f>IFERROR(__xludf.DUMMYFUNCTION("""COMPUTED_VALUE"""),"")</f>
        <v/>
      </c>
      <c r="AB262" s="38" t="str">
        <f>IFERROR(__xludf.DUMMYFUNCTION("""COMPUTED_VALUE"""),"")</f>
        <v/>
      </c>
    </row>
    <row r="263">
      <c r="A263" s="41" t="str">
        <f>IFERROR(__xludf.DUMMYFUNCTION("""COMPUTED_VALUE""")," .net")</f>
        <v> .net</v>
      </c>
      <c r="B263" s="42" t="s">
        <v>103</v>
      </c>
      <c r="C263" s="41" t="s">
        <v>1979</v>
      </c>
      <c r="D263" s="41" t="s">
        <v>4184</v>
      </c>
      <c r="N263" s="38"/>
      <c r="P263" s="42" t="str">
        <f>IFERROR(__xludf.DUMMYFUNCTION("""COMPUTED_VALUE"""),"vb.net)")</f>
        <v>vb.net)</v>
      </c>
      <c r="Q263" s="41" t="str">
        <f>IFERROR(__xludf.DUMMYFUNCTION("""COMPUTED_VALUE"""),"next")</f>
        <v>next</v>
      </c>
      <c r="R263" s="41" t="str">
        <f>IFERROR(__xludf.DUMMYFUNCTION("""COMPUTED_VALUE"""),"")</f>
        <v/>
      </c>
      <c r="S263" s="41" t="str">
        <f>IFERROR(__xludf.DUMMYFUNCTION("""COMPUTED_VALUE"""),"")</f>
        <v/>
      </c>
      <c r="T263" s="41" t="str">
        <f>IFERROR(__xludf.DUMMYFUNCTION("""COMPUTED_VALUE"""),"")</f>
        <v/>
      </c>
      <c r="U263" s="41" t="str">
        <f>IFERROR(__xludf.DUMMYFUNCTION("""COMPUTED_VALUE"""),"")</f>
        <v/>
      </c>
      <c r="V263" s="41" t="str">
        <f>IFERROR(__xludf.DUMMYFUNCTION("""COMPUTED_VALUE"""),"")</f>
        <v/>
      </c>
      <c r="W263" s="41" t="str">
        <f>IFERROR(__xludf.DUMMYFUNCTION("""COMPUTED_VALUE"""),"")</f>
        <v/>
      </c>
      <c r="X263" s="41" t="str">
        <f>IFERROR(__xludf.DUMMYFUNCTION("""COMPUTED_VALUE"""),"")</f>
        <v/>
      </c>
      <c r="Y263" s="41" t="str">
        <f>IFERROR(__xludf.DUMMYFUNCTION("""COMPUTED_VALUE"""),"")</f>
        <v/>
      </c>
      <c r="Z263" s="41" t="str">
        <f>IFERROR(__xludf.DUMMYFUNCTION("""COMPUTED_VALUE"""),"")</f>
        <v/>
      </c>
      <c r="AA263" s="41" t="str">
        <f>IFERROR(__xludf.DUMMYFUNCTION("""COMPUTED_VALUE"""),"")</f>
        <v/>
      </c>
      <c r="AB263" s="38" t="str">
        <f>IFERROR(__xludf.DUMMYFUNCTION("""COMPUTED_VALUE"""),"")</f>
        <v/>
      </c>
    </row>
    <row r="264">
      <c r="A264" s="41" t="str">
        <f>IFERROR(__xludf.DUMMYFUNCTION("""COMPUTED_VALUE"""),"C#, .Net, .Net Core, SQL Server")</f>
        <v>C#, .Net, .Net Core, SQL Server</v>
      </c>
      <c r="B264" s="42" t="s">
        <v>809</v>
      </c>
      <c r="C264" s="41" t="s">
        <v>704</v>
      </c>
      <c r="D264" s="41" t="s">
        <v>1979</v>
      </c>
      <c r="N264" s="38"/>
      <c r="P264" s="42" t="str">
        <f>IFERROR(__xludf.DUMMYFUNCTION("""COMPUTED_VALUE"""),".net")</f>
        <v>.net</v>
      </c>
      <c r="Q264" s="41" t="str">
        <f>IFERROR(__xludf.DUMMYFUNCTION("""COMPUTED_VALUE"""),"azure")</f>
        <v>azure</v>
      </c>
      <c r="R264" s="41" t="str">
        <f>IFERROR(__xludf.DUMMYFUNCTION("""COMPUTED_VALUE"""),"")</f>
        <v/>
      </c>
      <c r="S264" s="41" t="str">
        <f>IFERROR(__xludf.DUMMYFUNCTION("""COMPUTED_VALUE"""),"")</f>
        <v/>
      </c>
      <c r="T264" s="41" t="str">
        <f>IFERROR(__xludf.DUMMYFUNCTION("""COMPUTED_VALUE"""),"")</f>
        <v/>
      </c>
      <c r="U264" s="41" t="str">
        <f>IFERROR(__xludf.DUMMYFUNCTION("""COMPUTED_VALUE"""),"")</f>
        <v/>
      </c>
      <c r="V264" s="41" t="str">
        <f>IFERROR(__xludf.DUMMYFUNCTION("""COMPUTED_VALUE"""),"")</f>
        <v/>
      </c>
      <c r="W264" s="41" t="str">
        <f>IFERROR(__xludf.DUMMYFUNCTION("""COMPUTED_VALUE"""),"")</f>
        <v/>
      </c>
      <c r="X264" s="41" t="str">
        <f>IFERROR(__xludf.DUMMYFUNCTION("""COMPUTED_VALUE"""),"")</f>
        <v/>
      </c>
      <c r="Y264" s="41" t="str">
        <f>IFERROR(__xludf.DUMMYFUNCTION("""COMPUTED_VALUE"""),"")</f>
        <v/>
      </c>
      <c r="Z264" s="41" t="str">
        <f>IFERROR(__xludf.DUMMYFUNCTION("""COMPUTED_VALUE"""),"")</f>
        <v/>
      </c>
      <c r="AA264" s="41" t="str">
        <f>IFERROR(__xludf.DUMMYFUNCTION("""COMPUTED_VALUE"""),"")</f>
        <v/>
      </c>
      <c r="AB264" s="38" t="str">
        <f>IFERROR(__xludf.DUMMYFUNCTION("""COMPUTED_VALUE"""),"")</f>
        <v/>
      </c>
    </row>
    <row r="265">
      <c r="A265" s="41" t="str">
        <f>IFERROR(__xludf.DUMMYFUNCTION("""COMPUTED_VALUE"""),"Java")</f>
        <v>Java</v>
      </c>
      <c r="B265" s="42" t="s">
        <v>384</v>
      </c>
      <c r="N265" s="38"/>
      <c r="P265" s="42" t="str">
        <f>IFERROR(__xludf.DUMMYFUNCTION("""COMPUTED_VALUE"""),"php")</f>
        <v>php</v>
      </c>
      <c r="Q265" s="41" t="str">
        <f>IFERROR(__xludf.DUMMYFUNCTION("""COMPUTED_VALUE"""),"microsoft")</f>
        <v>microsoft</v>
      </c>
      <c r="R265" s="41" t="str">
        <f>IFERROR(__xludf.DUMMYFUNCTION("""COMPUTED_VALUE"""),"")</f>
        <v/>
      </c>
      <c r="S265" s="41" t="str">
        <f>IFERROR(__xludf.DUMMYFUNCTION("""COMPUTED_VALUE"""),"")</f>
        <v/>
      </c>
      <c r="T265" s="41" t="str">
        <f>IFERROR(__xludf.DUMMYFUNCTION("""COMPUTED_VALUE"""),"")</f>
        <v/>
      </c>
      <c r="U265" s="41" t="str">
        <f>IFERROR(__xludf.DUMMYFUNCTION("""COMPUTED_VALUE"""),"")</f>
        <v/>
      </c>
      <c r="V265" s="41" t="str">
        <f>IFERROR(__xludf.DUMMYFUNCTION("""COMPUTED_VALUE"""),"")</f>
        <v/>
      </c>
      <c r="W265" s="41" t="str">
        <f>IFERROR(__xludf.DUMMYFUNCTION("""COMPUTED_VALUE"""),"")</f>
        <v/>
      </c>
      <c r="X265" s="41" t="str">
        <f>IFERROR(__xludf.DUMMYFUNCTION("""COMPUTED_VALUE"""),"")</f>
        <v/>
      </c>
      <c r="Y265" s="41" t="str">
        <f>IFERROR(__xludf.DUMMYFUNCTION("""COMPUTED_VALUE"""),"")</f>
        <v/>
      </c>
      <c r="Z265" s="41" t="str">
        <f>IFERROR(__xludf.DUMMYFUNCTION("""COMPUTED_VALUE"""),"")</f>
        <v/>
      </c>
      <c r="AA265" s="41" t="str">
        <f>IFERROR(__xludf.DUMMYFUNCTION("""COMPUTED_VALUE"""),"")</f>
        <v/>
      </c>
      <c r="AB265" s="38" t="str">
        <f>IFERROR(__xludf.DUMMYFUNCTION("""COMPUTED_VALUE"""),"")</f>
        <v/>
      </c>
    </row>
    <row r="266">
      <c r="A266" s="41" t="str">
        <f>IFERROR(__xludf.DUMMYFUNCTION("""COMPUTED_VALUE"""),"Ruby on Rails")</f>
        <v>Ruby on Rails</v>
      </c>
      <c r="B266" s="42" t="s">
        <v>809</v>
      </c>
      <c r="C266" s="41" t="s">
        <v>321</v>
      </c>
      <c r="D266" s="41" t="s">
        <v>4293</v>
      </c>
      <c r="E266" s="41" t="s">
        <v>4254</v>
      </c>
      <c r="N266" s="38"/>
      <c r="P266" s="42" t="str">
        <f>IFERROR(__xludf.DUMMYFUNCTION("""COMPUTED_VALUE"""),"react")</f>
        <v>react</v>
      </c>
      <c r="Q266" s="41" t="str">
        <f>IFERROR(__xludf.DUMMYFUNCTION("""COMPUTED_VALUE"""),"azure")</f>
        <v>azure</v>
      </c>
      <c r="R266" s="41" t="str">
        <f>IFERROR(__xludf.DUMMYFUNCTION("""COMPUTED_VALUE"""),"")</f>
        <v/>
      </c>
      <c r="S266" s="41" t="str">
        <f>IFERROR(__xludf.DUMMYFUNCTION("""COMPUTED_VALUE"""),"")</f>
        <v/>
      </c>
      <c r="T266" s="41" t="str">
        <f>IFERROR(__xludf.DUMMYFUNCTION("""COMPUTED_VALUE"""),"")</f>
        <v/>
      </c>
      <c r="U266" s="41" t="str">
        <f>IFERROR(__xludf.DUMMYFUNCTION("""COMPUTED_VALUE"""),"")</f>
        <v/>
      </c>
      <c r="V266" s="41" t="str">
        <f>IFERROR(__xludf.DUMMYFUNCTION("""COMPUTED_VALUE"""),"")</f>
        <v/>
      </c>
      <c r="W266" s="41" t="str">
        <f>IFERROR(__xludf.DUMMYFUNCTION("""COMPUTED_VALUE"""),"")</f>
        <v/>
      </c>
      <c r="X266" s="41" t="str">
        <f>IFERROR(__xludf.DUMMYFUNCTION("""COMPUTED_VALUE"""),"")</f>
        <v/>
      </c>
      <c r="Y266" s="41" t="str">
        <f>IFERROR(__xludf.DUMMYFUNCTION("""COMPUTED_VALUE"""),"")</f>
        <v/>
      </c>
      <c r="Z266" s="41" t="str">
        <f>IFERROR(__xludf.DUMMYFUNCTION("""COMPUTED_VALUE"""),"")</f>
        <v/>
      </c>
      <c r="AA266" s="41" t="str">
        <f>IFERROR(__xludf.DUMMYFUNCTION("""COMPUTED_VALUE"""),"")</f>
        <v/>
      </c>
      <c r="AB266" s="38" t="str">
        <f>IFERROR(__xludf.DUMMYFUNCTION("""COMPUTED_VALUE"""),"")</f>
        <v/>
      </c>
    </row>
    <row r="267">
      <c r="A267" s="41" t="str">
        <f>IFERROR(__xludf.DUMMYFUNCTION("""COMPUTED_VALUE"""),"Laptop")</f>
        <v>Laptop</v>
      </c>
      <c r="B267" s="42" t="s">
        <v>224</v>
      </c>
      <c r="N267" s="38"/>
      <c r="P267" s="42" t="str">
        <f>IFERROR(__xludf.DUMMYFUNCTION("""COMPUTED_VALUE"""),"aws")</f>
        <v>aws</v>
      </c>
      <c r="Q267" s="41" t="str">
        <f>IFERROR(__xludf.DUMMYFUNCTION("""COMPUTED_VALUE"""),"c#")</f>
        <v>c#</v>
      </c>
      <c r="R267" s="41" t="str">
        <f>IFERROR(__xludf.DUMMYFUNCTION("""COMPUTED_VALUE"""),"")</f>
        <v/>
      </c>
      <c r="S267" s="41" t="str">
        <f>IFERROR(__xludf.DUMMYFUNCTION("""COMPUTED_VALUE"""),"")</f>
        <v/>
      </c>
      <c r="T267" s="41" t="str">
        <f>IFERROR(__xludf.DUMMYFUNCTION("""COMPUTED_VALUE"""),"")</f>
        <v/>
      </c>
      <c r="U267" s="41" t="str">
        <f>IFERROR(__xludf.DUMMYFUNCTION("""COMPUTED_VALUE"""),"")</f>
        <v/>
      </c>
      <c r="V267" s="41" t="str">
        <f>IFERROR(__xludf.DUMMYFUNCTION("""COMPUTED_VALUE"""),"")</f>
        <v/>
      </c>
      <c r="W267" s="41" t="str">
        <f>IFERROR(__xludf.DUMMYFUNCTION("""COMPUTED_VALUE"""),"")</f>
        <v/>
      </c>
      <c r="X267" s="41" t="str">
        <f>IFERROR(__xludf.DUMMYFUNCTION("""COMPUTED_VALUE"""),"")</f>
        <v/>
      </c>
      <c r="Y267" s="41" t="str">
        <f>IFERROR(__xludf.DUMMYFUNCTION("""COMPUTED_VALUE"""),"")</f>
        <v/>
      </c>
      <c r="Z267" s="41" t="str">
        <f>IFERROR(__xludf.DUMMYFUNCTION("""COMPUTED_VALUE"""),"")</f>
        <v/>
      </c>
      <c r="AA267" s="41" t="str">
        <f>IFERROR(__xludf.DUMMYFUNCTION("""COMPUTED_VALUE"""),"")</f>
        <v/>
      </c>
      <c r="AB267" s="38" t="str">
        <f>IFERROR(__xludf.DUMMYFUNCTION("""COMPUTED_VALUE"""),"")</f>
        <v/>
      </c>
    </row>
    <row r="268">
      <c r="A268" s="41" t="str">
        <f>IFERROR(__xludf.DUMMYFUNCTION("""COMPUTED_VALUE"""),"C#, .NET CORE, Aliyun Analytic DB, PolarDB, HBase, RabbitMQ, Redis")</f>
        <v>C#, .NET CORE, Aliyun Analytic DB, PolarDB, HBase, RabbitMQ, Redis</v>
      </c>
      <c r="B268" s="42" t="s">
        <v>358</v>
      </c>
      <c r="N268" s="38"/>
      <c r="P268" s="42" t="str">
        <f>IFERROR(__xludf.DUMMYFUNCTION("""COMPUTED_VALUE"""),"php")</f>
        <v>php</v>
      </c>
      <c r="Q268" s="41" t="str">
        <f>IFERROR(__xludf.DUMMYFUNCTION("""COMPUTED_VALUE"""),"android")</f>
        <v>android</v>
      </c>
      <c r="R268" s="41" t="str">
        <f>IFERROR(__xludf.DUMMYFUNCTION("""COMPUTED_VALUE"""),"")</f>
        <v/>
      </c>
      <c r="S268" s="41" t="str">
        <f>IFERROR(__xludf.DUMMYFUNCTION("""COMPUTED_VALUE"""),"")</f>
        <v/>
      </c>
      <c r="T268" s="41" t="str">
        <f>IFERROR(__xludf.DUMMYFUNCTION("""COMPUTED_VALUE"""),"")</f>
        <v/>
      </c>
      <c r="U268" s="41" t="str">
        <f>IFERROR(__xludf.DUMMYFUNCTION("""COMPUTED_VALUE"""),"")</f>
        <v/>
      </c>
      <c r="V268" s="41" t="str">
        <f>IFERROR(__xludf.DUMMYFUNCTION("""COMPUTED_VALUE"""),"")</f>
        <v/>
      </c>
      <c r="W268" s="41" t="str">
        <f>IFERROR(__xludf.DUMMYFUNCTION("""COMPUTED_VALUE"""),"")</f>
        <v/>
      </c>
      <c r="X268" s="41" t="str">
        <f>IFERROR(__xludf.DUMMYFUNCTION("""COMPUTED_VALUE"""),"")</f>
        <v/>
      </c>
      <c r="Y268" s="41" t="str">
        <f>IFERROR(__xludf.DUMMYFUNCTION("""COMPUTED_VALUE"""),"")</f>
        <v/>
      </c>
      <c r="Z268" s="41" t="str">
        <f>IFERROR(__xludf.DUMMYFUNCTION("""COMPUTED_VALUE"""),"")</f>
        <v/>
      </c>
      <c r="AA268" s="41" t="str">
        <f>IFERROR(__xludf.DUMMYFUNCTION("""COMPUTED_VALUE"""),"")</f>
        <v/>
      </c>
      <c r="AB268" s="38" t="str">
        <f>IFERROR(__xludf.DUMMYFUNCTION("""COMPUTED_VALUE"""),"")</f>
        <v/>
      </c>
    </row>
    <row r="269">
      <c r="A269" s="41" t="str">
        <f>IFERROR(__xludf.DUMMYFUNCTION("""COMPUTED_VALUE"""),"PHP")</f>
        <v>PHP</v>
      </c>
      <c r="B269" s="42" t="s">
        <v>87</v>
      </c>
      <c r="N269" s="38"/>
      <c r="P269" s="42" t="str">
        <f>IFERROR(__xludf.DUMMYFUNCTION("""COMPUTED_VALUE"""),"laravel")</f>
        <v>laravel</v>
      </c>
      <c r="Q269" s="41" t="str">
        <f>IFERROR(__xludf.DUMMYFUNCTION("""COMPUTED_VALUE"""),"vuejs")</f>
        <v>vuejs</v>
      </c>
      <c r="R269" s="41" t="str">
        <f>IFERROR(__xludf.DUMMYFUNCTION("""COMPUTED_VALUE"""),"")</f>
        <v/>
      </c>
      <c r="S269" s="41" t="str">
        <f>IFERROR(__xludf.DUMMYFUNCTION("""COMPUTED_VALUE"""),"")</f>
        <v/>
      </c>
      <c r="T269" s="41" t="str">
        <f>IFERROR(__xludf.DUMMYFUNCTION("""COMPUTED_VALUE"""),"")</f>
        <v/>
      </c>
      <c r="U269" s="41" t="str">
        <f>IFERROR(__xludf.DUMMYFUNCTION("""COMPUTED_VALUE"""),"")</f>
        <v/>
      </c>
      <c r="V269" s="41" t="str">
        <f>IFERROR(__xludf.DUMMYFUNCTION("""COMPUTED_VALUE"""),"")</f>
        <v/>
      </c>
      <c r="W269" s="41" t="str">
        <f>IFERROR(__xludf.DUMMYFUNCTION("""COMPUTED_VALUE"""),"")</f>
        <v/>
      </c>
      <c r="X269" s="41" t="str">
        <f>IFERROR(__xludf.DUMMYFUNCTION("""COMPUTED_VALUE"""),"")</f>
        <v/>
      </c>
      <c r="Y269" s="41" t="str">
        <f>IFERROR(__xludf.DUMMYFUNCTION("""COMPUTED_VALUE"""),"")</f>
        <v/>
      </c>
      <c r="Z269" s="41" t="str">
        <f>IFERROR(__xludf.DUMMYFUNCTION("""COMPUTED_VALUE"""),"")</f>
        <v/>
      </c>
      <c r="AA269" s="41" t="str">
        <f>IFERROR(__xludf.DUMMYFUNCTION("""COMPUTED_VALUE"""),"")</f>
        <v/>
      </c>
      <c r="AB269" s="38" t="str">
        <f>IFERROR(__xludf.DUMMYFUNCTION("""COMPUTED_VALUE"""),"")</f>
        <v/>
      </c>
    </row>
    <row r="270">
      <c r="A270" s="41" t="str">
        <f>IFERROR(__xludf.DUMMYFUNCTION("""COMPUTED_VALUE"""),"vue,angular,python,c#,js")</f>
        <v>vue,angular,python,c#,js</v>
      </c>
      <c r="B270" s="42" t="s">
        <v>809</v>
      </c>
      <c r="C270" s="41" t="s">
        <v>4294</v>
      </c>
      <c r="D270" s="41" t="s">
        <v>4295</v>
      </c>
      <c r="E270" s="41" t="s">
        <v>4296</v>
      </c>
      <c r="F270" s="41" t="s">
        <v>4297</v>
      </c>
      <c r="G270" s="41" t="s">
        <v>4298</v>
      </c>
      <c r="H270" s="41" t="s">
        <v>4215</v>
      </c>
      <c r="N270" s="38"/>
      <c r="P270" s="42" t="str">
        <f>IFERROR(__xludf.DUMMYFUNCTION("""COMPUTED_VALUE"""),"php")</f>
        <v>php</v>
      </c>
      <c r="Q270" s="41" t="str">
        <f>IFERROR(__xludf.DUMMYFUNCTION("""COMPUTED_VALUE"""),"aws")</f>
        <v>aws</v>
      </c>
      <c r="R270" s="41" t="str">
        <f>IFERROR(__xludf.DUMMYFUNCTION("""COMPUTED_VALUE"""),"")</f>
        <v/>
      </c>
      <c r="S270" s="41" t="str">
        <f>IFERROR(__xludf.DUMMYFUNCTION("""COMPUTED_VALUE"""),"")</f>
        <v/>
      </c>
      <c r="T270" s="41" t="str">
        <f>IFERROR(__xludf.DUMMYFUNCTION("""COMPUTED_VALUE"""),"")</f>
        <v/>
      </c>
      <c r="U270" s="41" t="str">
        <f>IFERROR(__xludf.DUMMYFUNCTION("""COMPUTED_VALUE"""),"")</f>
        <v/>
      </c>
      <c r="V270" s="41" t="str">
        <f>IFERROR(__xludf.DUMMYFUNCTION("""COMPUTED_VALUE"""),"")</f>
        <v/>
      </c>
      <c r="W270" s="41" t="str">
        <f>IFERROR(__xludf.DUMMYFUNCTION("""COMPUTED_VALUE"""),"")</f>
        <v/>
      </c>
      <c r="X270" s="41" t="str">
        <f>IFERROR(__xludf.DUMMYFUNCTION("""COMPUTED_VALUE"""),"")</f>
        <v/>
      </c>
      <c r="Y270" s="41" t="str">
        <f>IFERROR(__xludf.DUMMYFUNCTION("""COMPUTED_VALUE"""),"")</f>
        <v/>
      </c>
      <c r="Z270" s="41" t="str">
        <f>IFERROR(__xludf.DUMMYFUNCTION("""COMPUTED_VALUE"""),"")</f>
        <v/>
      </c>
      <c r="AA270" s="41" t="str">
        <f>IFERROR(__xludf.DUMMYFUNCTION("""COMPUTED_VALUE"""),"")</f>
        <v/>
      </c>
      <c r="AB270" s="38" t="str">
        <f>IFERROR(__xludf.DUMMYFUNCTION("""COMPUTED_VALUE"""),"")</f>
        <v/>
      </c>
    </row>
    <row r="271">
      <c r="A271" s="41" t="str">
        <f>IFERROR(__xludf.DUMMYFUNCTION("""COMPUTED_VALUE"""),"laravel")</f>
        <v>laravel</v>
      </c>
      <c r="B271" s="42" t="s">
        <v>44</v>
      </c>
      <c r="N271" s="38"/>
      <c r="P271" s="42" t="str">
        <f>IFERROR(__xludf.DUMMYFUNCTION("""COMPUTED_VALUE"""),"java")</f>
        <v>java</v>
      </c>
      <c r="Q271" s="41" t="str">
        <f>IFERROR(__xludf.DUMMYFUNCTION("""COMPUTED_VALUE"""),"spark")</f>
        <v>spark</v>
      </c>
      <c r="R271" s="41" t="str">
        <f>IFERROR(__xludf.DUMMYFUNCTION("""COMPUTED_VALUE"""),"")</f>
        <v/>
      </c>
      <c r="S271" s="41" t="str">
        <f>IFERROR(__xludf.DUMMYFUNCTION("""COMPUTED_VALUE"""),"")</f>
        <v/>
      </c>
      <c r="T271" s="41" t="str">
        <f>IFERROR(__xludf.DUMMYFUNCTION("""COMPUTED_VALUE"""),"")</f>
        <v/>
      </c>
      <c r="U271" s="41" t="str">
        <f>IFERROR(__xludf.DUMMYFUNCTION("""COMPUTED_VALUE"""),"")</f>
        <v/>
      </c>
      <c r="V271" s="41" t="str">
        <f>IFERROR(__xludf.DUMMYFUNCTION("""COMPUTED_VALUE"""),"")</f>
        <v/>
      </c>
      <c r="W271" s="41" t="str">
        <f>IFERROR(__xludf.DUMMYFUNCTION("""COMPUTED_VALUE"""),"")</f>
        <v/>
      </c>
      <c r="X271" s="41" t="str">
        <f>IFERROR(__xludf.DUMMYFUNCTION("""COMPUTED_VALUE"""),"")</f>
        <v/>
      </c>
      <c r="Y271" s="41" t="str">
        <f>IFERROR(__xludf.DUMMYFUNCTION("""COMPUTED_VALUE"""),"")</f>
        <v/>
      </c>
      <c r="Z271" s="41" t="str">
        <f>IFERROR(__xludf.DUMMYFUNCTION("""COMPUTED_VALUE"""),"")</f>
        <v/>
      </c>
      <c r="AA271" s="41" t="str">
        <f>IFERROR(__xludf.DUMMYFUNCTION("""COMPUTED_VALUE"""),"")</f>
        <v/>
      </c>
      <c r="AB271" s="38" t="str">
        <f>IFERROR(__xludf.DUMMYFUNCTION("""COMPUTED_VALUE"""),"")</f>
        <v/>
      </c>
    </row>
    <row r="272">
      <c r="A272" s="41" t="str">
        <f>IFERROR(__xludf.DUMMYFUNCTION("""COMPUTED_VALUE"""),"Python, JavaScript, GCP, Kubernetes")</f>
        <v>Python, JavaScript, GCP, Kubernetes</v>
      </c>
      <c r="B272" s="42" t="s">
        <v>4299</v>
      </c>
      <c r="C272" s="41" t="s">
        <v>4252</v>
      </c>
      <c r="D272" s="41" t="s">
        <v>508</v>
      </c>
      <c r="E272" s="41" t="s">
        <v>1378</v>
      </c>
      <c r="F272" s="41" t="s">
        <v>4300</v>
      </c>
      <c r="N272" s="38"/>
      <c r="P272" s="42" t="str">
        <f>IFERROR(__xludf.DUMMYFUNCTION("""COMPUTED_VALUE"""),"php")</f>
        <v>php</v>
      </c>
      <c r="Q272" s="41" t="str">
        <f>IFERROR(__xludf.DUMMYFUNCTION("""COMPUTED_VALUE"""),"tensorflow")</f>
        <v>tensorflow</v>
      </c>
      <c r="R272" s="41" t="str">
        <f>IFERROR(__xludf.DUMMYFUNCTION("""COMPUTED_VALUE"""),"")</f>
        <v/>
      </c>
      <c r="S272" s="41" t="str">
        <f>IFERROR(__xludf.DUMMYFUNCTION("""COMPUTED_VALUE"""),"")</f>
        <v/>
      </c>
      <c r="T272" s="41" t="str">
        <f>IFERROR(__xludf.DUMMYFUNCTION("""COMPUTED_VALUE"""),"")</f>
        <v/>
      </c>
      <c r="U272" s="41" t="str">
        <f>IFERROR(__xludf.DUMMYFUNCTION("""COMPUTED_VALUE"""),"")</f>
        <v/>
      </c>
      <c r="V272" s="41" t="str">
        <f>IFERROR(__xludf.DUMMYFUNCTION("""COMPUTED_VALUE"""),"")</f>
        <v/>
      </c>
      <c r="W272" s="41" t="str">
        <f>IFERROR(__xludf.DUMMYFUNCTION("""COMPUTED_VALUE"""),"")</f>
        <v/>
      </c>
      <c r="X272" s="41" t="str">
        <f>IFERROR(__xludf.DUMMYFUNCTION("""COMPUTED_VALUE"""),"")</f>
        <v/>
      </c>
      <c r="Y272" s="41" t="str">
        <f>IFERROR(__xludf.DUMMYFUNCTION("""COMPUTED_VALUE"""),"")</f>
        <v/>
      </c>
      <c r="Z272" s="41" t="str">
        <f>IFERROR(__xludf.DUMMYFUNCTION("""COMPUTED_VALUE"""),"")</f>
        <v/>
      </c>
      <c r="AA272" s="41" t="str">
        <f>IFERROR(__xludf.DUMMYFUNCTION("""COMPUTED_VALUE"""),"")</f>
        <v/>
      </c>
      <c r="AB272" s="38" t="str">
        <f>IFERROR(__xludf.DUMMYFUNCTION("""COMPUTED_VALUE"""),"")</f>
        <v/>
      </c>
    </row>
    <row r="273">
      <c r="A273" s="41" t="str">
        <f>IFERROR(__xludf.DUMMYFUNCTION("""COMPUTED_VALUE"""),"PHP, Javascript, Laravel, Vue JS, React JS")</f>
        <v>PHP, Javascript, Laravel, Vue JS, React JS</v>
      </c>
      <c r="B273" s="42" t="s">
        <v>1436</v>
      </c>
      <c r="N273" s="38"/>
      <c r="P273" s="42" t="str">
        <f>IFERROR(__xludf.DUMMYFUNCTION("""COMPUTED_VALUE"""),"javascript")</f>
        <v>javascript</v>
      </c>
      <c r="Q273" s="41" t="str">
        <f>IFERROR(__xludf.DUMMYFUNCTION("""COMPUTED_VALUE"""),"sql")</f>
        <v>sql</v>
      </c>
      <c r="R273" s="41" t="str">
        <f>IFERROR(__xludf.DUMMYFUNCTION("""COMPUTED_VALUE"""),"")</f>
        <v/>
      </c>
      <c r="S273" s="41" t="str">
        <f>IFERROR(__xludf.DUMMYFUNCTION("""COMPUTED_VALUE"""),"")</f>
        <v/>
      </c>
      <c r="T273" s="41" t="str">
        <f>IFERROR(__xludf.DUMMYFUNCTION("""COMPUTED_VALUE"""),"")</f>
        <v/>
      </c>
      <c r="U273" s="41" t="str">
        <f>IFERROR(__xludf.DUMMYFUNCTION("""COMPUTED_VALUE"""),"")</f>
        <v/>
      </c>
      <c r="V273" s="41" t="str">
        <f>IFERROR(__xludf.DUMMYFUNCTION("""COMPUTED_VALUE"""),"")</f>
        <v/>
      </c>
      <c r="W273" s="41" t="str">
        <f>IFERROR(__xludf.DUMMYFUNCTION("""COMPUTED_VALUE"""),"")</f>
        <v/>
      </c>
      <c r="X273" s="41" t="str">
        <f>IFERROR(__xludf.DUMMYFUNCTION("""COMPUTED_VALUE"""),"")</f>
        <v/>
      </c>
      <c r="Y273" s="41" t="str">
        <f>IFERROR(__xludf.DUMMYFUNCTION("""COMPUTED_VALUE"""),"")</f>
        <v/>
      </c>
      <c r="Z273" s="41" t="str">
        <f>IFERROR(__xludf.DUMMYFUNCTION("""COMPUTED_VALUE"""),"")</f>
        <v/>
      </c>
      <c r="AA273" s="41" t="str">
        <f>IFERROR(__xludf.DUMMYFUNCTION("""COMPUTED_VALUE"""),"")</f>
        <v/>
      </c>
      <c r="AB273" s="38" t="str">
        <f>IFERROR(__xludf.DUMMYFUNCTION("""COMPUTED_VALUE"""),"")</f>
        <v/>
      </c>
    </row>
    <row r="274">
      <c r="A274" s="41" t="str">
        <f>IFERROR(__xludf.DUMMYFUNCTION("""COMPUTED_VALUE"""),"Python , Javascript , MYSQL , PHP")</f>
        <v>Python , Javascript , MYSQL , PHP</v>
      </c>
      <c r="B274" s="42" t="s">
        <v>78</v>
      </c>
      <c r="C274" s="41" t="s">
        <v>731</v>
      </c>
      <c r="D274" s="41" t="s">
        <v>4269</v>
      </c>
      <c r="E274" s="41" t="s">
        <v>3903</v>
      </c>
      <c r="N274" s="38"/>
      <c r="P274" s="42" t="str">
        <f>IFERROR(__xludf.DUMMYFUNCTION("""COMPUTED_VALUE"""),"java")</f>
        <v>java</v>
      </c>
      <c r="Q274" s="41" t="str">
        <f>IFERROR(__xludf.DUMMYFUNCTION("""COMPUTED_VALUE"""),"server")</f>
        <v>server</v>
      </c>
      <c r="R274" s="41" t="str">
        <f>IFERROR(__xludf.DUMMYFUNCTION("""COMPUTED_VALUE"""),"")</f>
        <v/>
      </c>
      <c r="S274" s="41" t="str">
        <f>IFERROR(__xludf.DUMMYFUNCTION("""COMPUTED_VALUE"""),"")</f>
        <v/>
      </c>
      <c r="T274" s="41" t="str">
        <f>IFERROR(__xludf.DUMMYFUNCTION("""COMPUTED_VALUE"""),"")</f>
        <v/>
      </c>
      <c r="U274" s="41" t="str">
        <f>IFERROR(__xludf.DUMMYFUNCTION("""COMPUTED_VALUE"""),"")</f>
        <v/>
      </c>
      <c r="V274" s="41" t="str">
        <f>IFERROR(__xludf.DUMMYFUNCTION("""COMPUTED_VALUE"""),"")</f>
        <v/>
      </c>
      <c r="W274" s="41" t="str">
        <f>IFERROR(__xludf.DUMMYFUNCTION("""COMPUTED_VALUE"""),"")</f>
        <v/>
      </c>
      <c r="X274" s="41" t="str">
        <f>IFERROR(__xludf.DUMMYFUNCTION("""COMPUTED_VALUE"""),"")</f>
        <v/>
      </c>
      <c r="Y274" s="41" t="str">
        <f>IFERROR(__xludf.DUMMYFUNCTION("""COMPUTED_VALUE"""),"")</f>
        <v/>
      </c>
      <c r="Z274" s="41" t="str">
        <f>IFERROR(__xludf.DUMMYFUNCTION("""COMPUTED_VALUE"""),"")</f>
        <v/>
      </c>
      <c r="AA274" s="41" t="str">
        <f>IFERROR(__xludf.DUMMYFUNCTION("""COMPUTED_VALUE"""),"")</f>
        <v/>
      </c>
      <c r="AB274" s="38" t="str">
        <f>IFERROR(__xludf.DUMMYFUNCTION("""COMPUTED_VALUE"""),"")</f>
        <v/>
      </c>
    </row>
    <row r="275">
      <c r="A275" s="41" t="str">
        <f>IFERROR(__xludf.DUMMYFUNCTION("""COMPUTED_VALUE"""),"GCP, Apache Big Data Stack")</f>
        <v>GCP, Apache Big Data Stack</v>
      </c>
      <c r="B275" s="42" t="s">
        <v>44</v>
      </c>
      <c r="C275" s="41" t="s">
        <v>712</v>
      </c>
      <c r="D275" s="41" t="s">
        <v>103</v>
      </c>
      <c r="E275" s="41" t="s">
        <v>4301</v>
      </c>
      <c r="F275" s="41" t="s">
        <v>1762</v>
      </c>
      <c r="N275" s="38"/>
      <c r="P275" s="42" t="str">
        <f>IFERROR(__xludf.DUMMYFUNCTION("""COMPUTED_VALUE"""),"javascript")</f>
        <v>javascript</v>
      </c>
      <c r="Q275" s="41" t="str">
        <f>IFERROR(__xludf.DUMMYFUNCTION("""COMPUTED_VALUE"""),"aws")</f>
        <v>aws</v>
      </c>
      <c r="R275" s="41" t="str">
        <f>IFERROR(__xludf.DUMMYFUNCTION("""COMPUTED_VALUE"""),"")</f>
        <v/>
      </c>
      <c r="S275" s="41" t="str">
        <f>IFERROR(__xludf.DUMMYFUNCTION("""COMPUTED_VALUE"""),"")</f>
        <v/>
      </c>
      <c r="T275" s="41" t="str">
        <f>IFERROR(__xludf.DUMMYFUNCTION("""COMPUTED_VALUE"""),"")</f>
        <v/>
      </c>
      <c r="U275" s="41" t="str">
        <f>IFERROR(__xludf.DUMMYFUNCTION("""COMPUTED_VALUE"""),"")</f>
        <v/>
      </c>
      <c r="V275" s="41" t="str">
        <f>IFERROR(__xludf.DUMMYFUNCTION("""COMPUTED_VALUE"""),"")</f>
        <v/>
      </c>
      <c r="W275" s="41" t="str">
        <f>IFERROR(__xludf.DUMMYFUNCTION("""COMPUTED_VALUE"""),"")</f>
        <v/>
      </c>
      <c r="X275" s="41" t="str">
        <f>IFERROR(__xludf.DUMMYFUNCTION("""COMPUTED_VALUE"""),"")</f>
        <v/>
      </c>
      <c r="Y275" s="41" t="str">
        <f>IFERROR(__xludf.DUMMYFUNCTION("""COMPUTED_VALUE"""),"")</f>
        <v/>
      </c>
      <c r="Z275" s="41" t="str">
        <f>IFERROR(__xludf.DUMMYFUNCTION("""COMPUTED_VALUE"""),"")</f>
        <v/>
      </c>
      <c r="AA275" s="41" t="str">
        <f>IFERROR(__xludf.DUMMYFUNCTION("""COMPUTED_VALUE"""),"")</f>
        <v/>
      </c>
      <c r="AB275" s="38" t="str">
        <f>IFERROR(__xludf.DUMMYFUNCTION("""COMPUTED_VALUE"""),"")</f>
        <v/>
      </c>
    </row>
    <row r="276">
      <c r="A276" s="41" t="str">
        <f>IFERROR(__xludf.DUMMYFUNCTION("""COMPUTED_VALUE"""),"nodejs, sitecore, .NET")</f>
        <v>nodejs, sitecore, .NET</v>
      </c>
      <c r="B276" s="42" t="s">
        <v>78</v>
      </c>
      <c r="C276" s="41" t="s">
        <v>712</v>
      </c>
      <c r="D276" s="41" t="s">
        <v>4302</v>
      </c>
      <c r="E276" s="41" t="s">
        <v>44</v>
      </c>
      <c r="N276" s="38"/>
      <c r="P276" s="42" t="str">
        <f>IFERROR(__xludf.DUMMYFUNCTION("""COMPUTED_VALUE"""),"react")</f>
        <v>react</v>
      </c>
      <c r="Q276" s="41" t="str">
        <f>IFERROR(__xludf.DUMMYFUNCTION("""COMPUTED_VALUE"""),"stack")</f>
        <v>stack</v>
      </c>
      <c r="R276" s="41" t="str">
        <f>IFERROR(__xludf.DUMMYFUNCTION("""COMPUTED_VALUE"""),"")</f>
        <v/>
      </c>
      <c r="S276" s="41" t="str">
        <f>IFERROR(__xludf.DUMMYFUNCTION("""COMPUTED_VALUE"""),"")</f>
        <v/>
      </c>
      <c r="T276" s="41" t="str">
        <f>IFERROR(__xludf.DUMMYFUNCTION("""COMPUTED_VALUE"""),"")</f>
        <v/>
      </c>
      <c r="U276" s="41" t="str">
        <f>IFERROR(__xludf.DUMMYFUNCTION("""COMPUTED_VALUE"""),"")</f>
        <v/>
      </c>
      <c r="V276" s="41" t="str">
        <f>IFERROR(__xludf.DUMMYFUNCTION("""COMPUTED_VALUE"""),"")</f>
        <v/>
      </c>
      <c r="W276" s="41" t="str">
        <f>IFERROR(__xludf.DUMMYFUNCTION("""COMPUTED_VALUE"""),"")</f>
        <v/>
      </c>
      <c r="X276" s="41" t="str">
        <f>IFERROR(__xludf.DUMMYFUNCTION("""COMPUTED_VALUE"""),"")</f>
        <v/>
      </c>
      <c r="Y276" s="41" t="str">
        <f>IFERROR(__xludf.DUMMYFUNCTION("""COMPUTED_VALUE"""),"")</f>
        <v/>
      </c>
      <c r="Z276" s="41" t="str">
        <f>IFERROR(__xludf.DUMMYFUNCTION("""COMPUTED_VALUE"""),"")</f>
        <v/>
      </c>
      <c r="AA276" s="41" t="str">
        <f>IFERROR(__xludf.DUMMYFUNCTION("""COMPUTED_VALUE"""),"")</f>
        <v/>
      </c>
      <c r="AB276" s="38" t="str">
        <f>IFERROR(__xludf.DUMMYFUNCTION("""COMPUTED_VALUE"""),"")</f>
        <v/>
      </c>
    </row>
    <row r="277">
      <c r="A277" s="41" t="str">
        <f>IFERROR(__xludf.DUMMYFUNCTION("""COMPUTED_VALUE"""),".Net, C#, SQL Server, jQuery, JS")</f>
        <v>.Net, C#, SQL Server, jQuery, JS</v>
      </c>
      <c r="B277" s="42" t="s">
        <v>4269</v>
      </c>
      <c r="C277" s="41" t="s">
        <v>4303</v>
      </c>
      <c r="N277" s="38"/>
      <c r="P277" s="42" t="str">
        <f>IFERROR(__xludf.DUMMYFUNCTION("""COMPUTED_VALUE"""),".net")</f>
        <v>.net</v>
      </c>
      <c r="Q277" s="41" t="str">
        <f>IFERROR(__xludf.DUMMYFUNCTION("""COMPUTED_VALUE"""),"python")</f>
        <v>python</v>
      </c>
      <c r="R277" s="41" t="str">
        <f>IFERROR(__xludf.DUMMYFUNCTION("""COMPUTED_VALUE"""),"")</f>
        <v/>
      </c>
      <c r="S277" s="41" t="str">
        <f>IFERROR(__xludf.DUMMYFUNCTION("""COMPUTED_VALUE"""),"")</f>
        <v/>
      </c>
      <c r="T277" s="41" t="str">
        <f>IFERROR(__xludf.DUMMYFUNCTION("""COMPUTED_VALUE"""),"")</f>
        <v/>
      </c>
      <c r="U277" s="41" t="str">
        <f>IFERROR(__xludf.DUMMYFUNCTION("""COMPUTED_VALUE"""),"")</f>
        <v/>
      </c>
      <c r="V277" s="41" t="str">
        <f>IFERROR(__xludf.DUMMYFUNCTION("""COMPUTED_VALUE"""),"")</f>
        <v/>
      </c>
      <c r="W277" s="41" t="str">
        <f>IFERROR(__xludf.DUMMYFUNCTION("""COMPUTED_VALUE"""),"")</f>
        <v/>
      </c>
      <c r="X277" s="41" t="str">
        <f>IFERROR(__xludf.DUMMYFUNCTION("""COMPUTED_VALUE"""),"")</f>
        <v/>
      </c>
      <c r="Y277" s="41" t="str">
        <f>IFERROR(__xludf.DUMMYFUNCTION("""COMPUTED_VALUE"""),"")</f>
        <v/>
      </c>
      <c r="Z277" s="41" t="str">
        <f>IFERROR(__xludf.DUMMYFUNCTION("""COMPUTED_VALUE"""),"")</f>
        <v/>
      </c>
      <c r="AA277" s="41" t="str">
        <f>IFERROR(__xludf.DUMMYFUNCTION("""COMPUTED_VALUE"""),"")</f>
        <v/>
      </c>
      <c r="AB277" s="38" t="str">
        <f>IFERROR(__xludf.DUMMYFUNCTION("""COMPUTED_VALUE"""),"")</f>
        <v/>
      </c>
    </row>
    <row r="278">
      <c r="A278" s="41" t="str">
        <f>IFERROR(__xludf.DUMMYFUNCTION("""COMPUTED_VALUE"""),"Java, Mssql, Azure, Mysql, Mongo Atlas, Xcode, React, React Native, Springboot, K8S")</f>
        <v>Java, Mssql, Azure, Mysql, Mongo Atlas, Xcode, React, React Native, Springboot, K8S</v>
      </c>
      <c r="B278" s="42" t="s">
        <v>4016</v>
      </c>
      <c r="C278" s="41" t="s">
        <v>4304</v>
      </c>
      <c r="D278" s="41" t="s">
        <v>163</v>
      </c>
      <c r="N278" s="38"/>
      <c r="P278" s="42" t="str">
        <f>IFERROR(__xludf.DUMMYFUNCTION("""COMPUTED_VALUE"""),"web")</f>
        <v>web</v>
      </c>
      <c r="Q278" s="41" t="str">
        <f>IFERROR(__xludf.DUMMYFUNCTION("""COMPUTED_VALUE"""),"python")</f>
        <v>python</v>
      </c>
      <c r="R278" s="41" t="str">
        <f>IFERROR(__xludf.DUMMYFUNCTION("""COMPUTED_VALUE"""),"")</f>
        <v/>
      </c>
      <c r="S278" s="41" t="str">
        <f>IFERROR(__xludf.DUMMYFUNCTION("""COMPUTED_VALUE"""),"")</f>
        <v/>
      </c>
      <c r="T278" s="41" t="str">
        <f>IFERROR(__xludf.DUMMYFUNCTION("""COMPUTED_VALUE"""),"")</f>
        <v/>
      </c>
      <c r="U278" s="41" t="str">
        <f>IFERROR(__xludf.DUMMYFUNCTION("""COMPUTED_VALUE"""),"")</f>
        <v/>
      </c>
      <c r="V278" s="41" t="str">
        <f>IFERROR(__xludf.DUMMYFUNCTION("""COMPUTED_VALUE"""),"")</f>
        <v/>
      </c>
      <c r="W278" s="41" t="str">
        <f>IFERROR(__xludf.DUMMYFUNCTION("""COMPUTED_VALUE"""),"")</f>
        <v/>
      </c>
      <c r="X278" s="41" t="str">
        <f>IFERROR(__xludf.DUMMYFUNCTION("""COMPUTED_VALUE"""),"")</f>
        <v/>
      </c>
      <c r="Y278" s="41" t="str">
        <f>IFERROR(__xludf.DUMMYFUNCTION("""COMPUTED_VALUE"""),"")</f>
        <v/>
      </c>
      <c r="Z278" s="41" t="str">
        <f>IFERROR(__xludf.DUMMYFUNCTION("""COMPUTED_VALUE"""),"")</f>
        <v/>
      </c>
      <c r="AA278" s="41" t="str">
        <f>IFERROR(__xludf.DUMMYFUNCTION("""COMPUTED_VALUE"""),"")</f>
        <v/>
      </c>
      <c r="AB278" s="38" t="str">
        <f>IFERROR(__xludf.DUMMYFUNCTION("""COMPUTED_VALUE"""),"")</f>
        <v/>
      </c>
    </row>
    <row r="279">
      <c r="A279" s="41" t="str">
        <f>IFERROR(__xludf.DUMMYFUNCTION("""COMPUTED_VALUE"""),"javascript")</f>
        <v>javascript</v>
      </c>
      <c r="B279" s="42" t="s">
        <v>321</v>
      </c>
      <c r="C279" s="41" t="s">
        <v>809</v>
      </c>
      <c r="D279" s="41" t="s">
        <v>4254</v>
      </c>
      <c r="E279" s="41" t="s">
        <v>4253</v>
      </c>
      <c r="F279" s="41" t="s">
        <v>4047</v>
      </c>
      <c r="N279" s="38"/>
      <c r="P279" s="42" t="str">
        <f>IFERROR(__xludf.DUMMYFUNCTION("""COMPUTED_VALUE"""),"development")</f>
        <v>development</v>
      </c>
      <c r="Q279" s="41" t="str">
        <f>IFERROR(__xludf.DUMMYFUNCTION("""COMPUTED_VALUE"""),"laravel")</f>
        <v>laravel</v>
      </c>
      <c r="R279" s="41" t="str">
        <f>IFERROR(__xludf.DUMMYFUNCTION("""COMPUTED_VALUE"""),"")</f>
        <v/>
      </c>
      <c r="S279" s="41" t="str">
        <f>IFERROR(__xludf.DUMMYFUNCTION("""COMPUTED_VALUE"""),"")</f>
        <v/>
      </c>
      <c r="T279" s="41" t="str">
        <f>IFERROR(__xludf.DUMMYFUNCTION("""COMPUTED_VALUE"""),"")</f>
        <v/>
      </c>
      <c r="U279" s="41" t="str">
        <f>IFERROR(__xludf.DUMMYFUNCTION("""COMPUTED_VALUE"""),"")</f>
        <v/>
      </c>
      <c r="V279" s="41" t="str">
        <f>IFERROR(__xludf.DUMMYFUNCTION("""COMPUTED_VALUE"""),"")</f>
        <v/>
      </c>
      <c r="W279" s="41" t="str">
        <f>IFERROR(__xludf.DUMMYFUNCTION("""COMPUTED_VALUE"""),"")</f>
        <v/>
      </c>
      <c r="X279" s="41" t="str">
        <f>IFERROR(__xludf.DUMMYFUNCTION("""COMPUTED_VALUE"""),"")</f>
        <v/>
      </c>
      <c r="Y279" s="41" t="str">
        <f>IFERROR(__xludf.DUMMYFUNCTION("""COMPUTED_VALUE"""),"")</f>
        <v/>
      </c>
      <c r="Z279" s="41" t="str">
        <f>IFERROR(__xludf.DUMMYFUNCTION("""COMPUTED_VALUE"""),"")</f>
        <v/>
      </c>
      <c r="AA279" s="41" t="str">
        <f>IFERROR(__xludf.DUMMYFUNCTION("""COMPUTED_VALUE"""),"")</f>
        <v/>
      </c>
      <c r="AB279" s="38" t="str">
        <f>IFERROR(__xludf.DUMMYFUNCTION("""COMPUTED_VALUE"""),"")</f>
        <v/>
      </c>
    </row>
    <row r="280">
      <c r="A280" s="41" t="str">
        <f>IFERROR(__xludf.DUMMYFUNCTION("""COMPUTED_VALUE"""),"Tensorflow, Blockchain")</f>
        <v>Tensorflow, Blockchain</v>
      </c>
      <c r="B280" s="42" t="s">
        <v>224</v>
      </c>
      <c r="C280" s="41" t="s">
        <v>4305</v>
      </c>
      <c r="D280" s="41" t="s">
        <v>135</v>
      </c>
      <c r="E280" s="41" t="s">
        <v>4306</v>
      </c>
      <c r="F280" s="41" t="s">
        <v>4307</v>
      </c>
      <c r="G280" s="41" t="s">
        <v>4097</v>
      </c>
      <c r="H280" s="41" t="s">
        <v>1979</v>
      </c>
      <c r="I280" s="41" t="s">
        <v>549</v>
      </c>
      <c r="J280" s="41" t="s">
        <v>4308</v>
      </c>
      <c r="K280" s="41" t="s">
        <v>4309</v>
      </c>
      <c r="N280" s="38"/>
      <c r="P280" s="42" t="str">
        <f>IFERROR(__xludf.DUMMYFUNCTION("""COMPUTED_VALUE"""),"laravel")</f>
        <v>laravel</v>
      </c>
      <c r="Q280" s="41" t="str">
        <f>IFERROR(__xludf.DUMMYFUNCTION("""COMPUTED_VALUE"""),"docker")</f>
        <v>docker</v>
      </c>
      <c r="R280" s="41" t="str">
        <f>IFERROR(__xludf.DUMMYFUNCTION("""COMPUTED_VALUE"""),"")</f>
        <v/>
      </c>
      <c r="S280" s="41" t="str">
        <f>IFERROR(__xludf.DUMMYFUNCTION("""COMPUTED_VALUE"""),"")</f>
        <v/>
      </c>
      <c r="T280" s="41" t="str">
        <f>IFERROR(__xludf.DUMMYFUNCTION("""COMPUTED_VALUE"""),"")</f>
        <v/>
      </c>
      <c r="U280" s="41" t="str">
        <f>IFERROR(__xludf.DUMMYFUNCTION("""COMPUTED_VALUE"""),"")</f>
        <v/>
      </c>
      <c r="V280" s="41" t="str">
        <f>IFERROR(__xludf.DUMMYFUNCTION("""COMPUTED_VALUE"""),"")</f>
        <v/>
      </c>
      <c r="W280" s="41" t="str">
        <f>IFERROR(__xludf.DUMMYFUNCTION("""COMPUTED_VALUE"""),"")</f>
        <v/>
      </c>
      <c r="X280" s="41" t="str">
        <f>IFERROR(__xludf.DUMMYFUNCTION("""COMPUTED_VALUE"""),"")</f>
        <v/>
      </c>
      <c r="Y280" s="41" t="str">
        <f>IFERROR(__xludf.DUMMYFUNCTION("""COMPUTED_VALUE"""),"")</f>
        <v/>
      </c>
      <c r="Z280" s="41" t="str">
        <f>IFERROR(__xludf.DUMMYFUNCTION("""COMPUTED_VALUE"""),"")</f>
        <v/>
      </c>
      <c r="AA280" s="41" t="str">
        <f>IFERROR(__xludf.DUMMYFUNCTION("""COMPUTED_VALUE"""),"")</f>
        <v/>
      </c>
      <c r="AB280" s="38" t="str">
        <f>IFERROR(__xludf.DUMMYFUNCTION("""COMPUTED_VALUE"""),"")</f>
        <v/>
      </c>
    </row>
    <row r="281">
      <c r="A281" s="41" t="str">
        <f>IFERROR(__xludf.DUMMYFUNCTION("""COMPUTED_VALUE"""),"PHP, Laravel, Vue JS")</f>
        <v>PHP, Laravel, Vue JS</v>
      </c>
      <c r="B281" s="42" t="s">
        <v>740</v>
      </c>
      <c r="N281" s="38"/>
      <c r="P281" s="42" t="str">
        <f>IFERROR(__xludf.DUMMYFUNCTION("""COMPUTED_VALUE"""),"laptop")</f>
        <v>laptop</v>
      </c>
      <c r="Q281" s="41" t="str">
        <f>IFERROR(__xludf.DUMMYFUNCTION("""COMPUTED_VALUE"""),"c++")</f>
        <v>c++</v>
      </c>
      <c r="R281" s="41" t="str">
        <f>IFERROR(__xludf.DUMMYFUNCTION("""COMPUTED_VALUE"""),"")</f>
        <v/>
      </c>
      <c r="S281" s="41" t="str">
        <f>IFERROR(__xludf.DUMMYFUNCTION("""COMPUTED_VALUE"""),"")</f>
        <v/>
      </c>
      <c r="T281" s="41" t="str">
        <f>IFERROR(__xludf.DUMMYFUNCTION("""COMPUTED_VALUE"""),"")</f>
        <v/>
      </c>
      <c r="U281" s="41" t="str">
        <f>IFERROR(__xludf.DUMMYFUNCTION("""COMPUTED_VALUE"""),"")</f>
        <v/>
      </c>
      <c r="V281" s="41" t="str">
        <f>IFERROR(__xludf.DUMMYFUNCTION("""COMPUTED_VALUE"""),"")</f>
        <v/>
      </c>
      <c r="W281" s="41" t="str">
        <f>IFERROR(__xludf.DUMMYFUNCTION("""COMPUTED_VALUE"""),"")</f>
        <v/>
      </c>
      <c r="X281" s="41" t="str">
        <f>IFERROR(__xludf.DUMMYFUNCTION("""COMPUTED_VALUE"""),"")</f>
        <v/>
      </c>
      <c r="Y281" s="41" t="str">
        <f>IFERROR(__xludf.DUMMYFUNCTION("""COMPUTED_VALUE"""),"")</f>
        <v/>
      </c>
      <c r="Z281" s="41" t="str">
        <f>IFERROR(__xludf.DUMMYFUNCTION("""COMPUTED_VALUE"""),"")</f>
        <v/>
      </c>
      <c r="AA281" s="41" t="str">
        <f>IFERROR(__xludf.DUMMYFUNCTION("""COMPUTED_VALUE"""),"")</f>
        <v/>
      </c>
      <c r="AB281" s="38" t="str">
        <f>IFERROR(__xludf.DUMMYFUNCTION("""COMPUTED_VALUE"""),"")</f>
        <v/>
      </c>
    </row>
    <row r="282">
      <c r="A282" s="41" t="str">
        <f>IFERROR(__xludf.DUMMYFUNCTION("""COMPUTED_VALUE"""),"spring boot")</f>
        <v>spring boot</v>
      </c>
      <c r="B282" s="42" t="s">
        <v>4310</v>
      </c>
      <c r="C282" s="41" t="s">
        <v>1853</v>
      </c>
      <c r="N282" s="38"/>
      <c r="P282" s="42" t="str">
        <f>IFERROR(__xludf.DUMMYFUNCTION("""COMPUTED_VALUE"""),"web")</f>
        <v>web</v>
      </c>
      <c r="Q282" s="41" t="str">
        <f>IFERROR(__xludf.DUMMYFUNCTION("""COMPUTED_VALUE"""),"java")</f>
        <v>java</v>
      </c>
      <c r="R282" s="41" t="str">
        <f>IFERROR(__xludf.DUMMYFUNCTION("""COMPUTED_VALUE"""),"")</f>
        <v/>
      </c>
      <c r="S282" s="41" t="str">
        <f>IFERROR(__xludf.DUMMYFUNCTION("""COMPUTED_VALUE"""),"")</f>
        <v/>
      </c>
      <c r="T282" s="41" t="str">
        <f>IFERROR(__xludf.DUMMYFUNCTION("""COMPUTED_VALUE"""),"")</f>
        <v/>
      </c>
      <c r="U282" s="41" t="str">
        <f>IFERROR(__xludf.DUMMYFUNCTION("""COMPUTED_VALUE"""),"")</f>
        <v/>
      </c>
      <c r="V282" s="41" t="str">
        <f>IFERROR(__xludf.DUMMYFUNCTION("""COMPUTED_VALUE"""),"")</f>
        <v/>
      </c>
      <c r="W282" s="41" t="str">
        <f>IFERROR(__xludf.DUMMYFUNCTION("""COMPUTED_VALUE"""),"")</f>
        <v/>
      </c>
      <c r="X282" s="41" t="str">
        <f>IFERROR(__xludf.DUMMYFUNCTION("""COMPUTED_VALUE"""),"")</f>
        <v/>
      </c>
      <c r="Y282" s="41" t="str">
        <f>IFERROR(__xludf.DUMMYFUNCTION("""COMPUTED_VALUE"""),"")</f>
        <v/>
      </c>
      <c r="Z282" s="41" t="str">
        <f>IFERROR(__xludf.DUMMYFUNCTION("""COMPUTED_VALUE"""),"")</f>
        <v/>
      </c>
      <c r="AA282" s="41" t="str">
        <f>IFERROR(__xludf.DUMMYFUNCTION("""COMPUTED_VALUE"""),"")</f>
        <v/>
      </c>
      <c r="AB282" s="38" t="str">
        <f>IFERROR(__xludf.DUMMYFUNCTION("""COMPUTED_VALUE"""),"")</f>
        <v/>
      </c>
    </row>
    <row r="283">
      <c r="A283" s="41" t="str">
        <f>IFERROR(__xludf.DUMMYFUNCTION("""COMPUTED_VALUE"""),"Reactjs, nextjs, python, docker, react native, nodejs, aws, alibaba cloud")</f>
        <v>Reactjs, nextjs, python, docker, react native, nodejs, aws, alibaba cloud</v>
      </c>
      <c r="B283" s="42" t="s">
        <v>44</v>
      </c>
      <c r="C283" s="41" t="s">
        <v>103</v>
      </c>
      <c r="D283" s="41" t="s">
        <v>4301</v>
      </c>
      <c r="N283" s="38"/>
      <c r="P283" s="42" t="str">
        <f>IFERROR(__xludf.DUMMYFUNCTION("""COMPUTED_VALUE"""),"jira")</f>
        <v>jira</v>
      </c>
      <c r="Q283" s="41" t="str">
        <f>IFERROR(__xludf.DUMMYFUNCTION("""COMPUTED_VALUE"""),"laravel")</f>
        <v>laravel</v>
      </c>
      <c r="R283" s="41" t="str">
        <f>IFERROR(__xludf.DUMMYFUNCTION("""COMPUTED_VALUE"""),"")</f>
        <v/>
      </c>
      <c r="S283" s="41" t="str">
        <f>IFERROR(__xludf.DUMMYFUNCTION("""COMPUTED_VALUE"""),"")</f>
        <v/>
      </c>
      <c r="T283" s="41" t="str">
        <f>IFERROR(__xludf.DUMMYFUNCTION("""COMPUTED_VALUE"""),"")</f>
        <v/>
      </c>
      <c r="U283" s="41" t="str">
        <f>IFERROR(__xludf.DUMMYFUNCTION("""COMPUTED_VALUE"""),"")</f>
        <v/>
      </c>
      <c r="V283" s="41" t="str">
        <f>IFERROR(__xludf.DUMMYFUNCTION("""COMPUTED_VALUE"""),"")</f>
        <v/>
      </c>
      <c r="W283" s="41" t="str">
        <f>IFERROR(__xludf.DUMMYFUNCTION("""COMPUTED_VALUE"""),"")</f>
        <v/>
      </c>
      <c r="X283" s="41" t="str">
        <f>IFERROR(__xludf.DUMMYFUNCTION("""COMPUTED_VALUE"""),"")</f>
        <v/>
      </c>
      <c r="Y283" s="41" t="str">
        <f>IFERROR(__xludf.DUMMYFUNCTION("""COMPUTED_VALUE"""),"")</f>
        <v/>
      </c>
      <c r="Z283" s="41" t="str">
        <f>IFERROR(__xludf.DUMMYFUNCTION("""COMPUTED_VALUE"""),"")</f>
        <v/>
      </c>
      <c r="AA283" s="41" t="str">
        <f>IFERROR(__xludf.DUMMYFUNCTION("""COMPUTED_VALUE"""),"")</f>
        <v/>
      </c>
      <c r="AB283" s="38" t="str">
        <f>IFERROR(__xludf.DUMMYFUNCTION("""COMPUTED_VALUE"""),"")</f>
        <v/>
      </c>
    </row>
    <row r="284">
      <c r="A284" s="41" t="str">
        <f>IFERROR(__xludf.DUMMYFUNCTION("""COMPUTED_VALUE"""),"Laptop ")</f>
        <v>Laptop </v>
      </c>
      <c r="B284" s="42" t="s">
        <v>1492</v>
      </c>
      <c r="N284" s="38"/>
      <c r="P284" s="42" t="str">
        <f>IFERROR(__xludf.DUMMYFUNCTION("""COMPUTED_VALUE"""),"php")</f>
        <v>php</v>
      </c>
      <c r="Q284" s="41" t="str">
        <f>IFERROR(__xludf.DUMMYFUNCTION("""COMPUTED_VALUE"""),"conflence")</f>
        <v>conflence</v>
      </c>
      <c r="R284" s="41" t="str">
        <f>IFERROR(__xludf.DUMMYFUNCTION("""COMPUTED_VALUE"""),"")</f>
        <v/>
      </c>
      <c r="S284" s="41" t="str">
        <f>IFERROR(__xludf.DUMMYFUNCTION("""COMPUTED_VALUE"""),"")</f>
        <v/>
      </c>
      <c r="T284" s="41" t="str">
        <f>IFERROR(__xludf.DUMMYFUNCTION("""COMPUTED_VALUE"""),"")</f>
        <v/>
      </c>
      <c r="U284" s="41" t="str">
        <f>IFERROR(__xludf.DUMMYFUNCTION("""COMPUTED_VALUE"""),"")</f>
        <v/>
      </c>
      <c r="V284" s="41" t="str">
        <f>IFERROR(__xludf.DUMMYFUNCTION("""COMPUTED_VALUE"""),"")</f>
        <v/>
      </c>
      <c r="W284" s="41" t="str">
        <f>IFERROR(__xludf.DUMMYFUNCTION("""COMPUTED_VALUE"""),"")</f>
        <v/>
      </c>
      <c r="X284" s="41" t="str">
        <f>IFERROR(__xludf.DUMMYFUNCTION("""COMPUTED_VALUE"""),"")</f>
        <v/>
      </c>
      <c r="Y284" s="41" t="str">
        <f>IFERROR(__xludf.DUMMYFUNCTION("""COMPUTED_VALUE"""),"")</f>
        <v/>
      </c>
      <c r="Z284" s="41" t="str">
        <f>IFERROR(__xludf.DUMMYFUNCTION("""COMPUTED_VALUE"""),"")</f>
        <v/>
      </c>
      <c r="AA284" s="41" t="str">
        <f>IFERROR(__xludf.DUMMYFUNCTION("""COMPUTED_VALUE"""),"")</f>
        <v/>
      </c>
      <c r="AB284" s="38" t="str">
        <f>IFERROR(__xludf.DUMMYFUNCTION("""COMPUTED_VALUE"""),"")</f>
        <v/>
      </c>
    </row>
    <row r="285">
      <c r="A285" s="41" t="str">
        <f>IFERROR(__xludf.DUMMYFUNCTION("""COMPUTED_VALUE"""),"Javascript, Graphql, node.js")</f>
        <v>Javascript, Graphql, node.js</v>
      </c>
      <c r="B285" s="42" t="s">
        <v>4017</v>
      </c>
      <c r="C285" s="41" t="s">
        <v>4311</v>
      </c>
      <c r="D285" s="41" t="s">
        <v>508</v>
      </c>
      <c r="E285" s="41" t="s">
        <v>4204</v>
      </c>
      <c r="F285" s="41" t="s">
        <v>4312</v>
      </c>
      <c r="G285" s="41" t="s">
        <v>4016</v>
      </c>
      <c r="H285" s="41" t="s">
        <v>1132</v>
      </c>
      <c r="I285" s="41" t="s">
        <v>4313</v>
      </c>
      <c r="N285" s="38"/>
      <c r="P285" s="42" t="str">
        <f>IFERROR(__xludf.DUMMYFUNCTION("""COMPUTED_VALUE"""),"laravel")</f>
        <v>laravel</v>
      </c>
      <c r="Q285" s="41" t="str">
        <f>IFERROR(__xludf.DUMMYFUNCTION("""COMPUTED_VALUE"""),"desktop")</f>
        <v>desktop</v>
      </c>
      <c r="R285" s="41" t="str">
        <f>IFERROR(__xludf.DUMMYFUNCTION("""COMPUTED_VALUE"""),"")</f>
        <v/>
      </c>
      <c r="S285" s="41" t="str">
        <f>IFERROR(__xludf.DUMMYFUNCTION("""COMPUTED_VALUE"""),"")</f>
        <v/>
      </c>
      <c r="T285" s="41" t="str">
        <f>IFERROR(__xludf.DUMMYFUNCTION("""COMPUTED_VALUE"""),"")</f>
        <v/>
      </c>
      <c r="U285" s="41" t="str">
        <f>IFERROR(__xludf.DUMMYFUNCTION("""COMPUTED_VALUE"""),"")</f>
        <v/>
      </c>
      <c r="V285" s="41" t="str">
        <f>IFERROR(__xludf.DUMMYFUNCTION("""COMPUTED_VALUE"""),"")</f>
        <v/>
      </c>
      <c r="W285" s="41" t="str">
        <f>IFERROR(__xludf.DUMMYFUNCTION("""COMPUTED_VALUE"""),"")</f>
        <v/>
      </c>
      <c r="X285" s="41" t="str">
        <f>IFERROR(__xludf.DUMMYFUNCTION("""COMPUTED_VALUE"""),"")</f>
        <v/>
      </c>
      <c r="Y285" s="41" t="str">
        <f>IFERROR(__xludf.DUMMYFUNCTION("""COMPUTED_VALUE"""),"")</f>
        <v/>
      </c>
      <c r="Z285" s="41" t="str">
        <f>IFERROR(__xludf.DUMMYFUNCTION("""COMPUTED_VALUE"""),"")</f>
        <v/>
      </c>
      <c r="AA285" s="41" t="str">
        <f>IFERROR(__xludf.DUMMYFUNCTION("""COMPUTED_VALUE"""),"")</f>
        <v/>
      </c>
      <c r="AB285" s="38" t="str">
        <f>IFERROR(__xludf.DUMMYFUNCTION("""COMPUTED_VALUE"""),"")</f>
        <v/>
      </c>
    </row>
    <row r="286">
      <c r="A286" s="41" t="str">
        <f>IFERROR(__xludf.DUMMYFUNCTION("""COMPUTED_VALUE"""),"AWS, PHP, MySQL, etc")</f>
        <v>AWS, PHP, MySQL, etc</v>
      </c>
      <c r="B286" s="42" t="s">
        <v>87</v>
      </c>
      <c r="N286" s="38"/>
      <c r="P286" s="42" t="str">
        <f>IFERROR(__xludf.DUMMYFUNCTION("""COMPUTED_VALUE"""),"python")</f>
        <v>python</v>
      </c>
      <c r="Q286" s="41" t="str">
        <f>IFERROR(__xludf.DUMMYFUNCTION("""COMPUTED_VALUE"""),"nuxt")</f>
        <v>nuxt</v>
      </c>
      <c r="R286" s="41" t="str">
        <f>IFERROR(__xludf.DUMMYFUNCTION("""COMPUTED_VALUE"""),"")</f>
        <v/>
      </c>
      <c r="S286" s="41" t="str">
        <f>IFERROR(__xludf.DUMMYFUNCTION("""COMPUTED_VALUE"""),"")</f>
        <v/>
      </c>
      <c r="T286" s="41" t="str">
        <f>IFERROR(__xludf.DUMMYFUNCTION("""COMPUTED_VALUE"""),"")</f>
        <v/>
      </c>
      <c r="U286" s="41" t="str">
        <f>IFERROR(__xludf.DUMMYFUNCTION("""COMPUTED_VALUE"""),"")</f>
        <v/>
      </c>
      <c r="V286" s="41" t="str">
        <f>IFERROR(__xludf.DUMMYFUNCTION("""COMPUTED_VALUE"""),"")</f>
        <v/>
      </c>
      <c r="W286" s="41" t="str">
        <f>IFERROR(__xludf.DUMMYFUNCTION("""COMPUTED_VALUE"""),"")</f>
        <v/>
      </c>
      <c r="X286" s="41" t="str">
        <f>IFERROR(__xludf.DUMMYFUNCTION("""COMPUTED_VALUE"""),"")</f>
        <v/>
      </c>
      <c r="Y286" s="41" t="str">
        <f>IFERROR(__xludf.DUMMYFUNCTION("""COMPUTED_VALUE"""),"")</f>
        <v/>
      </c>
      <c r="Z286" s="41" t="str">
        <f>IFERROR(__xludf.DUMMYFUNCTION("""COMPUTED_VALUE"""),"")</f>
        <v/>
      </c>
      <c r="AA286" s="41" t="str">
        <f>IFERROR(__xludf.DUMMYFUNCTION("""COMPUTED_VALUE"""),"")</f>
        <v/>
      </c>
      <c r="AB286" s="38" t="str">
        <f>IFERROR(__xludf.DUMMYFUNCTION("""COMPUTED_VALUE"""),"")</f>
        <v/>
      </c>
    </row>
    <row r="287">
      <c r="A287" s="41" t="str">
        <f>IFERROR(__xludf.DUMMYFUNCTION("""COMPUTED_VALUE"""),"MacBook")</f>
        <v>MacBook</v>
      </c>
      <c r="B287" s="42" t="s">
        <v>712</v>
      </c>
      <c r="C287" s="41" t="s">
        <v>4256</v>
      </c>
      <c r="D287" s="41" t="s">
        <v>1328</v>
      </c>
      <c r="N287" s="38"/>
      <c r="P287" s="42" t="str">
        <f>IFERROR(__xludf.DUMMYFUNCTION("""COMPUTED_VALUE"""),"azure")</f>
        <v>azure</v>
      </c>
      <c r="Q287" s="41" t="str">
        <f>IFERROR(__xludf.DUMMYFUNCTION("""COMPUTED_VALUE"""),"company")</f>
        <v>company</v>
      </c>
      <c r="R287" s="41" t="str">
        <f>IFERROR(__xludf.DUMMYFUNCTION("""COMPUTED_VALUE"""),"")</f>
        <v/>
      </c>
      <c r="S287" s="41" t="str">
        <f>IFERROR(__xludf.DUMMYFUNCTION("""COMPUTED_VALUE"""),"")</f>
        <v/>
      </c>
      <c r="T287" s="41" t="str">
        <f>IFERROR(__xludf.DUMMYFUNCTION("""COMPUTED_VALUE"""),"")</f>
        <v/>
      </c>
      <c r="U287" s="41" t="str">
        <f>IFERROR(__xludf.DUMMYFUNCTION("""COMPUTED_VALUE"""),"")</f>
        <v/>
      </c>
      <c r="V287" s="41" t="str">
        <f>IFERROR(__xludf.DUMMYFUNCTION("""COMPUTED_VALUE"""),"")</f>
        <v/>
      </c>
      <c r="W287" s="41" t="str">
        <f>IFERROR(__xludf.DUMMYFUNCTION("""COMPUTED_VALUE"""),"")</f>
        <v/>
      </c>
      <c r="X287" s="41" t="str">
        <f>IFERROR(__xludf.DUMMYFUNCTION("""COMPUTED_VALUE"""),"")</f>
        <v/>
      </c>
      <c r="Y287" s="41" t="str">
        <f>IFERROR(__xludf.DUMMYFUNCTION("""COMPUTED_VALUE"""),"")</f>
        <v/>
      </c>
      <c r="Z287" s="41" t="str">
        <f>IFERROR(__xludf.DUMMYFUNCTION("""COMPUTED_VALUE"""),"")</f>
        <v/>
      </c>
      <c r="AA287" s="41" t="str">
        <f>IFERROR(__xludf.DUMMYFUNCTION("""COMPUTED_VALUE"""),"")</f>
        <v/>
      </c>
      <c r="AB287" s="38" t="str">
        <f>IFERROR(__xludf.DUMMYFUNCTION("""COMPUTED_VALUE"""),"")</f>
        <v/>
      </c>
    </row>
    <row r="288">
      <c r="A288" s="41" t="str">
        <f>IFERROR(__xludf.DUMMYFUNCTION("""COMPUTED_VALUE"""),"golang")</f>
        <v>golang</v>
      </c>
      <c r="B288" s="42" t="s">
        <v>1233</v>
      </c>
      <c r="C288" s="41" t="s">
        <v>44</v>
      </c>
      <c r="D288" s="41" t="s">
        <v>4244</v>
      </c>
      <c r="E288" s="41" t="s">
        <v>4314</v>
      </c>
      <c r="N288" s="38"/>
      <c r="P288" s="42" t="str">
        <f>IFERROR(__xludf.DUMMYFUNCTION("""COMPUTED_VALUE"""),"nodejs")</f>
        <v>nodejs</v>
      </c>
      <c r="Q288" s="41" t="str">
        <f>IFERROR(__xludf.DUMMYFUNCTION("""COMPUTED_VALUE"""),"monitor")</f>
        <v>monitor</v>
      </c>
      <c r="R288" s="41" t="str">
        <f>IFERROR(__xludf.DUMMYFUNCTION("""COMPUTED_VALUE"""),"")</f>
        <v/>
      </c>
      <c r="S288" s="41" t="str">
        <f>IFERROR(__xludf.DUMMYFUNCTION("""COMPUTED_VALUE"""),"")</f>
        <v/>
      </c>
      <c r="T288" s="41" t="str">
        <f>IFERROR(__xludf.DUMMYFUNCTION("""COMPUTED_VALUE"""),"")</f>
        <v/>
      </c>
      <c r="U288" s="41" t="str">
        <f>IFERROR(__xludf.DUMMYFUNCTION("""COMPUTED_VALUE"""),"")</f>
        <v/>
      </c>
      <c r="V288" s="41" t="str">
        <f>IFERROR(__xludf.DUMMYFUNCTION("""COMPUTED_VALUE"""),"")</f>
        <v/>
      </c>
      <c r="W288" s="41" t="str">
        <f>IFERROR(__xludf.DUMMYFUNCTION("""COMPUTED_VALUE"""),"")</f>
        <v/>
      </c>
      <c r="X288" s="41" t="str">
        <f>IFERROR(__xludf.DUMMYFUNCTION("""COMPUTED_VALUE"""),"")</f>
        <v/>
      </c>
      <c r="Y288" s="41" t="str">
        <f>IFERROR(__xludf.DUMMYFUNCTION("""COMPUTED_VALUE"""),"")</f>
        <v/>
      </c>
      <c r="Z288" s="41" t="str">
        <f>IFERROR(__xludf.DUMMYFUNCTION("""COMPUTED_VALUE"""),"")</f>
        <v/>
      </c>
      <c r="AA288" s="41" t="str">
        <f>IFERROR(__xludf.DUMMYFUNCTION("""COMPUTED_VALUE"""),"")</f>
        <v/>
      </c>
      <c r="AB288" s="38" t="str">
        <f>IFERROR(__xludf.DUMMYFUNCTION("""COMPUTED_VALUE"""),"")</f>
        <v/>
      </c>
    </row>
    <row r="289">
      <c r="A289" s="41" t="str">
        <f>IFERROR(__xludf.DUMMYFUNCTION("""COMPUTED_VALUE"""),"Java")</f>
        <v>Java</v>
      </c>
      <c r="B289" s="42" t="s">
        <v>990</v>
      </c>
      <c r="N289" s="38"/>
      <c r="P289" s="42" t="str">
        <f>IFERROR(__xludf.DUMMYFUNCTION("""COMPUTED_VALUE"""),"react")</f>
        <v>react</v>
      </c>
      <c r="Q289" s="41" t="str">
        <f>IFERROR(__xludf.DUMMYFUNCTION("""COMPUTED_VALUE"""),"typescript")</f>
        <v>typescript</v>
      </c>
      <c r="R289" s="41" t="str">
        <f>IFERROR(__xludf.DUMMYFUNCTION("""COMPUTED_VALUE"""),"")</f>
        <v/>
      </c>
      <c r="S289" s="41" t="str">
        <f>IFERROR(__xludf.DUMMYFUNCTION("""COMPUTED_VALUE"""),"")</f>
        <v/>
      </c>
      <c r="T289" s="41" t="str">
        <f>IFERROR(__xludf.DUMMYFUNCTION("""COMPUTED_VALUE"""),"")</f>
        <v/>
      </c>
      <c r="U289" s="41" t="str">
        <f>IFERROR(__xludf.DUMMYFUNCTION("""COMPUTED_VALUE"""),"")</f>
        <v/>
      </c>
      <c r="V289" s="41" t="str">
        <f>IFERROR(__xludf.DUMMYFUNCTION("""COMPUTED_VALUE"""),"")</f>
        <v/>
      </c>
      <c r="W289" s="41" t="str">
        <f>IFERROR(__xludf.DUMMYFUNCTION("""COMPUTED_VALUE"""),"")</f>
        <v/>
      </c>
      <c r="X289" s="41" t="str">
        <f>IFERROR(__xludf.DUMMYFUNCTION("""COMPUTED_VALUE"""),"")</f>
        <v/>
      </c>
      <c r="Y289" s="41" t="str">
        <f>IFERROR(__xludf.DUMMYFUNCTION("""COMPUTED_VALUE"""),"")</f>
        <v/>
      </c>
      <c r="Z289" s="41" t="str">
        <f>IFERROR(__xludf.DUMMYFUNCTION("""COMPUTED_VALUE"""),"")</f>
        <v/>
      </c>
      <c r="AA289" s="41" t="str">
        <f>IFERROR(__xludf.DUMMYFUNCTION("""COMPUTED_VALUE"""),"")</f>
        <v/>
      </c>
      <c r="AB289" s="38" t="str">
        <f>IFERROR(__xludf.DUMMYFUNCTION("""COMPUTED_VALUE"""),"")</f>
        <v/>
      </c>
    </row>
    <row r="290">
      <c r="A290" s="41" t="str">
        <f>IFERROR(__xludf.DUMMYFUNCTION("""COMPUTED_VALUE"""),"ruby on rails, node, react")</f>
        <v>ruby on rails, node, react</v>
      </c>
      <c r="B290" s="42" t="s">
        <v>930</v>
      </c>
      <c r="N290" s="38"/>
      <c r="P290" s="42" t="str">
        <f>IFERROR(__xludf.DUMMYFUNCTION("""COMPUTED_VALUE"""),"-")</f>
        <v>-</v>
      </c>
      <c r="Q290" s="41" t="str">
        <f>IFERROR(__xludf.DUMMYFUNCTION("""COMPUTED_VALUE"""),"aws")</f>
        <v>aws</v>
      </c>
      <c r="R290" s="41" t="str">
        <f>IFERROR(__xludf.DUMMYFUNCTION("""COMPUTED_VALUE"""),"")</f>
        <v/>
      </c>
      <c r="S290" s="41" t="str">
        <f>IFERROR(__xludf.DUMMYFUNCTION("""COMPUTED_VALUE"""),"")</f>
        <v/>
      </c>
      <c r="T290" s="41" t="str">
        <f>IFERROR(__xludf.DUMMYFUNCTION("""COMPUTED_VALUE"""),"")</f>
        <v/>
      </c>
      <c r="U290" s="41" t="str">
        <f>IFERROR(__xludf.DUMMYFUNCTION("""COMPUTED_VALUE"""),"")</f>
        <v/>
      </c>
      <c r="V290" s="41" t="str">
        <f>IFERROR(__xludf.DUMMYFUNCTION("""COMPUTED_VALUE"""),"")</f>
        <v/>
      </c>
      <c r="W290" s="41" t="str">
        <f>IFERROR(__xludf.DUMMYFUNCTION("""COMPUTED_VALUE"""),"")</f>
        <v/>
      </c>
      <c r="X290" s="41" t="str">
        <f>IFERROR(__xludf.DUMMYFUNCTION("""COMPUTED_VALUE"""),"")</f>
        <v/>
      </c>
      <c r="Y290" s="41" t="str">
        <f>IFERROR(__xludf.DUMMYFUNCTION("""COMPUTED_VALUE"""),"")</f>
        <v/>
      </c>
      <c r="Z290" s="41" t="str">
        <f>IFERROR(__xludf.DUMMYFUNCTION("""COMPUTED_VALUE"""),"")</f>
        <v/>
      </c>
      <c r="AA290" s="41" t="str">
        <f>IFERROR(__xludf.DUMMYFUNCTION("""COMPUTED_VALUE"""),"")</f>
        <v/>
      </c>
      <c r="AB290" s="38" t="str">
        <f>IFERROR(__xludf.DUMMYFUNCTION("""COMPUTED_VALUE"""),"")</f>
        <v/>
      </c>
    </row>
    <row r="291">
      <c r="A291" s="41" t="str">
        <f>IFERROR(__xludf.DUMMYFUNCTION("""COMPUTED_VALUE"""),"NodeJS, HTML, CSS, JS, Firebase, Linux, Git, AngularJS")</f>
        <v>NodeJS, HTML, CSS, JS, Firebase, Linux, Git, AngularJS</v>
      </c>
      <c r="B291" s="42" t="s">
        <v>224</v>
      </c>
      <c r="N291" s="38"/>
      <c r="P291" s="42" t="str">
        <f>IFERROR(__xludf.DUMMYFUNCTION("""COMPUTED_VALUE"""),"aws")</f>
        <v>aws</v>
      </c>
      <c r="Q291" s="41" t="str">
        <f>IFERROR(__xludf.DUMMYFUNCTION("""COMPUTED_VALUE"""),"postman")</f>
        <v>postman</v>
      </c>
      <c r="R291" s="41" t="str">
        <f>IFERROR(__xludf.DUMMYFUNCTION("""COMPUTED_VALUE"""),"")</f>
        <v/>
      </c>
      <c r="S291" s="41" t="str">
        <f>IFERROR(__xludf.DUMMYFUNCTION("""COMPUTED_VALUE"""),"")</f>
        <v/>
      </c>
      <c r="T291" s="41" t="str">
        <f>IFERROR(__xludf.DUMMYFUNCTION("""COMPUTED_VALUE"""),"")</f>
        <v/>
      </c>
      <c r="U291" s="41" t="str">
        <f>IFERROR(__xludf.DUMMYFUNCTION("""COMPUTED_VALUE"""),"")</f>
        <v/>
      </c>
      <c r="V291" s="41" t="str">
        <f>IFERROR(__xludf.DUMMYFUNCTION("""COMPUTED_VALUE"""),"")</f>
        <v/>
      </c>
      <c r="W291" s="41" t="str">
        <f>IFERROR(__xludf.DUMMYFUNCTION("""COMPUTED_VALUE"""),"")</f>
        <v/>
      </c>
      <c r="X291" s="41" t="str">
        <f>IFERROR(__xludf.DUMMYFUNCTION("""COMPUTED_VALUE"""),"")</f>
        <v/>
      </c>
      <c r="Y291" s="41" t="str">
        <f>IFERROR(__xludf.DUMMYFUNCTION("""COMPUTED_VALUE"""),"")</f>
        <v/>
      </c>
      <c r="Z291" s="41" t="str">
        <f>IFERROR(__xludf.DUMMYFUNCTION("""COMPUTED_VALUE"""),"")</f>
        <v/>
      </c>
      <c r="AA291" s="41" t="str">
        <f>IFERROR(__xludf.DUMMYFUNCTION("""COMPUTED_VALUE"""),"")</f>
        <v/>
      </c>
      <c r="AB291" s="38" t="str">
        <f>IFERROR(__xludf.DUMMYFUNCTION("""COMPUTED_VALUE"""),"")</f>
        <v/>
      </c>
    </row>
    <row r="292">
      <c r="A292" s="41" t="str">
        <f>IFERROR(__xludf.DUMMYFUNCTION("""COMPUTED_VALUE"""),"Laravel,PHP,JAVASCRIPT,HTML,JQUERY")</f>
        <v>Laravel,PHP,JAVASCRIPT,HTML,JQUERY</v>
      </c>
      <c r="B292" s="42" t="s">
        <v>4315</v>
      </c>
      <c r="C292" s="41" t="s">
        <v>4316</v>
      </c>
      <c r="D292" s="41" t="s">
        <v>1066</v>
      </c>
      <c r="N292" s="38"/>
      <c r="P292" s="42" t="str">
        <f>IFERROR(__xludf.DUMMYFUNCTION("""COMPUTED_VALUE"""),"aws")</f>
        <v>aws</v>
      </c>
      <c r="Q292" s="41" t="str">
        <f>IFERROR(__xludf.DUMMYFUNCTION("""COMPUTED_VALUE"""),"php")</f>
        <v>php</v>
      </c>
      <c r="R292" s="41" t="str">
        <f>IFERROR(__xludf.DUMMYFUNCTION("""COMPUTED_VALUE"""),"")</f>
        <v/>
      </c>
      <c r="S292" s="41" t="str">
        <f>IFERROR(__xludf.DUMMYFUNCTION("""COMPUTED_VALUE"""),"")</f>
        <v/>
      </c>
      <c r="T292" s="41" t="str">
        <f>IFERROR(__xludf.DUMMYFUNCTION("""COMPUTED_VALUE"""),"")</f>
        <v/>
      </c>
      <c r="U292" s="41" t="str">
        <f>IFERROR(__xludf.DUMMYFUNCTION("""COMPUTED_VALUE"""),"")</f>
        <v/>
      </c>
      <c r="V292" s="41" t="str">
        <f>IFERROR(__xludf.DUMMYFUNCTION("""COMPUTED_VALUE"""),"")</f>
        <v/>
      </c>
      <c r="W292" s="41" t="str">
        <f>IFERROR(__xludf.DUMMYFUNCTION("""COMPUTED_VALUE"""),"")</f>
        <v/>
      </c>
      <c r="X292" s="41" t="str">
        <f>IFERROR(__xludf.DUMMYFUNCTION("""COMPUTED_VALUE"""),"")</f>
        <v/>
      </c>
      <c r="Y292" s="41" t="str">
        <f>IFERROR(__xludf.DUMMYFUNCTION("""COMPUTED_VALUE"""),"")</f>
        <v/>
      </c>
      <c r="Z292" s="41" t="str">
        <f>IFERROR(__xludf.DUMMYFUNCTION("""COMPUTED_VALUE"""),"")</f>
        <v/>
      </c>
      <c r="AA292" s="41" t="str">
        <f>IFERROR(__xludf.DUMMYFUNCTION("""COMPUTED_VALUE"""),"")</f>
        <v/>
      </c>
      <c r="AB292" s="38" t="str">
        <f>IFERROR(__xludf.DUMMYFUNCTION("""COMPUTED_VALUE"""),"")</f>
        <v/>
      </c>
    </row>
    <row r="293">
      <c r="A293" s="41" t="str">
        <f>IFERROR(__xludf.DUMMYFUNCTION("""COMPUTED_VALUE"""),"React")</f>
        <v>React</v>
      </c>
      <c r="B293" s="42" t="s">
        <v>1842</v>
      </c>
      <c r="C293" s="41" t="s">
        <v>4154</v>
      </c>
      <c r="D293" s="41" t="s">
        <v>4159</v>
      </c>
      <c r="E293" s="41" t="s">
        <v>4047</v>
      </c>
      <c r="F293" s="41" t="s">
        <v>4224</v>
      </c>
      <c r="G293" s="41" t="s">
        <v>4118</v>
      </c>
      <c r="H293" s="41" t="s">
        <v>4282</v>
      </c>
      <c r="I293" s="41" t="s">
        <v>4317</v>
      </c>
      <c r="N293" s="38"/>
      <c r="P293" s="42" t="str">
        <f>IFERROR(__xludf.DUMMYFUNCTION("""COMPUTED_VALUE"""),"a")</f>
        <v>a</v>
      </c>
      <c r="Q293" s="41" t="str">
        <f>IFERROR(__xludf.DUMMYFUNCTION("""COMPUTED_VALUE"""),"c#")</f>
        <v>c#</v>
      </c>
      <c r="R293" s="41" t="str">
        <f>IFERROR(__xludf.DUMMYFUNCTION("""COMPUTED_VALUE"""),"")</f>
        <v/>
      </c>
      <c r="S293" s="41" t="str">
        <f>IFERROR(__xludf.DUMMYFUNCTION("""COMPUTED_VALUE"""),"")</f>
        <v/>
      </c>
      <c r="T293" s="41" t="str">
        <f>IFERROR(__xludf.DUMMYFUNCTION("""COMPUTED_VALUE"""),"")</f>
        <v/>
      </c>
      <c r="U293" s="41" t="str">
        <f>IFERROR(__xludf.DUMMYFUNCTION("""COMPUTED_VALUE"""),"")</f>
        <v/>
      </c>
      <c r="V293" s="41" t="str">
        <f>IFERROR(__xludf.DUMMYFUNCTION("""COMPUTED_VALUE"""),"")</f>
        <v/>
      </c>
      <c r="W293" s="41" t="str">
        <f>IFERROR(__xludf.DUMMYFUNCTION("""COMPUTED_VALUE"""),"")</f>
        <v/>
      </c>
      <c r="X293" s="41" t="str">
        <f>IFERROR(__xludf.DUMMYFUNCTION("""COMPUTED_VALUE"""),"")</f>
        <v/>
      </c>
      <c r="Y293" s="41" t="str">
        <f>IFERROR(__xludf.DUMMYFUNCTION("""COMPUTED_VALUE"""),"")</f>
        <v/>
      </c>
      <c r="Z293" s="41" t="str">
        <f>IFERROR(__xludf.DUMMYFUNCTION("""COMPUTED_VALUE"""),"")</f>
        <v/>
      </c>
      <c r="AA293" s="41" t="str">
        <f>IFERROR(__xludf.DUMMYFUNCTION("""COMPUTED_VALUE"""),"")</f>
        <v/>
      </c>
      <c r="AB293" s="38" t="str">
        <f>IFERROR(__xludf.DUMMYFUNCTION("""COMPUTED_VALUE"""),"")</f>
        <v/>
      </c>
    </row>
    <row r="294">
      <c r="A294" s="41" t="str">
        <f>IFERROR(__xludf.DUMMYFUNCTION("""COMPUTED_VALUE"""),"Haskell, Rescript")</f>
        <v>Haskell, Rescript</v>
      </c>
      <c r="B294" s="42" t="s">
        <v>103</v>
      </c>
      <c r="C294" s="41" t="s">
        <v>44</v>
      </c>
      <c r="D294" s="41" t="s">
        <v>4267</v>
      </c>
      <c r="E294" s="41" t="s">
        <v>4154</v>
      </c>
      <c r="F294" s="41" t="s">
        <v>4268</v>
      </c>
      <c r="N294" s="38"/>
      <c r="P294" s="42" t="str">
        <f>IFERROR(__xludf.DUMMYFUNCTION("""COMPUTED_VALUE"""),"lot")</f>
        <v>lot</v>
      </c>
      <c r="Q294" s="41" t="str">
        <f>IFERROR(__xludf.DUMMYFUNCTION("""COMPUTED_VALUE"""),".net")</f>
        <v>.net</v>
      </c>
      <c r="R294" s="41" t="str">
        <f>IFERROR(__xludf.DUMMYFUNCTION("""COMPUTED_VALUE"""),"")</f>
        <v/>
      </c>
      <c r="S294" s="41" t="str">
        <f>IFERROR(__xludf.DUMMYFUNCTION("""COMPUTED_VALUE"""),"")</f>
        <v/>
      </c>
      <c r="T294" s="41" t="str">
        <f>IFERROR(__xludf.DUMMYFUNCTION("""COMPUTED_VALUE"""),"")</f>
        <v/>
      </c>
      <c r="U294" s="41" t="str">
        <f>IFERROR(__xludf.DUMMYFUNCTION("""COMPUTED_VALUE"""),"")</f>
        <v/>
      </c>
      <c r="V294" s="41" t="str">
        <f>IFERROR(__xludf.DUMMYFUNCTION("""COMPUTED_VALUE"""),"")</f>
        <v/>
      </c>
      <c r="W294" s="41" t="str">
        <f>IFERROR(__xludf.DUMMYFUNCTION("""COMPUTED_VALUE"""),"")</f>
        <v/>
      </c>
      <c r="X294" s="41" t="str">
        <f>IFERROR(__xludf.DUMMYFUNCTION("""COMPUTED_VALUE"""),"")</f>
        <v/>
      </c>
      <c r="Y294" s="41" t="str">
        <f>IFERROR(__xludf.DUMMYFUNCTION("""COMPUTED_VALUE"""),"")</f>
        <v/>
      </c>
      <c r="Z294" s="41" t="str">
        <f>IFERROR(__xludf.DUMMYFUNCTION("""COMPUTED_VALUE"""),"")</f>
        <v/>
      </c>
      <c r="AA294" s="41" t="str">
        <f>IFERROR(__xludf.DUMMYFUNCTION("""COMPUTED_VALUE"""),"")</f>
        <v/>
      </c>
      <c r="AB294" s="38" t="str">
        <f>IFERROR(__xludf.DUMMYFUNCTION("""COMPUTED_VALUE"""),"")</f>
        <v/>
      </c>
    </row>
    <row r="295">
      <c r="A295" s="41" t="str">
        <f>IFERROR(__xludf.DUMMYFUNCTION("""COMPUTED_VALUE"""),"Java EE, SQL and JSP ")</f>
        <v>Java EE, SQL and JSP </v>
      </c>
      <c r="B295" s="42" t="s">
        <v>1979</v>
      </c>
      <c r="N295" s="38"/>
      <c r="P295" s="42" t="str">
        <f>IFERROR(__xludf.DUMMYFUNCTION("""COMPUTED_VALUE"""),"laravel")</f>
        <v>laravel</v>
      </c>
      <c r="Q295" s="41" t="str">
        <f>IFERROR(__xludf.DUMMYFUNCTION("""COMPUTED_VALUE"""),"core")</f>
        <v>core</v>
      </c>
      <c r="R295" s="41" t="str">
        <f>IFERROR(__xludf.DUMMYFUNCTION("""COMPUTED_VALUE"""),"")</f>
        <v/>
      </c>
      <c r="S295" s="41" t="str">
        <f>IFERROR(__xludf.DUMMYFUNCTION("""COMPUTED_VALUE"""),"")</f>
        <v/>
      </c>
      <c r="T295" s="41" t="str">
        <f>IFERROR(__xludf.DUMMYFUNCTION("""COMPUTED_VALUE"""),"")</f>
        <v/>
      </c>
      <c r="U295" s="41" t="str">
        <f>IFERROR(__xludf.DUMMYFUNCTION("""COMPUTED_VALUE"""),"")</f>
        <v/>
      </c>
      <c r="V295" s="41" t="str">
        <f>IFERROR(__xludf.DUMMYFUNCTION("""COMPUTED_VALUE"""),"")</f>
        <v/>
      </c>
      <c r="W295" s="41" t="str">
        <f>IFERROR(__xludf.DUMMYFUNCTION("""COMPUTED_VALUE"""),"")</f>
        <v/>
      </c>
      <c r="X295" s="41" t="str">
        <f>IFERROR(__xludf.DUMMYFUNCTION("""COMPUTED_VALUE"""),"")</f>
        <v/>
      </c>
      <c r="Y295" s="41" t="str">
        <f>IFERROR(__xludf.DUMMYFUNCTION("""COMPUTED_VALUE"""),"")</f>
        <v/>
      </c>
      <c r="Z295" s="41" t="str">
        <f>IFERROR(__xludf.DUMMYFUNCTION("""COMPUTED_VALUE"""),"")</f>
        <v/>
      </c>
      <c r="AA295" s="41" t="str">
        <f>IFERROR(__xludf.DUMMYFUNCTION("""COMPUTED_VALUE"""),"")</f>
        <v/>
      </c>
      <c r="AB295" s="38" t="str">
        <f>IFERROR(__xludf.DUMMYFUNCTION("""COMPUTED_VALUE"""),"")</f>
        <v/>
      </c>
    </row>
    <row r="296">
      <c r="A296" s="41" t="str">
        <f>IFERROR(__xludf.DUMMYFUNCTION("""COMPUTED_VALUE"""),"React Native, Graphql")</f>
        <v>React Native, Graphql</v>
      </c>
      <c r="B296" s="42" t="s">
        <v>4318</v>
      </c>
      <c r="C296" s="41" t="s">
        <v>4319</v>
      </c>
      <c r="N296" s="38"/>
      <c r="P296" s="42" t="str">
        <f>IFERROR(__xludf.DUMMYFUNCTION("""COMPUTED_VALUE"""),"nodejs")</f>
        <v>nodejs</v>
      </c>
      <c r="Q296" s="41" t="str">
        <f>IFERROR(__xludf.DUMMYFUNCTION("""COMPUTED_VALUE"""),"oracle")</f>
        <v>oracle</v>
      </c>
      <c r="R296" s="41" t="str">
        <f>IFERROR(__xludf.DUMMYFUNCTION("""COMPUTED_VALUE"""),"")</f>
        <v/>
      </c>
      <c r="S296" s="41" t="str">
        <f>IFERROR(__xludf.DUMMYFUNCTION("""COMPUTED_VALUE"""),"")</f>
        <v/>
      </c>
      <c r="T296" s="41" t="str">
        <f>IFERROR(__xludf.DUMMYFUNCTION("""COMPUTED_VALUE"""),"")</f>
        <v/>
      </c>
      <c r="U296" s="41" t="str">
        <f>IFERROR(__xludf.DUMMYFUNCTION("""COMPUTED_VALUE"""),"")</f>
        <v/>
      </c>
      <c r="V296" s="41" t="str">
        <f>IFERROR(__xludf.DUMMYFUNCTION("""COMPUTED_VALUE"""),"")</f>
        <v/>
      </c>
      <c r="W296" s="41" t="str">
        <f>IFERROR(__xludf.DUMMYFUNCTION("""COMPUTED_VALUE"""),"")</f>
        <v/>
      </c>
      <c r="X296" s="41" t="str">
        <f>IFERROR(__xludf.DUMMYFUNCTION("""COMPUTED_VALUE"""),"")</f>
        <v/>
      </c>
      <c r="Y296" s="41" t="str">
        <f>IFERROR(__xludf.DUMMYFUNCTION("""COMPUTED_VALUE"""),"")</f>
        <v/>
      </c>
      <c r="Z296" s="41" t="str">
        <f>IFERROR(__xludf.DUMMYFUNCTION("""COMPUTED_VALUE"""),"")</f>
        <v/>
      </c>
      <c r="AA296" s="41" t="str">
        <f>IFERROR(__xludf.DUMMYFUNCTION("""COMPUTED_VALUE"""),"")</f>
        <v/>
      </c>
      <c r="AB296" s="38" t="str">
        <f>IFERROR(__xludf.DUMMYFUNCTION("""COMPUTED_VALUE"""),"")</f>
        <v/>
      </c>
    </row>
    <row r="297">
      <c r="A297" s="41" t="str">
        <f>IFERROR(__xludf.DUMMYFUNCTION("""COMPUTED_VALUE"""),"React Native")</f>
        <v>React Native</v>
      </c>
      <c r="B297" s="42" t="s">
        <v>4320</v>
      </c>
      <c r="C297" s="41" t="s">
        <v>4321</v>
      </c>
      <c r="N297" s="38"/>
      <c r="P297" s="42" t="str">
        <f>IFERROR(__xludf.DUMMYFUNCTION("""COMPUTED_VALUE"""),"laravel")</f>
        <v>laravel</v>
      </c>
      <c r="Q297" s="41" t="str">
        <f>IFERROR(__xludf.DUMMYFUNCTION("""COMPUTED_VALUE"""),"power")</f>
        <v>power</v>
      </c>
      <c r="R297" s="41" t="str">
        <f>IFERROR(__xludf.DUMMYFUNCTION("""COMPUTED_VALUE"""),"")</f>
        <v/>
      </c>
      <c r="S297" s="41" t="str">
        <f>IFERROR(__xludf.DUMMYFUNCTION("""COMPUTED_VALUE"""),"")</f>
        <v/>
      </c>
      <c r="T297" s="41" t="str">
        <f>IFERROR(__xludf.DUMMYFUNCTION("""COMPUTED_VALUE"""),"")</f>
        <v/>
      </c>
      <c r="U297" s="41" t="str">
        <f>IFERROR(__xludf.DUMMYFUNCTION("""COMPUTED_VALUE"""),"")</f>
        <v/>
      </c>
      <c r="V297" s="41" t="str">
        <f>IFERROR(__xludf.DUMMYFUNCTION("""COMPUTED_VALUE"""),"")</f>
        <v/>
      </c>
      <c r="W297" s="41" t="str">
        <f>IFERROR(__xludf.DUMMYFUNCTION("""COMPUTED_VALUE"""),"")</f>
        <v/>
      </c>
      <c r="X297" s="41" t="str">
        <f>IFERROR(__xludf.DUMMYFUNCTION("""COMPUTED_VALUE"""),"")</f>
        <v/>
      </c>
      <c r="Y297" s="41" t="str">
        <f>IFERROR(__xludf.DUMMYFUNCTION("""COMPUTED_VALUE"""),"")</f>
        <v/>
      </c>
      <c r="Z297" s="41" t="str">
        <f>IFERROR(__xludf.DUMMYFUNCTION("""COMPUTED_VALUE"""),"")</f>
        <v/>
      </c>
      <c r="AA297" s="41" t="str">
        <f>IFERROR(__xludf.DUMMYFUNCTION("""COMPUTED_VALUE"""),"")</f>
        <v/>
      </c>
      <c r="AB297" s="38" t="str">
        <f>IFERROR(__xludf.DUMMYFUNCTION("""COMPUTED_VALUE"""),"")</f>
        <v/>
      </c>
    </row>
    <row r="298">
      <c r="A298" s="41" t="str">
        <f>IFERROR(__xludf.DUMMYFUNCTION("""COMPUTED_VALUE"""),"Kubernetes, AWS")</f>
        <v>Kubernetes, AWS</v>
      </c>
      <c r="B298" s="42" t="s">
        <v>549</v>
      </c>
      <c r="C298" s="41" t="s">
        <v>4256</v>
      </c>
      <c r="N298" s="38"/>
      <c r="P298" s="42" t="str">
        <f>IFERROR(__xludf.DUMMYFUNCTION("""COMPUTED_VALUE"""),"kotlin")</f>
        <v>kotlin</v>
      </c>
      <c r="Q298" s="41" t="str">
        <f>IFERROR(__xludf.DUMMYFUNCTION("""COMPUTED_VALUE"""),"bi")</f>
        <v>bi</v>
      </c>
      <c r="R298" s="41" t="str">
        <f>IFERROR(__xludf.DUMMYFUNCTION("""COMPUTED_VALUE"""),"")</f>
        <v/>
      </c>
      <c r="S298" s="41" t="str">
        <f>IFERROR(__xludf.DUMMYFUNCTION("""COMPUTED_VALUE"""),"")</f>
        <v/>
      </c>
      <c r="T298" s="41" t="str">
        <f>IFERROR(__xludf.DUMMYFUNCTION("""COMPUTED_VALUE"""),"")</f>
        <v/>
      </c>
      <c r="U298" s="41" t="str">
        <f>IFERROR(__xludf.DUMMYFUNCTION("""COMPUTED_VALUE"""),"")</f>
        <v/>
      </c>
      <c r="V298" s="41" t="str">
        <f>IFERROR(__xludf.DUMMYFUNCTION("""COMPUTED_VALUE"""),"")</f>
        <v/>
      </c>
      <c r="W298" s="41" t="str">
        <f>IFERROR(__xludf.DUMMYFUNCTION("""COMPUTED_VALUE"""),"")</f>
        <v/>
      </c>
      <c r="X298" s="41" t="str">
        <f>IFERROR(__xludf.DUMMYFUNCTION("""COMPUTED_VALUE"""),"")</f>
        <v/>
      </c>
      <c r="Y298" s="41" t="str">
        <f>IFERROR(__xludf.DUMMYFUNCTION("""COMPUTED_VALUE"""),"")</f>
        <v/>
      </c>
      <c r="Z298" s="41" t="str">
        <f>IFERROR(__xludf.DUMMYFUNCTION("""COMPUTED_VALUE"""),"")</f>
        <v/>
      </c>
      <c r="AA298" s="41" t="str">
        <f>IFERROR(__xludf.DUMMYFUNCTION("""COMPUTED_VALUE"""),"")</f>
        <v/>
      </c>
      <c r="AB298" s="38" t="str">
        <f>IFERROR(__xludf.DUMMYFUNCTION("""COMPUTED_VALUE"""),"")</f>
        <v/>
      </c>
    </row>
    <row r="299">
      <c r="A299" s="41" t="str">
        <f>IFERROR(__xludf.DUMMYFUNCTION("""COMPUTED_VALUE"""),"AI/ML, Python, Dataiku, Hadoop, Oracle")</f>
        <v>AI/ML, Python, Dataiku, Hadoop, Oracle</v>
      </c>
      <c r="B299" s="42" t="s">
        <v>549</v>
      </c>
      <c r="N299" s="38"/>
      <c r="P299" s="42" t="str">
        <f>IFERROR(__xludf.DUMMYFUNCTION("""COMPUTED_VALUE"""),"web")</f>
        <v>web</v>
      </c>
      <c r="Q299" s="41" t="str">
        <f>IFERROR(__xludf.DUMMYFUNCTION("""COMPUTED_VALUE"""),"aws")</f>
        <v>aws</v>
      </c>
      <c r="R299" s="41" t="str">
        <f>IFERROR(__xludf.DUMMYFUNCTION("""COMPUTED_VALUE"""),"")</f>
        <v/>
      </c>
      <c r="S299" s="41" t="str">
        <f>IFERROR(__xludf.DUMMYFUNCTION("""COMPUTED_VALUE"""),"")</f>
        <v/>
      </c>
      <c r="T299" s="41" t="str">
        <f>IFERROR(__xludf.DUMMYFUNCTION("""COMPUTED_VALUE"""),"")</f>
        <v/>
      </c>
      <c r="U299" s="41" t="str">
        <f>IFERROR(__xludf.DUMMYFUNCTION("""COMPUTED_VALUE"""),"")</f>
        <v/>
      </c>
      <c r="V299" s="41" t="str">
        <f>IFERROR(__xludf.DUMMYFUNCTION("""COMPUTED_VALUE"""),"")</f>
        <v/>
      </c>
      <c r="W299" s="41" t="str">
        <f>IFERROR(__xludf.DUMMYFUNCTION("""COMPUTED_VALUE"""),"")</f>
        <v/>
      </c>
      <c r="X299" s="41" t="str">
        <f>IFERROR(__xludf.DUMMYFUNCTION("""COMPUTED_VALUE"""),"")</f>
        <v/>
      </c>
      <c r="Y299" s="41" t="str">
        <f>IFERROR(__xludf.DUMMYFUNCTION("""COMPUTED_VALUE"""),"")</f>
        <v/>
      </c>
      <c r="Z299" s="41" t="str">
        <f>IFERROR(__xludf.DUMMYFUNCTION("""COMPUTED_VALUE"""),"")</f>
        <v/>
      </c>
      <c r="AA299" s="41" t="str">
        <f>IFERROR(__xludf.DUMMYFUNCTION("""COMPUTED_VALUE"""),"")</f>
        <v/>
      </c>
      <c r="AB299" s="38" t="str">
        <f>IFERROR(__xludf.DUMMYFUNCTION("""COMPUTED_VALUE"""),"")</f>
        <v/>
      </c>
    </row>
    <row r="300">
      <c r="A300" s="41" t="str">
        <f>IFERROR(__xludf.DUMMYFUNCTION("""COMPUTED_VALUE"""),"Laptop, PLC, ARM embedded hardware")</f>
        <v>Laptop, PLC, ARM embedded hardware</v>
      </c>
      <c r="B300" s="42" t="s">
        <v>3903</v>
      </c>
      <c r="C300" s="41" t="s">
        <v>1233</v>
      </c>
      <c r="N300" s="38"/>
      <c r="P300" s="42" t="str">
        <f>IFERROR(__xludf.DUMMYFUNCTION("""COMPUTED_VALUE"""),"application")</f>
        <v>application</v>
      </c>
      <c r="Q300" s="41" t="str">
        <f>IFERROR(__xludf.DUMMYFUNCTION("""COMPUTED_VALUE"""),"mobile")</f>
        <v>mobile</v>
      </c>
      <c r="R300" s="41" t="str">
        <f>IFERROR(__xludf.DUMMYFUNCTION("""COMPUTED_VALUE"""),"")</f>
        <v/>
      </c>
      <c r="S300" s="41" t="str">
        <f>IFERROR(__xludf.DUMMYFUNCTION("""COMPUTED_VALUE"""),"")</f>
        <v/>
      </c>
      <c r="T300" s="41" t="str">
        <f>IFERROR(__xludf.DUMMYFUNCTION("""COMPUTED_VALUE"""),"")</f>
        <v/>
      </c>
      <c r="U300" s="41" t="str">
        <f>IFERROR(__xludf.DUMMYFUNCTION("""COMPUTED_VALUE"""),"")</f>
        <v/>
      </c>
      <c r="V300" s="41" t="str">
        <f>IFERROR(__xludf.DUMMYFUNCTION("""COMPUTED_VALUE"""),"")</f>
        <v/>
      </c>
      <c r="W300" s="41" t="str">
        <f>IFERROR(__xludf.DUMMYFUNCTION("""COMPUTED_VALUE"""),"")</f>
        <v/>
      </c>
      <c r="X300" s="41" t="str">
        <f>IFERROR(__xludf.DUMMYFUNCTION("""COMPUTED_VALUE"""),"")</f>
        <v/>
      </c>
      <c r="Y300" s="41" t="str">
        <f>IFERROR(__xludf.DUMMYFUNCTION("""COMPUTED_VALUE"""),"")</f>
        <v/>
      </c>
      <c r="Z300" s="41" t="str">
        <f>IFERROR(__xludf.DUMMYFUNCTION("""COMPUTED_VALUE"""),"")</f>
        <v/>
      </c>
      <c r="AA300" s="41" t="str">
        <f>IFERROR(__xludf.DUMMYFUNCTION("""COMPUTED_VALUE"""),"")</f>
        <v/>
      </c>
      <c r="AB300" s="38" t="str">
        <f>IFERROR(__xludf.DUMMYFUNCTION("""COMPUTED_VALUE"""),"")</f>
        <v/>
      </c>
    </row>
    <row r="301">
      <c r="A301" s="41" t="str">
        <f>IFERROR(__xludf.DUMMYFUNCTION("""COMPUTED_VALUE"""),"Node, php, sas")</f>
        <v>Node, php, sas</v>
      </c>
      <c r="B301" s="42" t="s">
        <v>4322</v>
      </c>
      <c r="C301" s="41" t="s">
        <v>78</v>
      </c>
      <c r="D301" s="41" t="s">
        <v>4323</v>
      </c>
      <c r="E301" s="41" t="s">
        <v>4324</v>
      </c>
      <c r="F301" s="41" t="s">
        <v>4255</v>
      </c>
      <c r="N301" s="38"/>
      <c r="P301" s="42" t="str">
        <f>IFERROR(__xludf.DUMMYFUNCTION("""COMPUTED_VALUE"""),"was")</f>
        <v>was</v>
      </c>
      <c r="Q301" s="41" t="str">
        <f>IFERROR(__xludf.DUMMYFUNCTION("""COMPUTED_VALUE"""),"development")</f>
        <v>development</v>
      </c>
      <c r="R301" s="41" t="str">
        <f>IFERROR(__xludf.DUMMYFUNCTION("""COMPUTED_VALUE"""),"")</f>
        <v/>
      </c>
      <c r="S301" s="41" t="str">
        <f>IFERROR(__xludf.DUMMYFUNCTION("""COMPUTED_VALUE"""),"")</f>
        <v/>
      </c>
      <c r="T301" s="41" t="str">
        <f>IFERROR(__xludf.DUMMYFUNCTION("""COMPUTED_VALUE"""),"")</f>
        <v/>
      </c>
      <c r="U301" s="41" t="str">
        <f>IFERROR(__xludf.DUMMYFUNCTION("""COMPUTED_VALUE"""),"")</f>
        <v/>
      </c>
      <c r="V301" s="41" t="str">
        <f>IFERROR(__xludf.DUMMYFUNCTION("""COMPUTED_VALUE"""),"")</f>
        <v/>
      </c>
      <c r="W301" s="41" t="str">
        <f>IFERROR(__xludf.DUMMYFUNCTION("""COMPUTED_VALUE"""),"")</f>
        <v/>
      </c>
      <c r="X301" s="41" t="str">
        <f>IFERROR(__xludf.DUMMYFUNCTION("""COMPUTED_VALUE"""),"")</f>
        <v/>
      </c>
      <c r="Y301" s="41" t="str">
        <f>IFERROR(__xludf.DUMMYFUNCTION("""COMPUTED_VALUE"""),"")</f>
        <v/>
      </c>
      <c r="Z301" s="41" t="str">
        <f>IFERROR(__xludf.DUMMYFUNCTION("""COMPUTED_VALUE"""),"")</f>
        <v/>
      </c>
      <c r="AA301" s="41" t="str">
        <f>IFERROR(__xludf.DUMMYFUNCTION("""COMPUTED_VALUE"""),"")</f>
        <v/>
      </c>
      <c r="AB301" s="38" t="str">
        <f>IFERROR(__xludf.DUMMYFUNCTION("""COMPUTED_VALUE"""),"")</f>
        <v/>
      </c>
    </row>
    <row r="302">
      <c r="A302" s="41" t="str">
        <f>IFERROR(__xludf.DUMMYFUNCTION("""COMPUTED_VALUE"""),"VUEJS, DOCKER, EXPRESSJS, MONGO, MYSQL, PYTHON, KUBENETES, ASP.NET CORE, JENKINS")</f>
        <v>VUEJS, DOCKER, EXPRESSJS, MONGO, MYSQL, PYTHON, KUBENETES, ASP.NET CORE, JENKINS</v>
      </c>
      <c r="B302" s="42" t="s">
        <v>87</v>
      </c>
      <c r="C302" s="41" t="s">
        <v>738</v>
      </c>
      <c r="D302" s="41" t="s">
        <v>4325</v>
      </c>
      <c r="N302" s="38"/>
      <c r="P302" s="42" t="str">
        <f>IFERROR(__xludf.DUMMYFUNCTION("""COMPUTED_VALUE"""),"javascript")</f>
        <v>javascript</v>
      </c>
      <c r="Q302" s="41" t="str">
        <f>IFERROR(__xludf.DUMMYFUNCTION("""COMPUTED_VALUE"""),"spring")</f>
        <v>spring</v>
      </c>
      <c r="R302" s="41" t="str">
        <f>IFERROR(__xludf.DUMMYFUNCTION("""COMPUTED_VALUE"""),"")</f>
        <v/>
      </c>
      <c r="S302" s="41" t="str">
        <f>IFERROR(__xludf.DUMMYFUNCTION("""COMPUTED_VALUE"""),"")</f>
        <v/>
      </c>
      <c r="T302" s="41" t="str">
        <f>IFERROR(__xludf.DUMMYFUNCTION("""COMPUTED_VALUE"""),"")</f>
        <v/>
      </c>
      <c r="U302" s="41" t="str">
        <f>IFERROR(__xludf.DUMMYFUNCTION("""COMPUTED_VALUE"""),"")</f>
        <v/>
      </c>
      <c r="V302" s="41" t="str">
        <f>IFERROR(__xludf.DUMMYFUNCTION("""COMPUTED_VALUE"""),"")</f>
        <v/>
      </c>
      <c r="W302" s="41" t="str">
        <f>IFERROR(__xludf.DUMMYFUNCTION("""COMPUTED_VALUE"""),"")</f>
        <v/>
      </c>
      <c r="X302" s="41" t="str">
        <f>IFERROR(__xludf.DUMMYFUNCTION("""COMPUTED_VALUE"""),"")</f>
        <v/>
      </c>
      <c r="Y302" s="41" t="str">
        <f>IFERROR(__xludf.DUMMYFUNCTION("""COMPUTED_VALUE"""),"")</f>
        <v/>
      </c>
      <c r="Z302" s="41" t="str">
        <f>IFERROR(__xludf.DUMMYFUNCTION("""COMPUTED_VALUE"""),"")</f>
        <v/>
      </c>
      <c r="AA302" s="41" t="str">
        <f>IFERROR(__xludf.DUMMYFUNCTION("""COMPUTED_VALUE"""),"")</f>
        <v/>
      </c>
      <c r="AB302" s="38" t="str">
        <f>IFERROR(__xludf.DUMMYFUNCTION("""COMPUTED_VALUE"""),"")</f>
        <v/>
      </c>
    </row>
    <row r="303">
      <c r="A303" s="41" t="str">
        <f>IFERROR(__xludf.DUMMYFUNCTION("""COMPUTED_VALUE"""),"Excel, github")</f>
        <v>Excel, github</v>
      </c>
      <c r="B303" s="42" t="s">
        <v>4239</v>
      </c>
      <c r="C303" s="41" t="s">
        <v>196</v>
      </c>
      <c r="D303" s="41" t="s">
        <v>4326</v>
      </c>
      <c r="N303" s="38"/>
      <c r="P303" s="42" t="str">
        <f>IFERROR(__xludf.DUMMYFUNCTION("""COMPUTED_VALUE"""),"dotnet")</f>
        <v>dotnet</v>
      </c>
      <c r="Q303" s="41" t="str">
        <f>IFERROR(__xludf.DUMMYFUNCTION("""COMPUTED_VALUE"""),"boot")</f>
        <v>boot</v>
      </c>
      <c r="R303" s="41" t="str">
        <f>IFERROR(__xludf.DUMMYFUNCTION("""COMPUTED_VALUE"""),"")</f>
        <v/>
      </c>
      <c r="S303" s="41" t="str">
        <f>IFERROR(__xludf.DUMMYFUNCTION("""COMPUTED_VALUE"""),"")</f>
        <v/>
      </c>
      <c r="T303" s="41" t="str">
        <f>IFERROR(__xludf.DUMMYFUNCTION("""COMPUTED_VALUE"""),"")</f>
        <v/>
      </c>
      <c r="U303" s="41" t="str">
        <f>IFERROR(__xludf.DUMMYFUNCTION("""COMPUTED_VALUE"""),"")</f>
        <v/>
      </c>
      <c r="V303" s="41" t="str">
        <f>IFERROR(__xludf.DUMMYFUNCTION("""COMPUTED_VALUE"""),"")</f>
        <v/>
      </c>
      <c r="W303" s="41" t="str">
        <f>IFERROR(__xludf.DUMMYFUNCTION("""COMPUTED_VALUE"""),"")</f>
        <v/>
      </c>
      <c r="X303" s="41" t="str">
        <f>IFERROR(__xludf.DUMMYFUNCTION("""COMPUTED_VALUE"""),"")</f>
        <v/>
      </c>
      <c r="Y303" s="41" t="str">
        <f>IFERROR(__xludf.DUMMYFUNCTION("""COMPUTED_VALUE"""),"")</f>
        <v/>
      </c>
      <c r="Z303" s="41" t="str">
        <f>IFERROR(__xludf.DUMMYFUNCTION("""COMPUTED_VALUE"""),"")</f>
        <v/>
      </c>
      <c r="AA303" s="41" t="str">
        <f>IFERROR(__xludf.DUMMYFUNCTION("""COMPUTED_VALUE"""),"")</f>
        <v/>
      </c>
      <c r="AB303" s="38" t="str">
        <f>IFERROR(__xludf.DUMMYFUNCTION("""COMPUTED_VALUE"""),"")</f>
        <v/>
      </c>
    </row>
    <row r="304">
      <c r="A304" s="41" t="str">
        <f>IFERROR(__xludf.DUMMYFUNCTION("""COMPUTED_VALUE"""),"Java")</f>
        <v>Java</v>
      </c>
      <c r="B304" s="42" t="s">
        <v>4327</v>
      </c>
      <c r="C304" s="41" t="s">
        <v>4328</v>
      </c>
      <c r="D304" s="41" t="s">
        <v>4329</v>
      </c>
      <c r="E304" s="41" t="s">
        <v>4330</v>
      </c>
      <c r="F304" s="41" t="s">
        <v>4302</v>
      </c>
      <c r="G304" s="41" t="s">
        <v>4331</v>
      </c>
      <c r="H304" s="41" t="s">
        <v>4332</v>
      </c>
      <c r="I304" s="41" t="s">
        <v>4333</v>
      </c>
      <c r="J304" s="41" t="s">
        <v>4334</v>
      </c>
      <c r="N304" s="38"/>
      <c r="P304" s="42" t="str">
        <f>IFERROR(__xludf.DUMMYFUNCTION("""COMPUTED_VALUE"""),"laravel")</f>
        <v>laravel</v>
      </c>
      <c r="Q304" s="41" t="str">
        <f>IFERROR(__xludf.DUMMYFUNCTION("""COMPUTED_VALUE"""),"unix")</f>
        <v>unix</v>
      </c>
      <c r="R304" s="41" t="str">
        <f>IFERROR(__xludf.DUMMYFUNCTION("""COMPUTED_VALUE"""),"")</f>
        <v/>
      </c>
      <c r="S304" s="41" t="str">
        <f>IFERROR(__xludf.DUMMYFUNCTION("""COMPUTED_VALUE"""),"")</f>
        <v/>
      </c>
      <c r="T304" s="41" t="str">
        <f>IFERROR(__xludf.DUMMYFUNCTION("""COMPUTED_VALUE"""),"")</f>
        <v/>
      </c>
      <c r="U304" s="41" t="str">
        <f>IFERROR(__xludf.DUMMYFUNCTION("""COMPUTED_VALUE"""),"")</f>
        <v/>
      </c>
      <c r="V304" s="41" t="str">
        <f>IFERROR(__xludf.DUMMYFUNCTION("""COMPUTED_VALUE"""),"")</f>
        <v/>
      </c>
      <c r="W304" s="41" t="str">
        <f>IFERROR(__xludf.DUMMYFUNCTION("""COMPUTED_VALUE"""),"")</f>
        <v/>
      </c>
      <c r="X304" s="41" t="str">
        <f>IFERROR(__xludf.DUMMYFUNCTION("""COMPUTED_VALUE"""),"")</f>
        <v/>
      </c>
      <c r="Y304" s="41" t="str">
        <f>IFERROR(__xludf.DUMMYFUNCTION("""COMPUTED_VALUE"""),"")</f>
        <v/>
      </c>
      <c r="Z304" s="41" t="str">
        <f>IFERROR(__xludf.DUMMYFUNCTION("""COMPUTED_VALUE"""),"")</f>
        <v/>
      </c>
      <c r="AA304" s="41" t="str">
        <f>IFERROR(__xludf.DUMMYFUNCTION("""COMPUTED_VALUE"""),"")</f>
        <v/>
      </c>
      <c r="AB304" s="38" t="str">
        <f>IFERROR(__xludf.DUMMYFUNCTION("""COMPUTED_VALUE"""),"")</f>
        <v/>
      </c>
    </row>
    <row r="305">
      <c r="A305" s="41" t="str">
        <f>IFERROR(__xludf.DUMMYFUNCTION("""COMPUTED_VALUE"""),"Javascript, jQuery, Spark AR")</f>
        <v>Javascript, jQuery, Spark AR</v>
      </c>
      <c r="B305" s="42" t="s">
        <v>2031</v>
      </c>
      <c r="C305" s="41" t="s">
        <v>4335</v>
      </c>
      <c r="N305" s="38"/>
      <c r="P305" s="42" t="str">
        <f>IFERROR(__xludf.DUMMYFUNCTION("""COMPUTED_VALUE"""),"swift")</f>
        <v>swift</v>
      </c>
      <c r="Q305" s="41" t="str">
        <f>IFERROR(__xludf.DUMMYFUNCTION("""COMPUTED_VALUE"""),"cg")</f>
        <v>cg</v>
      </c>
      <c r="R305" s="41" t="str">
        <f>IFERROR(__xludf.DUMMYFUNCTION("""COMPUTED_VALUE"""),"")</f>
        <v/>
      </c>
      <c r="S305" s="41" t="str">
        <f>IFERROR(__xludf.DUMMYFUNCTION("""COMPUTED_VALUE"""),"")</f>
        <v/>
      </c>
      <c r="T305" s="41" t="str">
        <f>IFERROR(__xludf.DUMMYFUNCTION("""COMPUTED_VALUE"""),"")</f>
        <v/>
      </c>
      <c r="U305" s="41" t="str">
        <f>IFERROR(__xludf.DUMMYFUNCTION("""COMPUTED_VALUE"""),"")</f>
        <v/>
      </c>
      <c r="V305" s="41" t="str">
        <f>IFERROR(__xludf.DUMMYFUNCTION("""COMPUTED_VALUE"""),"")</f>
        <v/>
      </c>
      <c r="W305" s="41" t="str">
        <f>IFERROR(__xludf.DUMMYFUNCTION("""COMPUTED_VALUE"""),"")</f>
        <v/>
      </c>
      <c r="X305" s="41" t="str">
        <f>IFERROR(__xludf.DUMMYFUNCTION("""COMPUTED_VALUE"""),"")</f>
        <v/>
      </c>
      <c r="Y305" s="41" t="str">
        <f>IFERROR(__xludf.DUMMYFUNCTION("""COMPUTED_VALUE"""),"")</f>
        <v/>
      </c>
      <c r="Z305" s="41" t="str">
        <f>IFERROR(__xludf.DUMMYFUNCTION("""COMPUTED_VALUE"""),"")</f>
        <v/>
      </c>
      <c r="AA305" s="41" t="str">
        <f>IFERROR(__xludf.DUMMYFUNCTION("""COMPUTED_VALUE"""),"")</f>
        <v/>
      </c>
      <c r="AB305" s="38" t="str">
        <f>IFERROR(__xludf.DUMMYFUNCTION("""COMPUTED_VALUE"""),"")</f>
        <v/>
      </c>
    </row>
    <row r="306">
      <c r="A306" s="41" t="str">
        <f>IFERROR(__xludf.DUMMYFUNCTION("""COMPUTED_VALUE"""),"Angular, VueJS, Typescript, Java Spring, SQL, Docker, Kotlin")</f>
        <v>Angular, VueJS, Typescript, Java Spring, SQL, Docker, Kotlin</v>
      </c>
      <c r="B306" s="42" t="s">
        <v>224</v>
      </c>
      <c r="N306" s="38"/>
      <c r="P306" s="42" t="str">
        <f>IFERROR(__xludf.DUMMYFUNCTION("""COMPUTED_VALUE"""),"redshift")</f>
        <v>redshift</v>
      </c>
      <c r="Q306" s="41" t="str">
        <f>IFERROR(__xludf.DUMMYFUNCTION("""COMPUTED_VALUE"""),"docker")</f>
        <v>docker</v>
      </c>
      <c r="R306" s="41" t="str">
        <f>IFERROR(__xludf.DUMMYFUNCTION("""COMPUTED_VALUE"""),"")</f>
        <v/>
      </c>
      <c r="S306" s="41" t="str">
        <f>IFERROR(__xludf.DUMMYFUNCTION("""COMPUTED_VALUE"""),"")</f>
        <v/>
      </c>
      <c r="T306" s="41" t="str">
        <f>IFERROR(__xludf.DUMMYFUNCTION("""COMPUTED_VALUE"""),"")</f>
        <v/>
      </c>
      <c r="U306" s="41" t="str">
        <f>IFERROR(__xludf.DUMMYFUNCTION("""COMPUTED_VALUE"""),"")</f>
        <v/>
      </c>
      <c r="V306" s="41" t="str">
        <f>IFERROR(__xludf.DUMMYFUNCTION("""COMPUTED_VALUE"""),"")</f>
        <v/>
      </c>
      <c r="W306" s="41" t="str">
        <f>IFERROR(__xludf.DUMMYFUNCTION("""COMPUTED_VALUE"""),"")</f>
        <v/>
      </c>
      <c r="X306" s="41" t="str">
        <f>IFERROR(__xludf.DUMMYFUNCTION("""COMPUTED_VALUE"""),"")</f>
        <v/>
      </c>
      <c r="Y306" s="41" t="str">
        <f>IFERROR(__xludf.DUMMYFUNCTION("""COMPUTED_VALUE"""),"")</f>
        <v/>
      </c>
      <c r="Z306" s="41" t="str">
        <f>IFERROR(__xludf.DUMMYFUNCTION("""COMPUTED_VALUE"""),"")</f>
        <v/>
      </c>
      <c r="AA306" s="41" t="str">
        <f>IFERROR(__xludf.DUMMYFUNCTION("""COMPUTED_VALUE"""),"")</f>
        <v/>
      </c>
      <c r="AB306" s="38" t="str">
        <f>IFERROR(__xludf.DUMMYFUNCTION("""COMPUTED_VALUE"""),"")</f>
        <v/>
      </c>
    </row>
    <row r="307">
      <c r="A307" s="41" t="str">
        <f>IFERROR(__xludf.DUMMYFUNCTION("""COMPUTED_VALUE"""),"Not sure of question.")</f>
        <v>Not sure of question.</v>
      </c>
      <c r="B307" s="42" t="s">
        <v>712</v>
      </c>
      <c r="C307" s="41" t="s">
        <v>4253</v>
      </c>
      <c r="D307" s="41" t="s">
        <v>4336</v>
      </c>
      <c r="N307" s="38"/>
      <c r="P307" s="42" t="str">
        <f>IFERROR(__xludf.DUMMYFUNCTION("""COMPUTED_VALUE"""),"angular")</f>
        <v>angular</v>
      </c>
      <c r="Q307" s="41" t="str">
        <f>IFERROR(__xludf.DUMMYFUNCTION("""COMPUTED_VALUE"""),"swift")</f>
        <v>swift</v>
      </c>
      <c r="R307" s="41" t="str">
        <f>IFERROR(__xludf.DUMMYFUNCTION("""COMPUTED_VALUE"""),"")</f>
        <v/>
      </c>
      <c r="S307" s="41" t="str">
        <f>IFERROR(__xludf.DUMMYFUNCTION("""COMPUTED_VALUE"""),"")</f>
        <v/>
      </c>
      <c r="T307" s="41" t="str">
        <f>IFERROR(__xludf.DUMMYFUNCTION("""COMPUTED_VALUE"""),"")</f>
        <v/>
      </c>
      <c r="U307" s="41" t="str">
        <f>IFERROR(__xludf.DUMMYFUNCTION("""COMPUTED_VALUE"""),"")</f>
        <v/>
      </c>
      <c r="V307" s="41" t="str">
        <f>IFERROR(__xludf.DUMMYFUNCTION("""COMPUTED_VALUE"""),"")</f>
        <v/>
      </c>
      <c r="W307" s="41" t="str">
        <f>IFERROR(__xludf.DUMMYFUNCTION("""COMPUTED_VALUE"""),"")</f>
        <v/>
      </c>
      <c r="X307" s="41" t="str">
        <f>IFERROR(__xludf.DUMMYFUNCTION("""COMPUTED_VALUE"""),"")</f>
        <v/>
      </c>
      <c r="Y307" s="41" t="str">
        <f>IFERROR(__xludf.DUMMYFUNCTION("""COMPUTED_VALUE"""),"")</f>
        <v/>
      </c>
      <c r="Z307" s="41" t="str">
        <f>IFERROR(__xludf.DUMMYFUNCTION("""COMPUTED_VALUE"""),"")</f>
        <v/>
      </c>
      <c r="AA307" s="41" t="str">
        <f>IFERROR(__xludf.DUMMYFUNCTION("""COMPUTED_VALUE"""),"")</f>
        <v/>
      </c>
      <c r="AB307" s="38" t="str">
        <f>IFERROR(__xludf.DUMMYFUNCTION("""COMPUTED_VALUE"""),"")</f>
        <v/>
      </c>
    </row>
    <row r="308">
      <c r="A308" s="41" t="str">
        <f>IFERROR(__xludf.DUMMYFUNCTION("""COMPUTED_VALUE"""),"ASP.NET 3.5")</f>
        <v>ASP.NET 3.5</v>
      </c>
      <c r="B308" s="42" t="s">
        <v>704</v>
      </c>
      <c r="C308" s="41" t="s">
        <v>1427</v>
      </c>
      <c r="D308" s="41" t="s">
        <v>4052</v>
      </c>
      <c r="E308" s="41" t="s">
        <v>4337</v>
      </c>
      <c r="F308" s="41" t="s">
        <v>2094</v>
      </c>
      <c r="G308" s="41" t="s">
        <v>3663</v>
      </c>
      <c r="H308" s="41" t="s">
        <v>170</v>
      </c>
      <c r="N308" s="38"/>
      <c r="P308" s="42" t="str">
        <f>IFERROR(__xludf.DUMMYFUNCTION("""COMPUTED_VALUE"""),"java")</f>
        <v>java</v>
      </c>
      <c r="Q308" s="41" t="str">
        <f>IFERROR(__xludf.DUMMYFUNCTION("""COMPUTED_VALUE"""),"grpc")</f>
        <v>grpc</v>
      </c>
      <c r="R308" s="41" t="str">
        <f>IFERROR(__xludf.DUMMYFUNCTION("""COMPUTED_VALUE"""),"")</f>
        <v/>
      </c>
      <c r="S308" s="41" t="str">
        <f>IFERROR(__xludf.DUMMYFUNCTION("""COMPUTED_VALUE"""),"")</f>
        <v/>
      </c>
      <c r="T308" s="41" t="str">
        <f>IFERROR(__xludf.DUMMYFUNCTION("""COMPUTED_VALUE"""),"")</f>
        <v/>
      </c>
      <c r="U308" s="41" t="str">
        <f>IFERROR(__xludf.DUMMYFUNCTION("""COMPUTED_VALUE"""),"")</f>
        <v/>
      </c>
      <c r="V308" s="41" t="str">
        <f>IFERROR(__xludf.DUMMYFUNCTION("""COMPUTED_VALUE"""),"")</f>
        <v/>
      </c>
      <c r="W308" s="41" t="str">
        <f>IFERROR(__xludf.DUMMYFUNCTION("""COMPUTED_VALUE"""),"")</f>
        <v/>
      </c>
      <c r="X308" s="41" t="str">
        <f>IFERROR(__xludf.DUMMYFUNCTION("""COMPUTED_VALUE"""),"")</f>
        <v/>
      </c>
      <c r="Y308" s="41" t="str">
        <f>IFERROR(__xludf.DUMMYFUNCTION("""COMPUTED_VALUE"""),"")</f>
        <v/>
      </c>
      <c r="Z308" s="41" t="str">
        <f>IFERROR(__xludf.DUMMYFUNCTION("""COMPUTED_VALUE"""),"")</f>
        <v/>
      </c>
      <c r="AA308" s="41" t="str">
        <f>IFERROR(__xludf.DUMMYFUNCTION("""COMPUTED_VALUE"""),"")</f>
        <v/>
      </c>
      <c r="AB308" s="38" t="str">
        <f>IFERROR(__xludf.DUMMYFUNCTION("""COMPUTED_VALUE"""),"")</f>
        <v/>
      </c>
    </row>
    <row r="309">
      <c r="A309" s="41" t="str">
        <f>IFERROR(__xludf.DUMMYFUNCTION("""COMPUTED_VALUE"""),"Node js, React, AWS")</f>
        <v>Node js, React, AWS</v>
      </c>
      <c r="B309" s="42" t="s">
        <v>1620</v>
      </c>
      <c r="N309" s="38"/>
      <c r="P309" s="42" t="str">
        <f>IFERROR(__xludf.DUMMYFUNCTION("""COMPUTED_VALUE"""),"php")</f>
        <v>php</v>
      </c>
      <c r="Q309" s="41" t="str">
        <f>IFERROR(__xludf.DUMMYFUNCTION("""COMPUTED_VALUE"""),"rust")</f>
        <v>rust</v>
      </c>
      <c r="R309" s="41" t="str">
        <f>IFERROR(__xludf.DUMMYFUNCTION("""COMPUTED_VALUE"""),"")</f>
        <v/>
      </c>
      <c r="S309" s="41" t="str">
        <f>IFERROR(__xludf.DUMMYFUNCTION("""COMPUTED_VALUE"""),"")</f>
        <v/>
      </c>
      <c r="T309" s="41" t="str">
        <f>IFERROR(__xludf.DUMMYFUNCTION("""COMPUTED_VALUE"""),"")</f>
        <v/>
      </c>
      <c r="U309" s="41" t="str">
        <f>IFERROR(__xludf.DUMMYFUNCTION("""COMPUTED_VALUE"""),"")</f>
        <v/>
      </c>
      <c r="V309" s="41" t="str">
        <f>IFERROR(__xludf.DUMMYFUNCTION("""COMPUTED_VALUE"""),"")</f>
        <v/>
      </c>
      <c r="W309" s="41" t="str">
        <f>IFERROR(__xludf.DUMMYFUNCTION("""COMPUTED_VALUE"""),"")</f>
        <v/>
      </c>
      <c r="X309" s="41" t="str">
        <f>IFERROR(__xludf.DUMMYFUNCTION("""COMPUTED_VALUE"""),"")</f>
        <v/>
      </c>
      <c r="Y309" s="41" t="str">
        <f>IFERROR(__xludf.DUMMYFUNCTION("""COMPUTED_VALUE"""),"")</f>
        <v/>
      </c>
      <c r="Z309" s="41" t="str">
        <f>IFERROR(__xludf.DUMMYFUNCTION("""COMPUTED_VALUE"""),"")</f>
        <v/>
      </c>
      <c r="AA309" s="41" t="str">
        <f>IFERROR(__xludf.DUMMYFUNCTION("""COMPUTED_VALUE"""),"")</f>
        <v/>
      </c>
      <c r="AB309" s="38" t="str">
        <f>IFERROR(__xludf.DUMMYFUNCTION("""COMPUTED_VALUE"""),"")</f>
        <v/>
      </c>
    </row>
    <row r="310">
      <c r="A310" s="41" t="str">
        <f>IFERROR(__xludf.DUMMYFUNCTION("""COMPUTED_VALUE"""),"Javascript")</f>
        <v>Javascript</v>
      </c>
      <c r="B310" s="42" t="s">
        <v>57</v>
      </c>
      <c r="N310" s="38"/>
      <c r="P310" s="42" t="str">
        <f>IFERROR(__xludf.DUMMYFUNCTION("""COMPUTED_VALUE"""),"sql")</f>
        <v>sql</v>
      </c>
      <c r="Q310" s="41" t="str">
        <f>IFERROR(__xludf.DUMMYFUNCTION("""COMPUTED_VALUE"""),"vuejs")</f>
        <v>vuejs</v>
      </c>
      <c r="R310" s="41" t="str">
        <f>IFERROR(__xludf.DUMMYFUNCTION("""COMPUTED_VALUE"""),"")</f>
        <v/>
      </c>
      <c r="S310" s="41" t="str">
        <f>IFERROR(__xludf.DUMMYFUNCTION("""COMPUTED_VALUE"""),"")</f>
        <v/>
      </c>
      <c r="T310" s="41" t="str">
        <f>IFERROR(__xludf.DUMMYFUNCTION("""COMPUTED_VALUE"""),"")</f>
        <v/>
      </c>
      <c r="U310" s="41" t="str">
        <f>IFERROR(__xludf.DUMMYFUNCTION("""COMPUTED_VALUE"""),"")</f>
        <v/>
      </c>
      <c r="V310" s="41" t="str">
        <f>IFERROR(__xludf.DUMMYFUNCTION("""COMPUTED_VALUE"""),"")</f>
        <v/>
      </c>
      <c r="W310" s="41" t="str">
        <f>IFERROR(__xludf.DUMMYFUNCTION("""COMPUTED_VALUE"""),"")</f>
        <v/>
      </c>
      <c r="X310" s="41" t="str">
        <f>IFERROR(__xludf.DUMMYFUNCTION("""COMPUTED_VALUE"""),"")</f>
        <v/>
      </c>
      <c r="Y310" s="41" t="str">
        <f>IFERROR(__xludf.DUMMYFUNCTION("""COMPUTED_VALUE"""),"")</f>
        <v/>
      </c>
      <c r="Z310" s="41" t="str">
        <f>IFERROR(__xludf.DUMMYFUNCTION("""COMPUTED_VALUE"""),"")</f>
        <v/>
      </c>
      <c r="AA310" s="41" t="str">
        <f>IFERROR(__xludf.DUMMYFUNCTION("""COMPUTED_VALUE"""),"")</f>
        <v/>
      </c>
      <c r="AB310" s="38" t="str">
        <f>IFERROR(__xludf.DUMMYFUNCTION("""COMPUTED_VALUE"""),"")</f>
        <v/>
      </c>
    </row>
    <row r="311">
      <c r="A311" s="41" t="str">
        <f>IFERROR(__xludf.DUMMYFUNCTION("""COMPUTED_VALUE"""),"Python, Nodejs")</f>
        <v>Python, Nodejs</v>
      </c>
      <c r="B311" s="42" t="s">
        <v>1298</v>
      </c>
      <c r="C311" s="41" t="s">
        <v>1979</v>
      </c>
      <c r="D311" s="41" t="s">
        <v>1233</v>
      </c>
      <c r="N311" s="38"/>
      <c r="P311" s="42" t="str">
        <f>IFERROR(__xludf.DUMMYFUNCTION("""COMPUTED_VALUE"""),"laptop")</f>
        <v>laptop</v>
      </c>
      <c r="Q311" s="41" t="str">
        <f>IFERROR(__xludf.DUMMYFUNCTION("""COMPUTED_VALUE"""),"r")</f>
        <v>r</v>
      </c>
      <c r="R311" s="41" t="str">
        <f>IFERROR(__xludf.DUMMYFUNCTION("""COMPUTED_VALUE"""),"")</f>
        <v/>
      </c>
      <c r="S311" s="41" t="str">
        <f>IFERROR(__xludf.DUMMYFUNCTION("""COMPUTED_VALUE"""),"")</f>
        <v/>
      </c>
      <c r="T311" s="41" t="str">
        <f>IFERROR(__xludf.DUMMYFUNCTION("""COMPUTED_VALUE"""),"")</f>
        <v/>
      </c>
      <c r="U311" s="41" t="str">
        <f>IFERROR(__xludf.DUMMYFUNCTION("""COMPUTED_VALUE"""),"")</f>
        <v/>
      </c>
      <c r="V311" s="41" t="str">
        <f>IFERROR(__xludf.DUMMYFUNCTION("""COMPUTED_VALUE"""),"")</f>
        <v/>
      </c>
      <c r="W311" s="41" t="str">
        <f>IFERROR(__xludf.DUMMYFUNCTION("""COMPUTED_VALUE"""),"")</f>
        <v/>
      </c>
      <c r="X311" s="41" t="str">
        <f>IFERROR(__xludf.DUMMYFUNCTION("""COMPUTED_VALUE"""),"")</f>
        <v/>
      </c>
      <c r="Y311" s="41" t="str">
        <f>IFERROR(__xludf.DUMMYFUNCTION("""COMPUTED_VALUE"""),"")</f>
        <v/>
      </c>
      <c r="Z311" s="41" t="str">
        <f>IFERROR(__xludf.DUMMYFUNCTION("""COMPUTED_VALUE"""),"")</f>
        <v/>
      </c>
      <c r="AA311" s="41" t="str">
        <f>IFERROR(__xludf.DUMMYFUNCTION("""COMPUTED_VALUE"""),"")</f>
        <v/>
      </c>
      <c r="AB311" s="38" t="str">
        <f>IFERROR(__xludf.DUMMYFUNCTION("""COMPUTED_VALUE"""),"")</f>
        <v/>
      </c>
    </row>
    <row r="312">
      <c r="A312" s="41" t="str">
        <f>IFERROR(__xludf.DUMMYFUNCTION("""COMPUTED_VALUE"""),"Vscode, MacOS, Xcode, Android Studio")</f>
        <v>Vscode, MacOS, Xcode, Android Studio</v>
      </c>
      <c r="B312" s="42" t="s">
        <v>712</v>
      </c>
      <c r="N312" s="38"/>
      <c r="P312" s="42" t="str">
        <f>IFERROR(__xludf.DUMMYFUNCTION("""COMPUTED_VALUE"""),"c#")</f>
        <v>c#</v>
      </c>
      <c r="Q312" s="41" t="str">
        <f>IFERROR(__xludf.DUMMYFUNCTION("""COMPUTED_VALUE"""),"pyhton")</f>
        <v>pyhton</v>
      </c>
      <c r="R312" s="41" t="str">
        <f>IFERROR(__xludf.DUMMYFUNCTION("""COMPUTED_VALUE"""),"")</f>
        <v/>
      </c>
      <c r="S312" s="41" t="str">
        <f>IFERROR(__xludf.DUMMYFUNCTION("""COMPUTED_VALUE"""),"")</f>
        <v/>
      </c>
      <c r="T312" s="41" t="str">
        <f>IFERROR(__xludf.DUMMYFUNCTION("""COMPUTED_VALUE"""),"")</f>
        <v/>
      </c>
      <c r="U312" s="41" t="str">
        <f>IFERROR(__xludf.DUMMYFUNCTION("""COMPUTED_VALUE"""),"")</f>
        <v/>
      </c>
      <c r="V312" s="41" t="str">
        <f>IFERROR(__xludf.DUMMYFUNCTION("""COMPUTED_VALUE"""),"")</f>
        <v/>
      </c>
      <c r="W312" s="41" t="str">
        <f>IFERROR(__xludf.DUMMYFUNCTION("""COMPUTED_VALUE"""),"")</f>
        <v/>
      </c>
      <c r="X312" s="41" t="str">
        <f>IFERROR(__xludf.DUMMYFUNCTION("""COMPUTED_VALUE"""),"")</f>
        <v/>
      </c>
      <c r="Y312" s="41" t="str">
        <f>IFERROR(__xludf.DUMMYFUNCTION("""COMPUTED_VALUE"""),"")</f>
        <v/>
      </c>
      <c r="Z312" s="41" t="str">
        <f>IFERROR(__xludf.DUMMYFUNCTION("""COMPUTED_VALUE"""),"")</f>
        <v/>
      </c>
      <c r="AA312" s="41" t="str">
        <f>IFERROR(__xludf.DUMMYFUNCTION("""COMPUTED_VALUE"""),"")</f>
        <v/>
      </c>
      <c r="AB312" s="38" t="str">
        <f>IFERROR(__xludf.DUMMYFUNCTION("""COMPUTED_VALUE"""),"")</f>
        <v/>
      </c>
    </row>
    <row r="313">
      <c r="A313" s="41" t="str">
        <f>IFERROR(__xludf.DUMMYFUNCTION("""COMPUTED_VALUE"""),"Angular, asp.net")</f>
        <v>Angular, asp.net</v>
      </c>
      <c r="B313" s="42" t="s">
        <v>78</v>
      </c>
      <c r="C313" s="41" t="s">
        <v>4102</v>
      </c>
      <c r="N313" s="38"/>
      <c r="P313" s="42" t="str">
        <f>IFERROR(__xludf.DUMMYFUNCTION("""COMPUTED_VALUE"""),"ruby")</f>
        <v>ruby</v>
      </c>
      <c r="Q313" s="41" t="str">
        <f>IFERROR(__xludf.DUMMYFUNCTION("""COMPUTED_VALUE"""),"node.js")</f>
        <v>node.js</v>
      </c>
      <c r="R313" s="41" t="str">
        <f>IFERROR(__xludf.DUMMYFUNCTION("""COMPUTED_VALUE"""),"")</f>
        <v/>
      </c>
      <c r="S313" s="41" t="str">
        <f>IFERROR(__xludf.DUMMYFUNCTION("""COMPUTED_VALUE"""),"")</f>
        <v/>
      </c>
      <c r="T313" s="41" t="str">
        <f>IFERROR(__xludf.DUMMYFUNCTION("""COMPUTED_VALUE"""),"")</f>
        <v/>
      </c>
      <c r="U313" s="41" t="str">
        <f>IFERROR(__xludf.DUMMYFUNCTION("""COMPUTED_VALUE"""),"")</f>
        <v/>
      </c>
      <c r="V313" s="41" t="str">
        <f>IFERROR(__xludf.DUMMYFUNCTION("""COMPUTED_VALUE"""),"")</f>
        <v/>
      </c>
      <c r="W313" s="41" t="str">
        <f>IFERROR(__xludf.DUMMYFUNCTION("""COMPUTED_VALUE"""),"")</f>
        <v/>
      </c>
      <c r="X313" s="41" t="str">
        <f>IFERROR(__xludf.DUMMYFUNCTION("""COMPUTED_VALUE"""),"")</f>
        <v/>
      </c>
      <c r="Y313" s="41" t="str">
        <f>IFERROR(__xludf.DUMMYFUNCTION("""COMPUTED_VALUE"""),"")</f>
        <v/>
      </c>
      <c r="Z313" s="41" t="str">
        <f>IFERROR(__xludf.DUMMYFUNCTION("""COMPUTED_VALUE"""),"")</f>
        <v/>
      </c>
      <c r="AA313" s="41" t="str">
        <f>IFERROR(__xludf.DUMMYFUNCTION("""COMPUTED_VALUE"""),"")</f>
        <v/>
      </c>
      <c r="AB313" s="38" t="str">
        <f>IFERROR(__xludf.DUMMYFUNCTION("""COMPUTED_VALUE"""),"")</f>
        <v/>
      </c>
    </row>
    <row r="314">
      <c r="A314" s="41" t="str">
        <f>IFERROR(__xludf.DUMMYFUNCTION("""COMPUTED_VALUE"""),"React, Cordova")</f>
        <v>React, Cordova</v>
      </c>
      <c r="B314" s="42" t="s">
        <v>518</v>
      </c>
      <c r="C314" s="41" t="s">
        <v>4338</v>
      </c>
      <c r="D314" s="41" t="s">
        <v>4097</v>
      </c>
      <c r="E314" s="41" t="s">
        <v>1009</v>
      </c>
      <c r="N314" s="38"/>
      <c r="P314" s="42" t="str">
        <f>IFERROR(__xludf.DUMMYFUNCTION("""COMPUTED_VALUE"""),"python")</f>
        <v>python</v>
      </c>
      <c r="Q314" s="41" t="str">
        <f>IFERROR(__xludf.DUMMYFUNCTION("""COMPUTED_VALUE"""),".net")</f>
        <v>.net</v>
      </c>
      <c r="R314" s="41" t="str">
        <f>IFERROR(__xludf.DUMMYFUNCTION("""COMPUTED_VALUE"""),"")</f>
        <v/>
      </c>
      <c r="S314" s="41" t="str">
        <f>IFERROR(__xludf.DUMMYFUNCTION("""COMPUTED_VALUE"""),"")</f>
        <v/>
      </c>
      <c r="T314" s="41" t="str">
        <f>IFERROR(__xludf.DUMMYFUNCTION("""COMPUTED_VALUE"""),"")</f>
        <v/>
      </c>
      <c r="U314" s="41" t="str">
        <f>IFERROR(__xludf.DUMMYFUNCTION("""COMPUTED_VALUE"""),"")</f>
        <v/>
      </c>
      <c r="V314" s="41" t="str">
        <f>IFERROR(__xludf.DUMMYFUNCTION("""COMPUTED_VALUE"""),"")</f>
        <v/>
      </c>
      <c r="W314" s="41" t="str">
        <f>IFERROR(__xludf.DUMMYFUNCTION("""COMPUTED_VALUE"""),"")</f>
        <v/>
      </c>
      <c r="X314" s="41" t="str">
        <f>IFERROR(__xludf.DUMMYFUNCTION("""COMPUTED_VALUE"""),"")</f>
        <v/>
      </c>
      <c r="Y314" s="41" t="str">
        <f>IFERROR(__xludf.DUMMYFUNCTION("""COMPUTED_VALUE"""),"")</f>
        <v/>
      </c>
      <c r="Z314" s="41" t="str">
        <f>IFERROR(__xludf.DUMMYFUNCTION("""COMPUTED_VALUE"""),"")</f>
        <v/>
      </c>
      <c r="AA314" s="41" t="str">
        <f>IFERROR(__xludf.DUMMYFUNCTION("""COMPUTED_VALUE"""),"")</f>
        <v/>
      </c>
      <c r="AB314" s="38" t="str">
        <f>IFERROR(__xludf.DUMMYFUNCTION("""COMPUTED_VALUE"""),"")</f>
        <v/>
      </c>
    </row>
    <row r="315">
      <c r="A315" s="41" t="str">
        <f>IFERROR(__xludf.DUMMYFUNCTION("""COMPUTED_VALUE"""),"GCP, python, sql,gitlab,kubernetes")</f>
        <v>GCP, python, sql,gitlab,kubernetes</v>
      </c>
      <c r="B315" s="42" t="s">
        <v>704</v>
      </c>
      <c r="C315" s="41" t="s">
        <v>2345</v>
      </c>
      <c r="N315" s="38"/>
      <c r="P315" s="42" t="str">
        <f>IFERROR(__xludf.DUMMYFUNCTION("""COMPUTED_VALUE"""),"plc")</f>
        <v>plc</v>
      </c>
      <c r="Q315" s="41" t="str">
        <f>IFERROR(__xludf.DUMMYFUNCTION("""COMPUTED_VALUE"""),"postgres")</f>
        <v>postgres</v>
      </c>
      <c r="R315" s="41" t="str">
        <f>IFERROR(__xludf.DUMMYFUNCTION("""COMPUTED_VALUE"""),"")</f>
        <v/>
      </c>
      <c r="S315" s="41" t="str">
        <f>IFERROR(__xludf.DUMMYFUNCTION("""COMPUTED_VALUE"""),"")</f>
        <v/>
      </c>
      <c r="T315" s="41" t="str">
        <f>IFERROR(__xludf.DUMMYFUNCTION("""COMPUTED_VALUE"""),"")</f>
        <v/>
      </c>
      <c r="U315" s="41" t="str">
        <f>IFERROR(__xludf.DUMMYFUNCTION("""COMPUTED_VALUE"""),"")</f>
        <v/>
      </c>
      <c r="V315" s="41" t="str">
        <f>IFERROR(__xludf.DUMMYFUNCTION("""COMPUTED_VALUE"""),"")</f>
        <v/>
      </c>
      <c r="W315" s="41" t="str">
        <f>IFERROR(__xludf.DUMMYFUNCTION("""COMPUTED_VALUE"""),"")</f>
        <v/>
      </c>
      <c r="X315" s="41" t="str">
        <f>IFERROR(__xludf.DUMMYFUNCTION("""COMPUTED_VALUE"""),"")</f>
        <v/>
      </c>
      <c r="Y315" s="41" t="str">
        <f>IFERROR(__xludf.DUMMYFUNCTION("""COMPUTED_VALUE"""),"")</f>
        <v/>
      </c>
      <c r="Z315" s="41" t="str">
        <f>IFERROR(__xludf.DUMMYFUNCTION("""COMPUTED_VALUE"""),"")</f>
        <v/>
      </c>
      <c r="AA315" s="41" t="str">
        <f>IFERROR(__xludf.DUMMYFUNCTION("""COMPUTED_VALUE"""),"")</f>
        <v/>
      </c>
      <c r="AB315" s="38" t="str">
        <f>IFERROR(__xludf.DUMMYFUNCTION("""COMPUTED_VALUE"""),"")</f>
        <v/>
      </c>
    </row>
    <row r="316">
      <c r="A316" s="41" t="str">
        <f>IFERROR(__xludf.DUMMYFUNCTION("""COMPUTED_VALUE"""),"Blockchain")</f>
        <v>Blockchain</v>
      </c>
      <c r="B316" s="42" t="s">
        <v>1979</v>
      </c>
      <c r="C316" s="41" t="s">
        <v>4339</v>
      </c>
      <c r="N316" s="38"/>
      <c r="P316" s="42" t="str">
        <f>IFERROR(__xludf.DUMMYFUNCTION("""COMPUTED_VALUE"""),"vscode")</f>
        <v>vscode</v>
      </c>
      <c r="Q316" s="41" t="str">
        <f>IFERROR(__xludf.DUMMYFUNCTION("""COMPUTED_VALUE"""),"javascript")</f>
        <v>javascript</v>
      </c>
      <c r="R316" s="41" t="str">
        <f>IFERROR(__xludf.DUMMYFUNCTION("""COMPUTED_VALUE"""),"")</f>
        <v/>
      </c>
      <c r="S316" s="41" t="str">
        <f>IFERROR(__xludf.DUMMYFUNCTION("""COMPUTED_VALUE"""),"")</f>
        <v/>
      </c>
      <c r="T316" s="41" t="str">
        <f>IFERROR(__xludf.DUMMYFUNCTION("""COMPUTED_VALUE"""),"")</f>
        <v/>
      </c>
      <c r="U316" s="41" t="str">
        <f>IFERROR(__xludf.DUMMYFUNCTION("""COMPUTED_VALUE"""),"")</f>
        <v/>
      </c>
      <c r="V316" s="41" t="str">
        <f>IFERROR(__xludf.DUMMYFUNCTION("""COMPUTED_VALUE"""),"")</f>
        <v/>
      </c>
      <c r="W316" s="41" t="str">
        <f>IFERROR(__xludf.DUMMYFUNCTION("""COMPUTED_VALUE"""),"")</f>
        <v/>
      </c>
      <c r="X316" s="41" t="str">
        <f>IFERROR(__xludf.DUMMYFUNCTION("""COMPUTED_VALUE"""),"")</f>
        <v/>
      </c>
      <c r="Y316" s="41" t="str">
        <f>IFERROR(__xludf.DUMMYFUNCTION("""COMPUTED_VALUE"""),"")</f>
        <v/>
      </c>
      <c r="Z316" s="41" t="str">
        <f>IFERROR(__xludf.DUMMYFUNCTION("""COMPUTED_VALUE"""),"")</f>
        <v/>
      </c>
      <c r="AA316" s="41" t="str">
        <f>IFERROR(__xludf.DUMMYFUNCTION("""COMPUTED_VALUE"""),"")</f>
        <v/>
      </c>
      <c r="AB316" s="38" t="str">
        <f>IFERROR(__xludf.DUMMYFUNCTION("""COMPUTED_VALUE"""),"")</f>
        <v/>
      </c>
    </row>
    <row r="317">
      <c r="A317" s="41" t="str">
        <f>IFERROR(__xludf.DUMMYFUNCTION("""COMPUTED_VALUE"""),"Angular, NodeJs, MongoDB, Express, Flutter, Dart")</f>
        <v>Angular, NodeJs, MongoDB, Express, Flutter, Dart</v>
      </c>
      <c r="B317" s="42" t="s">
        <v>4269</v>
      </c>
      <c r="C317" s="41" t="s">
        <v>508</v>
      </c>
      <c r="D317" s="41" t="s">
        <v>405</v>
      </c>
      <c r="E317" s="41" t="s">
        <v>4340</v>
      </c>
      <c r="F317" s="41" t="s">
        <v>4341</v>
      </c>
      <c r="N317" s="38"/>
      <c r="P317" s="42" t="str">
        <f>IFERROR(__xludf.DUMMYFUNCTION("""COMPUTED_VALUE"""),"laptop")</f>
        <v>laptop</v>
      </c>
      <c r="Q317" s="41" t="str">
        <f>IFERROR(__xludf.DUMMYFUNCTION("""COMPUTED_VALUE"""),"php")</f>
        <v>php</v>
      </c>
      <c r="R317" s="41" t="str">
        <f>IFERROR(__xludf.DUMMYFUNCTION("""COMPUTED_VALUE"""),"")</f>
        <v/>
      </c>
      <c r="S317" s="41" t="str">
        <f>IFERROR(__xludf.DUMMYFUNCTION("""COMPUTED_VALUE"""),"")</f>
        <v/>
      </c>
      <c r="T317" s="41" t="str">
        <f>IFERROR(__xludf.DUMMYFUNCTION("""COMPUTED_VALUE"""),"")</f>
        <v/>
      </c>
      <c r="U317" s="41" t="str">
        <f>IFERROR(__xludf.DUMMYFUNCTION("""COMPUTED_VALUE"""),"")</f>
        <v/>
      </c>
      <c r="V317" s="41" t="str">
        <f>IFERROR(__xludf.DUMMYFUNCTION("""COMPUTED_VALUE"""),"")</f>
        <v/>
      </c>
      <c r="W317" s="41" t="str">
        <f>IFERROR(__xludf.DUMMYFUNCTION("""COMPUTED_VALUE"""),"")</f>
        <v/>
      </c>
      <c r="X317" s="41" t="str">
        <f>IFERROR(__xludf.DUMMYFUNCTION("""COMPUTED_VALUE"""),"")</f>
        <v/>
      </c>
      <c r="Y317" s="41" t="str">
        <f>IFERROR(__xludf.DUMMYFUNCTION("""COMPUTED_VALUE"""),"")</f>
        <v/>
      </c>
      <c r="Z317" s="41" t="str">
        <f>IFERROR(__xludf.DUMMYFUNCTION("""COMPUTED_VALUE"""),"")</f>
        <v/>
      </c>
      <c r="AA317" s="41" t="str">
        <f>IFERROR(__xludf.DUMMYFUNCTION("""COMPUTED_VALUE"""),"")</f>
        <v/>
      </c>
      <c r="AB317" s="38" t="str">
        <f>IFERROR(__xludf.DUMMYFUNCTION("""COMPUTED_VALUE"""),"")</f>
        <v/>
      </c>
    </row>
    <row r="318">
      <c r="A318" s="41" t="str">
        <f>IFERROR(__xludf.DUMMYFUNCTION("""COMPUTED_VALUE"""),"Android")</f>
        <v>Android</v>
      </c>
      <c r="B318" s="42" t="s">
        <v>1853</v>
      </c>
      <c r="N318" s="38"/>
      <c r="P318" s="42" t="str">
        <f>IFERROR(__xludf.DUMMYFUNCTION("""COMPUTED_VALUE"""),"java")</f>
        <v>java</v>
      </c>
      <c r="Q318" s="41" t="str">
        <f>IFERROR(__xludf.DUMMYFUNCTION("""COMPUTED_VALUE"""),"js")</f>
        <v>js</v>
      </c>
      <c r="R318" s="41" t="str">
        <f>IFERROR(__xludf.DUMMYFUNCTION("""COMPUTED_VALUE"""),"")</f>
        <v/>
      </c>
      <c r="S318" s="41" t="str">
        <f>IFERROR(__xludf.DUMMYFUNCTION("""COMPUTED_VALUE"""),"")</f>
        <v/>
      </c>
      <c r="T318" s="41" t="str">
        <f>IFERROR(__xludf.DUMMYFUNCTION("""COMPUTED_VALUE"""),"")</f>
        <v/>
      </c>
      <c r="U318" s="41" t="str">
        <f>IFERROR(__xludf.DUMMYFUNCTION("""COMPUTED_VALUE"""),"")</f>
        <v/>
      </c>
      <c r="V318" s="41" t="str">
        <f>IFERROR(__xludf.DUMMYFUNCTION("""COMPUTED_VALUE"""),"")</f>
        <v/>
      </c>
      <c r="W318" s="41" t="str">
        <f>IFERROR(__xludf.DUMMYFUNCTION("""COMPUTED_VALUE"""),"")</f>
        <v/>
      </c>
      <c r="X318" s="41" t="str">
        <f>IFERROR(__xludf.DUMMYFUNCTION("""COMPUTED_VALUE"""),"")</f>
        <v/>
      </c>
      <c r="Y318" s="41" t="str">
        <f>IFERROR(__xludf.DUMMYFUNCTION("""COMPUTED_VALUE"""),"")</f>
        <v/>
      </c>
      <c r="Z318" s="41" t="str">
        <f>IFERROR(__xludf.DUMMYFUNCTION("""COMPUTED_VALUE"""),"")</f>
        <v/>
      </c>
      <c r="AA318" s="41" t="str">
        <f>IFERROR(__xludf.DUMMYFUNCTION("""COMPUTED_VALUE"""),"")</f>
        <v/>
      </c>
      <c r="AB318" s="38" t="str">
        <f>IFERROR(__xludf.DUMMYFUNCTION("""COMPUTED_VALUE"""),"")</f>
        <v/>
      </c>
    </row>
    <row r="319">
      <c r="A319" s="41" t="str">
        <f>IFERROR(__xludf.DUMMYFUNCTION("""COMPUTED_VALUE"""),"Javascript")</f>
        <v>Javascript</v>
      </c>
      <c r="B319" s="42" t="s">
        <v>704</v>
      </c>
      <c r="C319" s="41" t="s">
        <v>4169</v>
      </c>
      <c r="D319" s="41" t="s">
        <v>4225</v>
      </c>
      <c r="E319" s="41" t="s">
        <v>4342</v>
      </c>
      <c r="F319" s="41" t="s">
        <v>457</v>
      </c>
      <c r="G319" s="41" t="s">
        <v>4343</v>
      </c>
      <c r="N319" s="38"/>
      <c r="P319" s="42" t="str">
        <f>IFERROR(__xludf.DUMMYFUNCTION("""COMPUTED_VALUE"""),"vuejs")</f>
        <v>vuejs</v>
      </c>
      <c r="Q319" s="41" t="str">
        <f>IFERROR(__xludf.DUMMYFUNCTION("""COMPUTED_VALUE"""),"react")</f>
        <v>react</v>
      </c>
      <c r="R319" s="41" t="str">
        <f>IFERROR(__xludf.DUMMYFUNCTION("""COMPUTED_VALUE"""),"")</f>
        <v/>
      </c>
      <c r="S319" s="41" t="str">
        <f>IFERROR(__xludf.DUMMYFUNCTION("""COMPUTED_VALUE"""),"")</f>
        <v/>
      </c>
      <c r="T319" s="41" t="str">
        <f>IFERROR(__xludf.DUMMYFUNCTION("""COMPUTED_VALUE"""),"")</f>
        <v/>
      </c>
      <c r="U319" s="41" t="str">
        <f>IFERROR(__xludf.DUMMYFUNCTION("""COMPUTED_VALUE"""),"")</f>
        <v/>
      </c>
      <c r="V319" s="41" t="str">
        <f>IFERROR(__xludf.DUMMYFUNCTION("""COMPUTED_VALUE"""),"")</f>
        <v/>
      </c>
      <c r="W319" s="41" t="str">
        <f>IFERROR(__xludf.DUMMYFUNCTION("""COMPUTED_VALUE"""),"")</f>
        <v/>
      </c>
      <c r="X319" s="41" t="str">
        <f>IFERROR(__xludf.DUMMYFUNCTION("""COMPUTED_VALUE"""),"")</f>
        <v/>
      </c>
      <c r="Y319" s="41" t="str">
        <f>IFERROR(__xludf.DUMMYFUNCTION("""COMPUTED_VALUE"""),"")</f>
        <v/>
      </c>
      <c r="Z319" s="41" t="str">
        <f>IFERROR(__xludf.DUMMYFUNCTION("""COMPUTED_VALUE"""),"")</f>
        <v/>
      </c>
      <c r="AA319" s="41" t="str">
        <f>IFERROR(__xludf.DUMMYFUNCTION("""COMPUTED_VALUE"""),"")</f>
        <v/>
      </c>
      <c r="AB319" s="38" t="str">
        <f>IFERROR(__xludf.DUMMYFUNCTION("""COMPUTED_VALUE"""),"")</f>
        <v/>
      </c>
    </row>
    <row r="320">
      <c r="A320" s="41" t="str">
        <f>IFERROR(__xludf.DUMMYFUNCTION("""COMPUTED_VALUE"""),"Java, Spring Boot, Hibernate, MySQL, Kubernetes")</f>
        <v>Java, Spring Boot, Hibernate, MySQL, Kubernetes</v>
      </c>
      <c r="B320" s="42" t="s">
        <v>865</v>
      </c>
      <c r="N320" s="38"/>
      <c r="P320" s="42" t="str">
        <f>IFERROR(__xludf.DUMMYFUNCTION("""COMPUTED_VALUE"""),"sql")</f>
        <v>sql</v>
      </c>
      <c r="Q320" s="41" t="str">
        <f>IFERROR(__xludf.DUMMYFUNCTION("""COMPUTED_VALUE"""),"js/typescript")</f>
        <v>js/typescript</v>
      </c>
      <c r="R320" s="41" t="str">
        <f>IFERROR(__xludf.DUMMYFUNCTION("""COMPUTED_VALUE"""),"")</f>
        <v/>
      </c>
      <c r="S320" s="41" t="str">
        <f>IFERROR(__xludf.DUMMYFUNCTION("""COMPUTED_VALUE"""),"")</f>
        <v/>
      </c>
      <c r="T320" s="41" t="str">
        <f>IFERROR(__xludf.DUMMYFUNCTION("""COMPUTED_VALUE"""),"")</f>
        <v/>
      </c>
      <c r="U320" s="41" t="str">
        <f>IFERROR(__xludf.DUMMYFUNCTION("""COMPUTED_VALUE"""),"")</f>
        <v/>
      </c>
      <c r="V320" s="41" t="str">
        <f>IFERROR(__xludf.DUMMYFUNCTION("""COMPUTED_VALUE"""),"")</f>
        <v/>
      </c>
      <c r="W320" s="41" t="str">
        <f>IFERROR(__xludf.DUMMYFUNCTION("""COMPUTED_VALUE"""),"")</f>
        <v/>
      </c>
      <c r="X320" s="41" t="str">
        <f>IFERROR(__xludf.DUMMYFUNCTION("""COMPUTED_VALUE"""),"")</f>
        <v/>
      </c>
      <c r="Y320" s="41" t="str">
        <f>IFERROR(__xludf.DUMMYFUNCTION("""COMPUTED_VALUE"""),"")</f>
        <v/>
      </c>
      <c r="Z320" s="41" t="str">
        <f>IFERROR(__xludf.DUMMYFUNCTION("""COMPUTED_VALUE"""),"")</f>
        <v/>
      </c>
      <c r="AA320" s="41" t="str">
        <f>IFERROR(__xludf.DUMMYFUNCTION("""COMPUTED_VALUE"""),"")</f>
        <v/>
      </c>
      <c r="AB320" s="38" t="str">
        <f>IFERROR(__xludf.DUMMYFUNCTION("""COMPUTED_VALUE"""),"")</f>
        <v/>
      </c>
    </row>
    <row r="321">
      <c r="A321" s="41" t="str">
        <f>IFERROR(__xludf.DUMMYFUNCTION("""COMPUTED_VALUE"""),"Android ")</f>
        <v>Android </v>
      </c>
      <c r="B321" s="42" t="s">
        <v>712</v>
      </c>
      <c r="N321" s="38"/>
      <c r="P321" s="42" t="str">
        <f>IFERROR(__xludf.DUMMYFUNCTION("""COMPUTED_VALUE"""),"python")</f>
        <v>python</v>
      </c>
      <c r="Q321" s="41" t="str">
        <f>IFERROR(__xludf.DUMMYFUNCTION("""COMPUTED_VALUE"""),"airflow")</f>
        <v>airflow</v>
      </c>
      <c r="R321" s="41" t="str">
        <f>IFERROR(__xludf.DUMMYFUNCTION("""COMPUTED_VALUE"""),"")</f>
        <v/>
      </c>
      <c r="S321" s="41" t="str">
        <f>IFERROR(__xludf.DUMMYFUNCTION("""COMPUTED_VALUE"""),"")</f>
        <v/>
      </c>
      <c r="T321" s="41" t="str">
        <f>IFERROR(__xludf.DUMMYFUNCTION("""COMPUTED_VALUE"""),"")</f>
        <v/>
      </c>
      <c r="U321" s="41" t="str">
        <f>IFERROR(__xludf.DUMMYFUNCTION("""COMPUTED_VALUE"""),"")</f>
        <v/>
      </c>
      <c r="V321" s="41" t="str">
        <f>IFERROR(__xludf.DUMMYFUNCTION("""COMPUTED_VALUE"""),"")</f>
        <v/>
      </c>
      <c r="W321" s="41" t="str">
        <f>IFERROR(__xludf.DUMMYFUNCTION("""COMPUTED_VALUE"""),"")</f>
        <v/>
      </c>
      <c r="X321" s="41" t="str">
        <f>IFERROR(__xludf.DUMMYFUNCTION("""COMPUTED_VALUE"""),"")</f>
        <v/>
      </c>
      <c r="Y321" s="41" t="str">
        <f>IFERROR(__xludf.DUMMYFUNCTION("""COMPUTED_VALUE"""),"")</f>
        <v/>
      </c>
      <c r="Z321" s="41" t="str">
        <f>IFERROR(__xludf.DUMMYFUNCTION("""COMPUTED_VALUE"""),"")</f>
        <v/>
      </c>
      <c r="AA321" s="41" t="str">
        <f>IFERROR(__xludf.DUMMYFUNCTION("""COMPUTED_VALUE"""),"")</f>
        <v/>
      </c>
      <c r="AB321" s="38" t="str">
        <f>IFERROR(__xludf.DUMMYFUNCTION("""COMPUTED_VALUE"""),"")</f>
        <v/>
      </c>
    </row>
    <row r="322">
      <c r="A322" s="41" t="str">
        <f>IFERROR(__xludf.DUMMYFUNCTION("""COMPUTED_VALUE"""),"Swift, Objective C, Kotlin, Java")</f>
        <v>Swift, Objective C, Kotlin, Java</v>
      </c>
      <c r="B322" s="42" t="s">
        <v>224</v>
      </c>
      <c r="C322" s="41" t="s">
        <v>4344</v>
      </c>
      <c r="D322" s="41" t="s">
        <v>4345</v>
      </c>
      <c r="E322" s="41" t="s">
        <v>4244</v>
      </c>
      <c r="F322" s="41" t="s">
        <v>3903</v>
      </c>
      <c r="N322" s="38"/>
      <c r="P322" s="42" t="str">
        <f>IFERROR(__xludf.DUMMYFUNCTION("""COMPUTED_VALUE"""),"and")</f>
        <v>and</v>
      </c>
      <c r="Q322" s="41" t="str">
        <f>IFERROR(__xludf.DUMMYFUNCTION("""COMPUTED_VALUE"""),"kubernetes")</f>
        <v>kubernetes</v>
      </c>
      <c r="R322" s="41" t="str">
        <f>IFERROR(__xludf.DUMMYFUNCTION("""COMPUTED_VALUE"""),"")</f>
        <v/>
      </c>
      <c r="S322" s="41" t="str">
        <f>IFERROR(__xludf.DUMMYFUNCTION("""COMPUTED_VALUE"""),"")</f>
        <v/>
      </c>
      <c r="T322" s="41" t="str">
        <f>IFERROR(__xludf.DUMMYFUNCTION("""COMPUTED_VALUE"""),"")</f>
        <v/>
      </c>
      <c r="U322" s="41" t="str">
        <f>IFERROR(__xludf.DUMMYFUNCTION("""COMPUTED_VALUE"""),"")</f>
        <v/>
      </c>
      <c r="V322" s="41" t="str">
        <f>IFERROR(__xludf.DUMMYFUNCTION("""COMPUTED_VALUE"""),"")</f>
        <v/>
      </c>
      <c r="W322" s="41" t="str">
        <f>IFERROR(__xludf.DUMMYFUNCTION("""COMPUTED_VALUE"""),"")</f>
        <v/>
      </c>
      <c r="X322" s="41" t="str">
        <f>IFERROR(__xludf.DUMMYFUNCTION("""COMPUTED_VALUE"""),"")</f>
        <v/>
      </c>
      <c r="Y322" s="41" t="str">
        <f>IFERROR(__xludf.DUMMYFUNCTION("""COMPUTED_VALUE"""),"")</f>
        <v/>
      </c>
      <c r="Z322" s="41" t="str">
        <f>IFERROR(__xludf.DUMMYFUNCTION("""COMPUTED_VALUE"""),"")</f>
        <v/>
      </c>
      <c r="AA322" s="41" t="str">
        <f>IFERROR(__xludf.DUMMYFUNCTION("""COMPUTED_VALUE"""),"")</f>
        <v/>
      </c>
      <c r="AB322" s="38" t="str">
        <f>IFERROR(__xludf.DUMMYFUNCTION("""COMPUTED_VALUE"""),"")</f>
        <v/>
      </c>
    </row>
    <row r="323">
      <c r="A323" s="41" t="str">
        <f>IFERROR(__xludf.DUMMYFUNCTION("""COMPUTED_VALUE"""),"HTML, CSS, Javascript, JQuery, PHP")</f>
        <v>HTML, CSS, Javascript, JQuery, PHP</v>
      </c>
      <c r="B323" s="42" t="s">
        <v>865</v>
      </c>
      <c r="N323" s="38"/>
      <c r="P323" s="42" t="str">
        <f>IFERROR(__xludf.DUMMYFUNCTION("""COMPUTED_VALUE"""),"flutter")</f>
        <v>flutter</v>
      </c>
      <c r="Q323" s="41" t="str">
        <f>IFERROR(__xludf.DUMMYFUNCTION("""COMPUTED_VALUE"""),"node.js)")</f>
        <v>node.js)</v>
      </c>
      <c r="R323" s="41" t="str">
        <f>IFERROR(__xludf.DUMMYFUNCTION("""COMPUTED_VALUE"""),"")</f>
        <v/>
      </c>
      <c r="S323" s="41" t="str">
        <f>IFERROR(__xludf.DUMMYFUNCTION("""COMPUTED_VALUE"""),"")</f>
        <v/>
      </c>
      <c r="T323" s="41" t="str">
        <f>IFERROR(__xludf.DUMMYFUNCTION("""COMPUTED_VALUE"""),"")</f>
        <v/>
      </c>
      <c r="U323" s="41" t="str">
        <f>IFERROR(__xludf.DUMMYFUNCTION("""COMPUTED_VALUE"""),"")</f>
        <v/>
      </c>
      <c r="V323" s="41" t="str">
        <f>IFERROR(__xludf.DUMMYFUNCTION("""COMPUTED_VALUE"""),"")</f>
        <v/>
      </c>
      <c r="W323" s="41" t="str">
        <f>IFERROR(__xludf.DUMMYFUNCTION("""COMPUTED_VALUE"""),"")</f>
        <v/>
      </c>
      <c r="X323" s="41" t="str">
        <f>IFERROR(__xludf.DUMMYFUNCTION("""COMPUTED_VALUE"""),"")</f>
        <v/>
      </c>
      <c r="Y323" s="41" t="str">
        <f>IFERROR(__xludf.DUMMYFUNCTION("""COMPUTED_VALUE"""),"")</f>
        <v/>
      </c>
      <c r="Z323" s="41" t="str">
        <f>IFERROR(__xludf.DUMMYFUNCTION("""COMPUTED_VALUE"""),"")</f>
        <v/>
      </c>
      <c r="AA323" s="41" t="str">
        <f>IFERROR(__xludf.DUMMYFUNCTION("""COMPUTED_VALUE"""),"")</f>
        <v/>
      </c>
      <c r="AB323" s="38" t="str">
        <f>IFERROR(__xludf.DUMMYFUNCTION("""COMPUTED_VALUE"""),"")</f>
        <v/>
      </c>
    </row>
    <row r="324">
      <c r="A324" s="41" t="str">
        <f>IFERROR(__xludf.DUMMYFUNCTION("""COMPUTED_VALUE"""),"Python, SQL")</f>
        <v>Python, SQL</v>
      </c>
      <c r="B324" s="42" t="s">
        <v>1467</v>
      </c>
      <c r="C324" s="41" t="s">
        <v>4346</v>
      </c>
      <c r="D324" s="41" t="s">
        <v>170</v>
      </c>
      <c r="E324" s="41" t="s">
        <v>224</v>
      </c>
      <c r="N324" s="38"/>
      <c r="P324" s="42" t="str">
        <f>IFERROR(__xludf.DUMMYFUNCTION("""COMPUTED_VALUE"""),"python")</f>
        <v>python</v>
      </c>
      <c r="Q324" s="41" t="str">
        <f>IFERROR(__xludf.DUMMYFUNCTION("""COMPUTED_VALUE"""),"android")</f>
        <v>android</v>
      </c>
      <c r="R324" s="41" t="str">
        <f>IFERROR(__xludf.DUMMYFUNCTION("""COMPUTED_VALUE"""),"")</f>
        <v/>
      </c>
      <c r="S324" s="41" t="str">
        <f>IFERROR(__xludf.DUMMYFUNCTION("""COMPUTED_VALUE"""),"")</f>
        <v/>
      </c>
      <c r="T324" s="41" t="str">
        <f>IFERROR(__xludf.DUMMYFUNCTION("""COMPUTED_VALUE"""),"")</f>
        <v/>
      </c>
      <c r="U324" s="41" t="str">
        <f>IFERROR(__xludf.DUMMYFUNCTION("""COMPUTED_VALUE"""),"")</f>
        <v/>
      </c>
      <c r="V324" s="41" t="str">
        <f>IFERROR(__xludf.DUMMYFUNCTION("""COMPUTED_VALUE"""),"")</f>
        <v/>
      </c>
      <c r="W324" s="41" t="str">
        <f>IFERROR(__xludf.DUMMYFUNCTION("""COMPUTED_VALUE"""),"")</f>
        <v/>
      </c>
      <c r="X324" s="41" t="str">
        <f>IFERROR(__xludf.DUMMYFUNCTION("""COMPUTED_VALUE"""),"")</f>
        <v/>
      </c>
      <c r="Y324" s="41" t="str">
        <f>IFERROR(__xludf.DUMMYFUNCTION("""COMPUTED_VALUE"""),"")</f>
        <v/>
      </c>
      <c r="Z324" s="41" t="str">
        <f>IFERROR(__xludf.DUMMYFUNCTION("""COMPUTED_VALUE"""),"")</f>
        <v/>
      </c>
      <c r="AA324" s="41" t="str">
        <f>IFERROR(__xludf.DUMMYFUNCTION("""COMPUTED_VALUE"""),"")</f>
        <v/>
      </c>
      <c r="AB324" s="38" t="str">
        <f>IFERROR(__xludf.DUMMYFUNCTION("""COMPUTED_VALUE"""),"")</f>
        <v/>
      </c>
    </row>
    <row r="325">
      <c r="A325" s="41" t="str">
        <f>IFERROR(__xludf.DUMMYFUNCTION("""COMPUTED_VALUE"""),"Hack (PHP), Python, JavaScript(React), GraphQL")</f>
        <v>Hack (PHP), Python, JavaScript(React), GraphQL</v>
      </c>
      <c r="B325" s="42" t="s">
        <v>4154</v>
      </c>
      <c r="C325" s="41" t="s">
        <v>4159</v>
      </c>
      <c r="D325" s="41" t="s">
        <v>712</v>
      </c>
      <c r="E325" s="41" t="s">
        <v>4347</v>
      </c>
      <c r="F325" s="41" t="s">
        <v>44</v>
      </c>
      <c r="N325" s="38"/>
      <c r="P325" s="42" t="str">
        <f>IFERROR(__xludf.DUMMYFUNCTION("""COMPUTED_VALUE"""),"java")</f>
        <v>java</v>
      </c>
      <c r="Q325" s="41" t="str">
        <f>IFERROR(__xludf.DUMMYFUNCTION("""COMPUTED_VALUE"""),"python")</f>
        <v>python</v>
      </c>
      <c r="R325" s="41" t="str">
        <f>IFERROR(__xludf.DUMMYFUNCTION("""COMPUTED_VALUE"""),"")</f>
        <v/>
      </c>
      <c r="S325" s="41" t="str">
        <f>IFERROR(__xludf.DUMMYFUNCTION("""COMPUTED_VALUE"""),"")</f>
        <v/>
      </c>
      <c r="T325" s="41" t="str">
        <f>IFERROR(__xludf.DUMMYFUNCTION("""COMPUTED_VALUE"""),"")</f>
        <v/>
      </c>
      <c r="U325" s="41" t="str">
        <f>IFERROR(__xludf.DUMMYFUNCTION("""COMPUTED_VALUE"""),"")</f>
        <v/>
      </c>
      <c r="V325" s="41" t="str">
        <f>IFERROR(__xludf.DUMMYFUNCTION("""COMPUTED_VALUE"""),"")</f>
        <v/>
      </c>
      <c r="W325" s="41" t="str">
        <f>IFERROR(__xludf.DUMMYFUNCTION("""COMPUTED_VALUE"""),"")</f>
        <v/>
      </c>
      <c r="X325" s="41" t="str">
        <f>IFERROR(__xludf.DUMMYFUNCTION("""COMPUTED_VALUE"""),"")</f>
        <v/>
      </c>
      <c r="Y325" s="41" t="str">
        <f>IFERROR(__xludf.DUMMYFUNCTION("""COMPUTED_VALUE"""),"")</f>
        <v/>
      </c>
      <c r="Z325" s="41" t="str">
        <f>IFERROR(__xludf.DUMMYFUNCTION("""COMPUTED_VALUE"""),"")</f>
        <v/>
      </c>
      <c r="AA325" s="41" t="str">
        <f>IFERROR(__xludf.DUMMYFUNCTION("""COMPUTED_VALUE"""),"")</f>
        <v/>
      </c>
      <c r="AB325" s="38" t="str">
        <f>IFERROR(__xludf.DUMMYFUNCTION("""COMPUTED_VALUE"""),"")</f>
        <v/>
      </c>
    </row>
    <row r="326">
      <c r="A326" s="41" t="str">
        <f>IFERROR(__xludf.DUMMYFUNCTION("""COMPUTED_VALUE"""),"React, ReactNative, Flutter, NodeJS, Express")</f>
        <v>React, ReactNative, Flutter, NodeJS, Express</v>
      </c>
      <c r="B326" s="42" t="s">
        <v>78</v>
      </c>
      <c r="C326" s="41" t="s">
        <v>2094</v>
      </c>
      <c r="N326" s="38"/>
      <c r="P326" s="42" t="str">
        <f>IFERROR(__xludf.DUMMYFUNCTION("""COMPUTED_VALUE"""),"java")</f>
        <v>java</v>
      </c>
      <c r="Q326" s="41" t="str">
        <f>IFERROR(__xludf.DUMMYFUNCTION("""COMPUTED_VALUE"""),"laravel")</f>
        <v>laravel</v>
      </c>
      <c r="R326" s="41" t="str">
        <f>IFERROR(__xludf.DUMMYFUNCTION("""COMPUTED_VALUE"""),"")</f>
        <v/>
      </c>
      <c r="S326" s="41" t="str">
        <f>IFERROR(__xludf.DUMMYFUNCTION("""COMPUTED_VALUE"""),"")</f>
        <v/>
      </c>
      <c r="T326" s="41" t="str">
        <f>IFERROR(__xludf.DUMMYFUNCTION("""COMPUTED_VALUE"""),"")</f>
        <v/>
      </c>
      <c r="U326" s="41" t="str">
        <f>IFERROR(__xludf.DUMMYFUNCTION("""COMPUTED_VALUE"""),"")</f>
        <v/>
      </c>
      <c r="V326" s="41" t="str">
        <f>IFERROR(__xludf.DUMMYFUNCTION("""COMPUTED_VALUE"""),"")</f>
        <v/>
      </c>
      <c r="W326" s="41" t="str">
        <f>IFERROR(__xludf.DUMMYFUNCTION("""COMPUTED_VALUE"""),"")</f>
        <v/>
      </c>
      <c r="X326" s="41" t="str">
        <f>IFERROR(__xludf.DUMMYFUNCTION("""COMPUTED_VALUE"""),"")</f>
        <v/>
      </c>
      <c r="Y326" s="41" t="str">
        <f>IFERROR(__xludf.DUMMYFUNCTION("""COMPUTED_VALUE"""),"")</f>
        <v/>
      </c>
      <c r="Z326" s="41" t="str">
        <f>IFERROR(__xludf.DUMMYFUNCTION("""COMPUTED_VALUE"""),"")</f>
        <v/>
      </c>
      <c r="AA326" s="41" t="str">
        <f>IFERROR(__xludf.DUMMYFUNCTION("""COMPUTED_VALUE"""),"")</f>
        <v/>
      </c>
      <c r="AB326" s="38" t="str">
        <f>IFERROR(__xludf.DUMMYFUNCTION("""COMPUTED_VALUE"""),"")</f>
        <v/>
      </c>
    </row>
    <row r="327">
      <c r="A327" s="41" t="str">
        <f>IFERROR(__xludf.DUMMYFUNCTION("""COMPUTED_VALUE"""),"Java")</f>
        <v>Java</v>
      </c>
      <c r="B327" s="42" t="s">
        <v>4348</v>
      </c>
      <c r="C327" s="41" t="s">
        <v>78</v>
      </c>
      <c r="D327" s="41" t="s">
        <v>4349</v>
      </c>
      <c r="E327" s="41" t="s">
        <v>4350</v>
      </c>
      <c r="N327" s="38"/>
      <c r="P327" s="42" t="str">
        <f>IFERROR(__xludf.DUMMYFUNCTION("""COMPUTED_VALUE"""),"gcp")</f>
        <v>gcp</v>
      </c>
      <c r="Q327" s="41" t="str">
        <f>IFERROR(__xludf.DUMMYFUNCTION("""COMPUTED_VALUE"""),"node")</f>
        <v>node</v>
      </c>
      <c r="R327" s="41" t="str">
        <f>IFERROR(__xludf.DUMMYFUNCTION("""COMPUTED_VALUE"""),"")</f>
        <v/>
      </c>
      <c r="S327" s="41" t="str">
        <f>IFERROR(__xludf.DUMMYFUNCTION("""COMPUTED_VALUE"""),"")</f>
        <v/>
      </c>
      <c r="T327" s="41" t="str">
        <f>IFERROR(__xludf.DUMMYFUNCTION("""COMPUTED_VALUE"""),"")</f>
        <v/>
      </c>
      <c r="U327" s="41" t="str">
        <f>IFERROR(__xludf.DUMMYFUNCTION("""COMPUTED_VALUE"""),"")</f>
        <v/>
      </c>
      <c r="V327" s="41" t="str">
        <f>IFERROR(__xludf.DUMMYFUNCTION("""COMPUTED_VALUE"""),"")</f>
        <v/>
      </c>
      <c r="W327" s="41" t="str">
        <f>IFERROR(__xludf.DUMMYFUNCTION("""COMPUTED_VALUE"""),"")</f>
        <v/>
      </c>
      <c r="X327" s="41" t="str">
        <f>IFERROR(__xludf.DUMMYFUNCTION("""COMPUTED_VALUE"""),"")</f>
        <v/>
      </c>
      <c r="Y327" s="41" t="str">
        <f>IFERROR(__xludf.DUMMYFUNCTION("""COMPUTED_VALUE"""),"")</f>
        <v/>
      </c>
      <c r="Z327" s="41" t="str">
        <f>IFERROR(__xludf.DUMMYFUNCTION("""COMPUTED_VALUE"""),"")</f>
        <v/>
      </c>
      <c r="AA327" s="41" t="str">
        <f>IFERROR(__xludf.DUMMYFUNCTION("""COMPUTED_VALUE"""),"")</f>
        <v/>
      </c>
      <c r="AB327" s="38" t="str">
        <f>IFERROR(__xludf.DUMMYFUNCTION("""COMPUTED_VALUE"""),"")</f>
        <v/>
      </c>
    </row>
    <row r="328">
      <c r="A328" s="41" t="str">
        <f>IFERROR(__xludf.DUMMYFUNCTION("""COMPUTED_VALUE"""),"Windows Server, VMWare, Azure")</f>
        <v>Windows Server, VMWare, Azure</v>
      </c>
      <c r="B328" s="42" t="s">
        <v>1979</v>
      </c>
      <c r="C328" s="41" t="s">
        <v>4351</v>
      </c>
      <c r="D328" s="41" t="s">
        <v>457</v>
      </c>
      <c r="E328" s="41" t="s">
        <v>1842</v>
      </c>
      <c r="F328" s="41" t="s">
        <v>4342</v>
      </c>
      <c r="N328" s="38"/>
      <c r="P328" s="42" t="str">
        <f>IFERROR(__xludf.DUMMYFUNCTION("""COMPUTED_VALUE"""),"android")</f>
        <v>android</v>
      </c>
      <c r="Q328" s="41" t="str">
        <f>IFERROR(__xludf.DUMMYFUNCTION("""COMPUTED_VALUE"""),"js")</f>
        <v>js</v>
      </c>
      <c r="R328" s="41" t="str">
        <f>IFERROR(__xludf.DUMMYFUNCTION("""COMPUTED_VALUE"""),"")</f>
        <v/>
      </c>
      <c r="S328" s="41" t="str">
        <f>IFERROR(__xludf.DUMMYFUNCTION("""COMPUTED_VALUE"""),"")</f>
        <v/>
      </c>
      <c r="T328" s="41" t="str">
        <f>IFERROR(__xludf.DUMMYFUNCTION("""COMPUTED_VALUE"""),"")</f>
        <v/>
      </c>
      <c r="U328" s="41" t="str">
        <f>IFERROR(__xludf.DUMMYFUNCTION("""COMPUTED_VALUE"""),"")</f>
        <v/>
      </c>
      <c r="V328" s="41" t="str">
        <f>IFERROR(__xludf.DUMMYFUNCTION("""COMPUTED_VALUE"""),"")</f>
        <v/>
      </c>
      <c r="W328" s="41" t="str">
        <f>IFERROR(__xludf.DUMMYFUNCTION("""COMPUTED_VALUE"""),"")</f>
        <v/>
      </c>
      <c r="X328" s="41" t="str">
        <f>IFERROR(__xludf.DUMMYFUNCTION("""COMPUTED_VALUE"""),"")</f>
        <v/>
      </c>
      <c r="Y328" s="41" t="str">
        <f>IFERROR(__xludf.DUMMYFUNCTION("""COMPUTED_VALUE"""),"")</f>
        <v/>
      </c>
      <c r="Z328" s="41" t="str">
        <f>IFERROR(__xludf.DUMMYFUNCTION("""COMPUTED_VALUE"""),"")</f>
        <v/>
      </c>
      <c r="AA328" s="41" t="str">
        <f>IFERROR(__xludf.DUMMYFUNCTION("""COMPUTED_VALUE"""),"")</f>
        <v/>
      </c>
      <c r="AB328" s="38" t="str">
        <f>IFERROR(__xludf.DUMMYFUNCTION("""COMPUTED_VALUE"""),"")</f>
        <v/>
      </c>
    </row>
    <row r="329">
      <c r="A329" s="41" t="str">
        <f>IFERROR(__xludf.DUMMYFUNCTION("""COMPUTED_VALUE"""),"ReactJS, React Native, Go, PostgreSQL, NodeJs, Docker")</f>
        <v>ReactJS, React Native, Go, PostgreSQL, NodeJs, Docker</v>
      </c>
      <c r="B329" s="42" t="s">
        <v>224</v>
      </c>
      <c r="N329" s="38"/>
      <c r="P329" s="42" t="str">
        <f>IFERROR(__xludf.DUMMYFUNCTION("""COMPUTED_VALUE"""),"laptop")</f>
        <v>laptop</v>
      </c>
      <c r="Q329" s="41" t="str">
        <f>IFERROR(__xludf.DUMMYFUNCTION("""COMPUTED_VALUE"""),"")</f>
        <v/>
      </c>
      <c r="R329" s="41" t="str">
        <f>IFERROR(__xludf.DUMMYFUNCTION("""COMPUTED_VALUE"""),"")</f>
        <v/>
      </c>
      <c r="S329" s="41" t="str">
        <f>IFERROR(__xludf.DUMMYFUNCTION("""COMPUTED_VALUE"""),"")</f>
        <v/>
      </c>
      <c r="T329" s="41" t="str">
        <f>IFERROR(__xludf.DUMMYFUNCTION("""COMPUTED_VALUE"""),"")</f>
        <v/>
      </c>
      <c r="U329" s="41" t="str">
        <f>IFERROR(__xludf.DUMMYFUNCTION("""COMPUTED_VALUE"""),"")</f>
        <v/>
      </c>
      <c r="V329" s="41" t="str">
        <f>IFERROR(__xludf.DUMMYFUNCTION("""COMPUTED_VALUE"""),"")</f>
        <v/>
      </c>
      <c r="W329" s="41" t="str">
        <f>IFERROR(__xludf.DUMMYFUNCTION("""COMPUTED_VALUE"""),"")</f>
        <v/>
      </c>
      <c r="X329" s="41" t="str">
        <f>IFERROR(__xludf.DUMMYFUNCTION("""COMPUTED_VALUE"""),"")</f>
        <v/>
      </c>
      <c r="Y329" s="41" t="str">
        <f>IFERROR(__xludf.DUMMYFUNCTION("""COMPUTED_VALUE"""),"")</f>
        <v/>
      </c>
      <c r="Z329" s="41" t="str">
        <f>IFERROR(__xludf.DUMMYFUNCTION("""COMPUTED_VALUE"""),"")</f>
        <v/>
      </c>
      <c r="AA329" s="41" t="str">
        <f>IFERROR(__xludf.DUMMYFUNCTION("""COMPUTED_VALUE"""),"")</f>
        <v/>
      </c>
      <c r="AB329" s="38" t="str">
        <f>IFERROR(__xludf.DUMMYFUNCTION("""COMPUTED_VALUE"""),"")</f>
        <v/>
      </c>
    </row>
    <row r="330">
      <c r="A330" s="41" t="str">
        <f>IFERROR(__xludf.DUMMYFUNCTION("""COMPUTED_VALUE"""),"Macbook Pro 16"", iPhone 11 ")</f>
        <v>Macbook Pro 16", iPhone 11 </v>
      </c>
      <c r="B330" s="42" t="s">
        <v>4352</v>
      </c>
      <c r="C330" s="41" t="s">
        <v>4353</v>
      </c>
      <c r="D330" s="41" t="s">
        <v>135</v>
      </c>
      <c r="N330" s="38"/>
      <c r="P330" s="42" t="str">
        <f>IFERROR(__xludf.DUMMYFUNCTION("""COMPUTED_VALUE"""),"laravel")</f>
        <v>laravel</v>
      </c>
      <c r="Q330" s="41" t="str">
        <f>IFERROR(__xludf.DUMMYFUNCTION("""COMPUTED_VALUE"""),"")</f>
        <v/>
      </c>
      <c r="R330" s="41" t="str">
        <f>IFERROR(__xludf.DUMMYFUNCTION("""COMPUTED_VALUE"""),"")</f>
        <v/>
      </c>
      <c r="S330" s="41" t="str">
        <f>IFERROR(__xludf.DUMMYFUNCTION("""COMPUTED_VALUE"""),"")</f>
        <v/>
      </c>
      <c r="T330" s="41" t="str">
        <f>IFERROR(__xludf.DUMMYFUNCTION("""COMPUTED_VALUE"""),"")</f>
        <v/>
      </c>
      <c r="U330" s="41" t="str">
        <f>IFERROR(__xludf.DUMMYFUNCTION("""COMPUTED_VALUE"""),"")</f>
        <v/>
      </c>
      <c r="V330" s="41" t="str">
        <f>IFERROR(__xludf.DUMMYFUNCTION("""COMPUTED_VALUE"""),"")</f>
        <v/>
      </c>
      <c r="W330" s="41" t="str">
        <f>IFERROR(__xludf.DUMMYFUNCTION("""COMPUTED_VALUE"""),"")</f>
        <v/>
      </c>
      <c r="X330" s="41" t="str">
        <f>IFERROR(__xludf.DUMMYFUNCTION("""COMPUTED_VALUE"""),"")</f>
        <v/>
      </c>
      <c r="Y330" s="41" t="str">
        <f>IFERROR(__xludf.DUMMYFUNCTION("""COMPUTED_VALUE"""),"")</f>
        <v/>
      </c>
      <c r="Z330" s="41" t="str">
        <f>IFERROR(__xludf.DUMMYFUNCTION("""COMPUTED_VALUE"""),"")</f>
        <v/>
      </c>
      <c r="AA330" s="41" t="str">
        <f>IFERROR(__xludf.DUMMYFUNCTION("""COMPUTED_VALUE"""),"")</f>
        <v/>
      </c>
      <c r="AB330" s="38" t="str">
        <f>IFERROR(__xludf.DUMMYFUNCTION("""COMPUTED_VALUE"""),"")</f>
        <v/>
      </c>
    </row>
    <row r="331">
      <c r="A331" s="41" t="str">
        <f>IFERROR(__xludf.DUMMYFUNCTION("""COMPUTED_VALUE"""),"ANGULAR, JAVA")</f>
        <v>ANGULAR, JAVA</v>
      </c>
      <c r="B331" s="42" t="s">
        <v>4245</v>
      </c>
      <c r="C331" s="41" t="s">
        <v>549</v>
      </c>
      <c r="D331" s="41" t="s">
        <v>4271</v>
      </c>
      <c r="E331" s="41" t="s">
        <v>4134</v>
      </c>
      <c r="F331" s="41" t="s">
        <v>4169</v>
      </c>
      <c r="G331" s="41" t="s">
        <v>3663</v>
      </c>
      <c r="N331" s="38"/>
      <c r="P331" s="42" t="str">
        <f>IFERROR(__xludf.DUMMYFUNCTION("""COMPUTED_VALUE"""),".net")</f>
        <v>.net</v>
      </c>
      <c r="Q331" s="41" t="str">
        <f>IFERROR(__xludf.DUMMYFUNCTION("""COMPUTED_VALUE"""),"")</f>
        <v/>
      </c>
      <c r="R331" s="41" t="str">
        <f>IFERROR(__xludf.DUMMYFUNCTION("""COMPUTED_VALUE"""),"")</f>
        <v/>
      </c>
      <c r="S331" s="41" t="str">
        <f>IFERROR(__xludf.DUMMYFUNCTION("""COMPUTED_VALUE"""),"")</f>
        <v/>
      </c>
      <c r="T331" s="41" t="str">
        <f>IFERROR(__xludf.DUMMYFUNCTION("""COMPUTED_VALUE"""),"")</f>
        <v/>
      </c>
      <c r="U331" s="41" t="str">
        <f>IFERROR(__xludf.DUMMYFUNCTION("""COMPUTED_VALUE"""),"")</f>
        <v/>
      </c>
      <c r="V331" s="41" t="str">
        <f>IFERROR(__xludf.DUMMYFUNCTION("""COMPUTED_VALUE"""),"")</f>
        <v/>
      </c>
      <c r="W331" s="41" t="str">
        <f>IFERROR(__xludf.DUMMYFUNCTION("""COMPUTED_VALUE"""),"")</f>
        <v/>
      </c>
      <c r="X331" s="41" t="str">
        <f>IFERROR(__xludf.DUMMYFUNCTION("""COMPUTED_VALUE"""),"")</f>
        <v/>
      </c>
      <c r="Y331" s="41" t="str">
        <f>IFERROR(__xludf.DUMMYFUNCTION("""COMPUTED_VALUE"""),"")</f>
        <v/>
      </c>
      <c r="Z331" s="41" t="str">
        <f>IFERROR(__xludf.DUMMYFUNCTION("""COMPUTED_VALUE"""),"")</f>
        <v/>
      </c>
      <c r="AA331" s="41" t="str">
        <f>IFERROR(__xludf.DUMMYFUNCTION("""COMPUTED_VALUE"""),"")</f>
        <v/>
      </c>
      <c r="AB331" s="38" t="str">
        <f>IFERROR(__xludf.DUMMYFUNCTION("""COMPUTED_VALUE"""),"")</f>
        <v/>
      </c>
    </row>
    <row r="332">
      <c r="A332" s="41" t="str">
        <f>IFERROR(__xludf.DUMMYFUNCTION("""COMPUTED_VALUE"""),"Jira, Slack, Bitbucket, VSCode")</f>
        <v>Jira, Slack, Bitbucket, VSCode</v>
      </c>
      <c r="B332" s="42" t="s">
        <v>4354</v>
      </c>
      <c r="C332" s="41" t="s">
        <v>4355</v>
      </c>
      <c r="N332" s="38"/>
      <c r="P332" s="42" t="str">
        <f>IFERROR(__xludf.DUMMYFUNCTION("""COMPUTED_VALUE"""),"flutter")</f>
        <v>flutter</v>
      </c>
      <c r="Q332" s="41" t="str">
        <f>IFERROR(__xludf.DUMMYFUNCTION("""COMPUTED_VALUE"""),"")</f>
        <v/>
      </c>
      <c r="R332" s="41" t="str">
        <f>IFERROR(__xludf.DUMMYFUNCTION("""COMPUTED_VALUE"""),"")</f>
        <v/>
      </c>
      <c r="S332" s="41" t="str">
        <f>IFERROR(__xludf.DUMMYFUNCTION("""COMPUTED_VALUE"""),"")</f>
        <v/>
      </c>
      <c r="T332" s="41" t="str">
        <f>IFERROR(__xludf.DUMMYFUNCTION("""COMPUTED_VALUE"""),"")</f>
        <v/>
      </c>
      <c r="U332" s="41" t="str">
        <f>IFERROR(__xludf.DUMMYFUNCTION("""COMPUTED_VALUE"""),"")</f>
        <v/>
      </c>
      <c r="V332" s="41" t="str">
        <f>IFERROR(__xludf.DUMMYFUNCTION("""COMPUTED_VALUE"""),"")</f>
        <v/>
      </c>
      <c r="W332" s="41" t="str">
        <f>IFERROR(__xludf.DUMMYFUNCTION("""COMPUTED_VALUE"""),"")</f>
        <v/>
      </c>
      <c r="X332" s="41" t="str">
        <f>IFERROR(__xludf.DUMMYFUNCTION("""COMPUTED_VALUE"""),"")</f>
        <v/>
      </c>
      <c r="Y332" s="41" t="str">
        <f>IFERROR(__xludf.DUMMYFUNCTION("""COMPUTED_VALUE"""),"")</f>
        <v/>
      </c>
      <c r="Z332" s="41" t="str">
        <f>IFERROR(__xludf.DUMMYFUNCTION("""COMPUTED_VALUE"""),"")</f>
        <v/>
      </c>
      <c r="AA332" s="41" t="str">
        <f>IFERROR(__xludf.DUMMYFUNCTION("""COMPUTED_VALUE"""),"")</f>
        <v/>
      </c>
      <c r="AB332" s="38" t="str">
        <f>IFERROR(__xludf.DUMMYFUNCTION("""COMPUTED_VALUE"""),"")</f>
        <v/>
      </c>
    </row>
    <row r="333">
      <c r="A333" s="41" t="str">
        <f>IFERROR(__xludf.DUMMYFUNCTION("""COMPUTED_VALUE"""),"GCP Fast API Vuejs (Nuxt) Express")</f>
        <v>GCP Fast API Vuejs (Nuxt) Express</v>
      </c>
      <c r="B333" s="42" t="s">
        <v>3642</v>
      </c>
      <c r="C333" s="41" t="s">
        <v>4356</v>
      </c>
      <c r="N333" s="38"/>
      <c r="P333" s="42" t="str">
        <f>IFERROR(__xludf.DUMMYFUNCTION("""COMPUTED_VALUE"""),"laravel")</f>
        <v>laravel</v>
      </c>
      <c r="Q333" s="41" t="str">
        <f>IFERROR(__xludf.DUMMYFUNCTION("""COMPUTED_VALUE"""),"")</f>
        <v/>
      </c>
      <c r="R333" s="41" t="str">
        <f>IFERROR(__xludf.DUMMYFUNCTION("""COMPUTED_VALUE"""),"")</f>
        <v/>
      </c>
      <c r="S333" s="41" t="str">
        <f>IFERROR(__xludf.DUMMYFUNCTION("""COMPUTED_VALUE"""),"")</f>
        <v/>
      </c>
      <c r="T333" s="41" t="str">
        <f>IFERROR(__xludf.DUMMYFUNCTION("""COMPUTED_VALUE"""),"")</f>
        <v/>
      </c>
      <c r="U333" s="41" t="str">
        <f>IFERROR(__xludf.DUMMYFUNCTION("""COMPUTED_VALUE"""),"")</f>
        <v/>
      </c>
      <c r="V333" s="41" t="str">
        <f>IFERROR(__xludf.DUMMYFUNCTION("""COMPUTED_VALUE"""),"")</f>
        <v/>
      </c>
      <c r="W333" s="41" t="str">
        <f>IFERROR(__xludf.DUMMYFUNCTION("""COMPUTED_VALUE"""),"")</f>
        <v/>
      </c>
      <c r="X333" s="41" t="str">
        <f>IFERROR(__xludf.DUMMYFUNCTION("""COMPUTED_VALUE"""),"")</f>
        <v/>
      </c>
      <c r="Y333" s="41" t="str">
        <f>IFERROR(__xludf.DUMMYFUNCTION("""COMPUTED_VALUE"""),"")</f>
        <v/>
      </c>
      <c r="Z333" s="41" t="str">
        <f>IFERROR(__xludf.DUMMYFUNCTION("""COMPUTED_VALUE"""),"")</f>
        <v/>
      </c>
      <c r="AA333" s="41" t="str">
        <f>IFERROR(__xludf.DUMMYFUNCTION("""COMPUTED_VALUE"""),"")</f>
        <v/>
      </c>
      <c r="AB333" s="38" t="str">
        <f>IFERROR(__xludf.DUMMYFUNCTION("""COMPUTED_VALUE"""),"")</f>
        <v/>
      </c>
    </row>
    <row r="334">
      <c r="A334" s="41" t="str">
        <f>IFERROR(__xludf.DUMMYFUNCTION("""COMPUTED_VALUE"""),"Android, iOS")</f>
        <v>Android, iOS</v>
      </c>
      <c r="B334" s="42" t="s">
        <v>4264</v>
      </c>
      <c r="C334" s="41" t="s">
        <v>3982</v>
      </c>
      <c r="D334" s="41" t="s">
        <v>4265</v>
      </c>
      <c r="E334" s="41" t="s">
        <v>4357</v>
      </c>
      <c r="N334" s="38"/>
      <c r="P334" s="42" t="str">
        <f>IFERROR(__xludf.DUMMYFUNCTION("""COMPUTED_VALUE"""),"c#")</f>
        <v>c#</v>
      </c>
      <c r="Q334" s="41" t="str">
        <f>IFERROR(__xludf.DUMMYFUNCTION("""COMPUTED_VALUE"""),"")</f>
        <v/>
      </c>
      <c r="R334" s="41" t="str">
        <f>IFERROR(__xludf.DUMMYFUNCTION("""COMPUTED_VALUE"""),"")</f>
        <v/>
      </c>
      <c r="S334" s="41" t="str">
        <f>IFERROR(__xludf.DUMMYFUNCTION("""COMPUTED_VALUE"""),"")</f>
        <v/>
      </c>
      <c r="T334" s="41" t="str">
        <f>IFERROR(__xludf.DUMMYFUNCTION("""COMPUTED_VALUE"""),"")</f>
        <v/>
      </c>
      <c r="U334" s="41" t="str">
        <f>IFERROR(__xludf.DUMMYFUNCTION("""COMPUTED_VALUE"""),"")</f>
        <v/>
      </c>
      <c r="V334" s="41" t="str">
        <f>IFERROR(__xludf.DUMMYFUNCTION("""COMPUTED_VALUE"""),"")</f>
        <v/>
      </c>
      <c r="W334" s="41" t="str">
        <f>IFERROR(__xludf.DUMMYFUNCTION("""COMPUTED_VALUE"""),"")</f>
        <v/>
      </c>
      <c r="X334" s="41" t="str">
        <f>IFERROR(__xludf.DUMMYFUNCTION("""COMPUTED_VALUE"""),"")</f>
        <v/>
      </c>
      <c r="Y334" s="41" t="str">
        <f>IFERROR(__xludf.DUMMYFUNCTION("""COMPUTED_VALUE"""),"")</f>
        <v/>
      </c>
      <c r="Z334" s="41" t="str">
        <f>IFERROR(__xludf.DUMMYFUNCTION("""COMPUTED_VALUE"""),"")</f>
        <v/>
      </c>
      <c r="AA334" s="41" t="str">
        <f>IFERROR(__xludf.DUMMYFUNCTION("""COMPUTED_VALUE"""),"")</f>
        <v/>
      </c>
      <c r="AB334" s="38" t="str">
        <f>IFERROR(__xludf.DUMMYFUNCTION("""COMPUTED_VALUE"""),"")</f>
        <v/>
      </c>
    </row>
    <row r="335">
      <c r="A335" s="41" t="str">
        <f>IFERROR(__xludf.DUMMYFUNCTION("""COMPUTED_VALUE"""),"LAMP, AR stuff")</f>
        <v>LAMP, AR stuff</v>
      </c>
      <c r="B335" s="42" t="s">
        <v>1738</v>
      </c>
      <c r="N335" s="38"/>
      <c r="P335" s="42" t="str">
        <f>IFERROR(__xludf.DUMMYFUNCTION("""COMPUTED_VALUE"""),".net")</f>
        <v>.net</v>
      </c>
      <c r="Q335" s="41" t="str">
        <f>IFERROR(__xludf.DUMMYFUNCTION("""COMPUTED_VALUE"""),"")</f>
        <v/>
      </c>
      <c r="R335" s="41" t="str">
        <f>IFERROR(__xludf.DUMMYFUNCTION("""COMPUTED_VALUE"""),"")</f>
        <v/>
      </c>
      <c r="S335" s="41" t="str">
        <f>IFERROR(__xludf.DUMMYFUNCTION("""COMPUTED_VALUE"""),"")</f>
        <v/>
      </c>
      <c r="T335" s="41" t="str">
        <f>IFERROR(__xludf.DUMMYFUNCTION("""COMPUTED_VALUE"""),"")</f>
        <v/>
      </c>
      <c r="U335" s="41" t="str">
        <f>IFERROR(__xludf.DUMMYFUNCTION("""COMPUTED_VALUE"""),"")</f>
        <v/>
      </c>
      <c r="V335" s="41" t="str">
        <f>IFERROR(__xludf.DUMMYFUNCTION("""COMPUTED_VALUE"""),"")</f>
        <v/>
      </c>
      <c r="W335" s="41" t="str">
        <f>IFERROR(__xludf.DUMMYFUNCTION("""COMPUTED_VALUE"""),"")</f>
        <v/>
      </c>
      <c r="X335" s="41" t="str">
        <f>IFERROR(__xludf.DUMMYFUNCTION("""COMPUTED_VALUE"""),"")</f>
        <v/>
      </c>
      <c r="Y335" s="41" t="str">
        <f>IFERROR(__xludf.DUMMYFUNCTION("""COMPUTED_VALUE"""),"")</f>
        <v/>
      </c>
      <c r="Z335" s="41" t="str">
        <f>IFERROR(__xludf.DUMMYFUNCTION("""COMPUTED_VALUE"""),"")</f>
        <v/>
      </c>
      <c r="AA335" s="41" t="str">
        <f>IFERROR(__xludf.DUMMYFUNCTION("""COMPUTED_VALUE"""),"")</f>
        <v/>
      </c>
      <c r="AB335" s="38" t="str">
        <f>IFERROR(__xludf.DUMMYFUNCTION("""COMPUTED_VALUE"""),"")</f>
        <v/>
      </c>
    </row>
    <row r="336">
      <c r="A336" s="41" t="str">
        <f>IFERROR(__xludf.DUMMYFUNCTION("""COMPUTED_VALUE"""),"Python, SQL")</f>
        <v>Python, SQL</v>
      </c>
      <c r="B336" s="42" t="s">
        <v>865</v>
      </c>
      <c r="C336" s="41" t="s">
        <v>4358</v>
      </c>
      <c r="N336" s="38"/>
      <c r="P336" s="42" t="str">
        <f>IFERROR(__xludf.DUMMYFUNCTION("""COMPUTED_VALUE"""),"c#")</f>
        <v>c#</v>
      </c>
      <c r="Q336" s="41" t="str">
        <f>IFERROR(__xludf.DUMMYFUNCTION("""COMPUTED_VALUE"""),"")</f>
        <v/>
      </c>
      <c r="R336" s="41" t="str">
        <f>IFERROR(__xludf.DUMMYFUNCTION("""COMPUTED_VALUE"""),"")</f>
        <v/>
      </c>
      <c r="S336" s="41" t="str">
        <f>IFERROR(__xludf.DUMMYFUNCTION("""COMPUTED_VALUE"""),"")</f>
        <v/>
      </c>
      <c r="T336" s="41" t="str">
        <f>IFERROR(__xludf.DUMMYFUNCTION("""COMPUTED_VALUE"""),"")</f>
        <v/>
      </c>
      <c r="U336" s="41" t="str">
        <f>IFERROR(__xludf.DUMMYFUNCTION("""COMPUTED_VALUE"""),"")</f>
        <v/>
      </c>
      <c r="V336" s="41" t="str">
        <f>IFERROR(__xludf.DUMMYFUNCTION("""COMPUTED_VALUE"""),"")</f>
        <v/>
      </c>
      <c r="W336" s="41" t="str">
        <f>IFERROR(__xludf.DUMMYFUNCTION("""COMPUTED_VALUE"""),"")</f>
        <v/>
      </c>
      <c r="X336" s="41" t="str">
        <f>IFERROR(__xludf.DUMMYFUNCTION("""COMPUTED_VALUE"""),"")</f>
        <v/>
      </c>
      <c r="Y336" s="41" t="str">
        <f>IFERROR(__xludf.DUMMYFUNCTION("""COMPUTED_VALUE"""),"")</f>
        <v/>
      </c>
      <c r="Z336" s="41" t="str">
        <f>IFERROR(__xludf.DUMMYFUNCTION("""COMPUTED_VALUE"""),"")</f>
        <v/>
      </c>
      <c r="AA336" s="41" t="str">
        <f>IFERROR(__xludf.DUMMYFUNCTION("""COMPUTED_VALUE"""),"")</f>
        <v/>
      </c>
      <c r="AB336" s="38" t="str">
        <f>IFERROR(__xludf.DUMMYFUNCTION("""COMPUTED_VALUE"""),"")</f>
        <v/>
      </c>
    </row>
    <row r="337">
      <c r="A337" s="41" t="str">
        <f>IFERROR(__xludf.DUMMYFUNCTION("""COMPUTED_VALUE"""),"Swift")</f>
        <v>Swift</v>
      </c>
      <c r="B337" s="42" t="s">
        <v>4359</v>
      </c>
      <c r="C337" s="41" t="s">
        <v>4360</v>
      </c>
      <c r="N337" s="38"/>
      <c r="P337" s="42" t="str">
        <f>IFERROR(__xludf.DUMMYFUNCTION("""COMPUTED_VALUE"""),"java")</f>
        <v>java</v>
      </c>
      <c r="Q337" s="41" t="str">
        <f>IFERROR(__xludf.DUMMYFUNCTION("""COMPUTED_VALUE"""),"")</f>
        <v/>
      </c>
      <c r="R337" s="41" t="str">
        <f>IFERROR(__xludf.DUMMYFUNCTION("""COMPUTED_VALUE"""),"")</f>
        <v/>
      </c>
      <c r="S337" s="41" t="str">
        <f>IFERROR(__xludf.DUMMYFUNCTION("""COMPUTED_VALUE"""),"")</f>
        <v/>
      </c>
      <c r="T337" s="41" t="str">
        <f>IFERROR(__xludf.DUMMYFUNCTION("""COMPUTED_VALUE"""),"")</f>
        <v/>
      </c>
      <c r="U337" s="41" t="str">
        <f>IFERROR(__xludf.DUMMYFUNCTION("""COMPUTED_VALUE"""),"")</f>
        <v/>
      </c>
      <c r="V337" s="41" t="str">
        <f>IFERROR(__xludf.DUMMYFUNCTION("""COMPUTED_VALUE"""),"")</f>
        <v/>
      </c>
      <c r="W337" s="41" t="str">
        <f>IFERROR(__xludf.DUMMYFUNCTION("""COMPUTED_VALUE"""),"")</f>
        <v/>
      </c>
      <c r="X337" s="41" t="str">
        <f>IFERROR(__xludf.DUMMYFUNCTION("""COMPUTED_VALUE"""),"")</f>
        <v/>
      </c>
      <c r="Y337" s="41" t="str">
        <f>IFERROR(__xludf.DUMMYFUNCTION("""COMPUTED_VALUE"""),"")</f>
        <v/>
      </c>
      <c r="Z337" s="41" t="str">
        <f>IFERROR(__xludf.DUMMYFUNCTION("""COMPUTED_VALUE"""),"")</f>
        <v/>
      </c>
      <c r="AA337" s="41" t="str">
        <f>IFERROR(__xludf.DUMMYFUNCTION("""COMPUTED_VALUE"""),"")</f>
        <v/>
      </c>
      <c r="AB337" s="38" t="str">
        <f>IFERROR(__xludf.DUMMYFUNCTION("""COMPUTED_VALUE"""),"")</f>
        <v/>
      </c>
    </row>
    <row r="338">
      <c r="A338" s="41" t="str">
        <f>IFERROR(__xludf.DUMMYFUNCTION("""COMPUTED_VALUE"""),"Java, Spring Boot")</f>
        <v>Java, Spring Boot</v>
      </c>
      <c r="B338" s="42" t="s">
        <v>78</v>
      </c>
      <c r="C338" s="41" t="s">
        <v>2094</v>
      </c>
      <c r="N338" s="38"/>
      <c r="P338" s="42" t="str">
        <f>IFERROR(__xludf.DUMMYFUNCTION("""COMPUTED_VALUE"""),"ruby")</f>
        <v>ruby</v>
      </c>
      <c r="Q338" s="41" t="str">
        <f>IFERROR(__xludf.DUMMYFUNCTION("""COMPUTED_VALUE"""),"")</f>
        <v/>
      </c>
      <c r="R338" s="41" t="str">
        <f>IFERROR(__xludf.DUMMYFUNCTION("""COMPUTED_VALUE"""),"")</f>
        <v/>
      </c>
      <c r="S338" s="41" t="str">
        <f>IFERROR(__xludf.DUMMYFUNCTION("""COMPUTED_VALUE"""),"")</f>
        <v/>
      </c>
      <c r="T338" s="41" t="str">
        <f>IFERROR(__xludf.DUMMYFUNCTION("""COMPUTED_VALUE"""),"")</f>
        <v/>
      </c>
      <c r="U338" s="41" t="str">
        <f>IFERROR(__xludf.DUMMYFUNCTION("""COMPUTED_VALUE"""),"")</f>
        <v/>
      </c>
      <c r="V338" s="41" t="str">
        <f>IFERROR(__xludf.DUMMYFUNCTION("""COMPUTED_VALUE"""),"")</f>
        <v/>
      </c>
      <c r="W338" s="41" t="str">
        <f>IFERROR(__xludf.DUMMYFUNCTION("""COMPUTED_VALUE"""),"")</f>
        <v/>
      </c>
      <c r="X338" s="41" t="str">
        <f>IFERROR(__xludf.DUMMYFUNCTION("""COMPUTED_VALUE"""),"")</f>
        <v/>
      </c>
      <c r="Y338" s="41" t="str">
        <f>IFERROR(__xludf.DUMMYFUNCTION("""COMPUTED_VALUE"""),"")</f>
        <v/>
      </c>
      <c r="Z338" s="41" t="str">
        <f>IFERROR(__xludf.DUMMYFUNCTION("""COMPUTED_VALUE"""),"")</f>
        <v/>
      </c>
      <c r="AA338" s="41" t="str">
        <f>IFERROR(__xludf.DUMMYFUNCTION("""COMPUTED_VALUE"""),"")</f>
        <v/>
      </c>
      <c r="AB338" s="38" t="str">
        <f>IFERROR(__xludf.DUMMYFUNCTION("""COMPUTED_VALUE"""),"")</f>
        <v/>
      </c>
    </row>
    <row r="339">
      <c r="A339" s="41" t="str">
        <f>IFERROR(__xludf.DUMMYFUNCTION("""COMPUTED_VALUE"""),"Android")</f>
        <v>Android</v>
      </c>
      <c r="B339" s="42" t="s">
        <v>1467</v>
      </c>
      <c r="N339" s="38"/>
      <c r="P339" s="42" t="str">
        <f>IFERROR(__xludf.DUMMYFUNCTION("""COMPUTED_VALUE"""),"on")</f>
        <v>on</v>
      </c>
      <c r="Q339" s="41" t="str">
        <f>IFERROR(__xludf.DUMMYFUNCTION("""COMPUTED_VALUE"""),"")</f>
        <v/>
      </c>
      <c r="R339" s="41" t="str">
        <f>IFERROR(__xludf.DUMMYFUNCTION("""COMPUTED_VALUE"""),"")</f>
        <v/>
      </c>
      <c r="S339" s="41" t="str">
        <f>IFERROR(__xludf.DUMMYFUNCTION("""COMPUTED_VALUE"""),"")</f>
        <v/>
      </c>
      <c r="T339" s="41" t="str">
        <f>IFERROR(__xludf.DUMMYFUNCTION("""COMPUTED_VALUE"""),"")</f>
        <v/>
      </c>
      <c r="U339" s="41" t="str">
        <f>IFERROR(__xludf.DUMMYFUNCTION("""COMPUTED_VALUE"""),"")</f>
        <v/>
      </c>
      <c r="V339" s="41" t="str">
        <f>IFERROR(__xludf.DUMMYFUNCTION("""COMPUTED_VALUE"""),"")</f>
        <v/>
      </c>
      <c r="W339" s="41" t="str">
        <f>IFERROR(__xludf.DUMMYFUNCTION("""COMPUTED_VALUE"""),"")</f>
        <v/>
      </c>
      <c r="X339" s="41" t="str">
        <f>IFERROR(__xludf.DUMMYFUNCTION("""COMPUTED_VALUE"""),"")</f>
        <v/>
      </c>
      <c r="Y339" s="41" t="str">
        <f>IFERROR(__xludf.DUMMYFUNCTION("""COMPUTED_VALUE"""),"")</f>
        <v/>
      </c>
      <c r="Z339" s="41" t="str">
        <f>IFERROR(__xludf.DUMMYFUNCTION("""COMPUTED_VALUE"""),"")</f>
        <v/>
      </c>
      <c r="AA339" s="41" t="str">
        <f>IFERROR(__xludf.DUMMYFUNCTION("""COMPUTED_VALUE"""),"")</f>
        <v/>
      </c>
      <c r="AB339" s="38" t="str">
        <f>IFERROR(__xludf.DUMMYFUNCTION("""COMPUTED_VALUE"""),"")</f>
        <v/>
      </c>
    </row>
    <row r="340">
      <c r="A340" s="41" t="str">
        <f>IFERROR(__xludf.DUMMYFUNCTION("""COMPUTED_VALUE"""),"PHP")</f>
        <v>PHP</v>
      </c>
      <c r="B340" s="42" t="s">
        <v>224</v>
      </c>
      <c r="C340" s="41" t="s">
        <v>4344</v>
      </c>
      <c r="N340" s="38"/>
      <c r="P340" s="42" t="str">
        <f>IFERROR(__xludf.DUMMYFUNCTION("""COMPUTED_VALUE"""),"rails")</f>
        <v>rails</v>
      </c>
      <c r="Q340" s="41" t="str">
        <f>IFERROR(__xludf.DUMMYFUNCTION("""COMPUTED_VALUE"""),"")</f>
        <v/>
      </c>
      <c r="R340" s="41" t="str">
        <f>IFERROR(__xludf.DUMMYFUNCTION("""COMPUTED_VALUE"""),"")</f>
        <v/>
      </c>
      <c r="S340" s="41" t="str">
        <f>IFERROR(__xludf.DUMMYFUNCTION("""COMPUTED_VALUE"""),"")</f>
        <v/>
      </c>
      <c r="T340" s="41" t="str">
        <f>IFERROR(__xludf.DUMMYFUNCTION("""COMPUTED_VALUE"""),"")</f>
        <v/>
      </c>
      <c r="U340" s="41" t="str">
        <f>IFERROR(__xludf.DUMMYFUNCTION("""COMPUTED_VALUE"""),"")</f>
        <v/>
      </c>
      <c r="V340" s="41" t="str">
        <f>IFERROR(__xludf.DUMMYFUNCTION("""COMPUTED_VALUE"""),"")</f>
        <v/>
      </c>
      <c r="W340" s="41" t="str">
        <f>IFERROR(__xludf.DUMMYFUNCTION("""COMPUTED_VALUE"""),"")</f>
        <v/>
      </c>
      <c r="X340" s="41" t="str">
        <f>IFERROR(__xludf.DUMMYFUNCTION("""COMPUTED_VALUE"""),"")</f>
        <v/>
      </c>
      <c r="Y340" s="41" t="str">
        <f>IFERROR(__xludf.DUMMYFUNCTION("""COMPUTED_VALUE"""),"")</f>
        <v/>
      </c>
      <c r="Z340" s="41" t="str">
        <f>IFERROR(__xludf.DUMMYFUNCTION("""COMPUTED_VALUE"""),"")</f>
        <v/>
      </c>
      <c r="AA340" s="41" t="str">
        <f>IFERROR(__xludf.DUMMYFUNCTION("""COMPUTED_VALUE"""),"")</f>
        <v/>
      </c>
      <c r="AB340" s="38" t="str">
        <f>IFERROR(__xludf.DUMMYFUNCTION("""COMPUTED_VALUE"""),"")</f>
        <v/>
      </c>
    </row>
    <row r="341">
      <c r="A341" s="41" t="str">
        <f>IFERROR(__xludf.DUMMYFUNCTION("""COMPUTED_VALUE"""),".Net")</f>
        <v>.Net</v>
      </c>
      <c r="B341" s="42" t="s">
        <v>865</v>
      </c>
      <c r="N341" s="38"/>
      <c r="P341" s="42" t="str">
        <f>IFERROR(__xludf.DUMMYFUNCTION("""COMPUTED_VALUE"""),"laptop")</f>
        <v>laptop</v>
      </c>
      <c r="Q341" s="41" t="str">
        <f>IFERROR(__xludf.DUMMYFUNCTION("""COMPUTED_VALUE"""),"")</f>
        <v/>
      </c>
      <c r="R341" s="41" t="str">
        <f>IFERROR(__xludf.DUMMYFUNCTION("""COMPUTED_VALUE"""),"")</f>
        <v/>
      </c>
      <c r="S341" s="41" t="str">
        <f>IFERROR(__xludf.DUMMYFUNCTION("""COMPUTED_VALUE"""),"")</f>
        <v/>
      </c>
      <c r="T341" s="41" t="str">
        <f>IFERROR(__xludf.DUMMYFUNCTION("""COMPUTED_VALUE"""),"")</f>
        <v/>
      </c>
      <c r="U341" s="41" t="str">
        <f>IFERROR(__xludf.DUMMYFUNCTION("""COMPUTED_VALUE"""),"")</f>
        <v/>
      </c>
      <c r="V341" s="41" t="str">
        <f>IFERROR(__xludf.DUMMYFUNCTION("""COMPUTED_VALUE"""),"")</f>
        <v/>
      </c>
      <c r="W341" s="41" t="str">
        <f>IFERROR(__xludf.DUMMYFUNCTION("""COMPUTED_VALUE"""),"")</f>
        <v/>
      </c>
      <c r="X341" s="41" t="str">
        <f>IFERROR(__xludf.DUMMYFUNCTION("""COMPUTED_VALUE"""),"")</f>
        <v/>
      </c>
      <c r="Y341" s="41" t="str">
        <f>IFERROR(__xludf.DUMMYFUNCTION("""COMPUTED_VALUE"""),"")</f>
        <v/>
      </c>
      <c r="Z341" s="41" t="str">
        <f>IFERROR(__xludf.DUMMYFUNCTION("""COMPUTED_VALUE"""),"")</f>
        <v/>
      </c>
      <c r="AA341" s="41" t="str">
        <f>IFERROR(__xludf.DUMMYFUNCTION("""COMPUTED_VALUE"""),"")</f>
        <v/>
      </c>
      <c r="AB341" s="38" t="str">
        <f>IFERROR(__xludf.DUMMYFUNCTION("""COMPUTED_VALUE"""),"")</f>
        <v/>
      </c>
    </row>
    <row r="342">
      <c r="A342" s="41" t="str">
        <f>IFERROR(__xludf.DUMMYFUNCTION("""COMPUTED_VALUE"""),"Java")</f>
        <v>Java</v>
      </c>
      <c r="B342" s="42" t="s">
        <v>44</v>
      </c>
      <c r="N342" s="38"/>
      <c r="P342" s="42" t="str">
        <f>IFERROR(__xludf.DUMMYFUNCTION("""COMPUTED_VALUE"""),"c#")</f>
        <v>c#</v>
      </c>
      <c r="Q342" s="41" t="str">
        <f>IFERROR(__xludf.DUMMYFUNCTION("""COMPUTED_VALUE"""),"")</f>
        <v/>
      </c>
      <c r="R342" s="41" t="str">
        <f>IFERROR(__xludf.DUMMYFUNCTION("""COMPUTED_VALUE"""),"")</f>
        <v/>
      </c>
      <c r="S342" s="41" t="str">
        <f>IFERROR(__xludf.DUMMYFUNCTION("""COMPUTED_VALUE"""),"")</f>
        <v/>
      </c>
      <c r="T342" s="41" t="str">
        <f>IFERROR(__xludf.DUMMYFUNCTION("""COMPUTED_VALUE"""),"")</f>
        <v/>
      </c>
      <c r="U342" s="41" t="str">
        <f>IFERROR(__xludf.DUMMYFUNCTION("""COMPUTED_VALUE"""),"")</f>
        <v/>
      </c>
      <c r="V342" s="41" t="str">
        <f>IFERROR(__xludf.DUMMYFUNCTION("""COMPUTED_VALUE"""),"")</f>
        <v/>
      </c>
      <c r="W342" s="41" t="str">
        <f>IFERROR(__xludf.DUMMYFUNCTION("""COMPUTED_VALUE"""),"")</f>
        <v/>
      </c>
      <c r="X342" s="41" t="str">
        <f>IFERROR(__xludf.DUMMYFUNCTION("""COMPUTED_VALUE"""),"")</f>
        <v/>
      </c>
      <c r="Y342" s="41" t="str">
        <f>IFERROR(__xludf.DUMMYFUNCTION("""COMPUTED_VALUE"""),"")</f>
        <v/>
      </c>
      <c r="Z342" s="41" t="str">
        <f>IFERROR(__xludf.DUMMYFUNCTION("""COMPUTED_VALUE"""),"")</f>
        <v/>
      </c>
      <c r="AA342" s="41" t="str">
        <f>IFERROR(__xludf.DUMMYFUNCTION("""COMPUTED_VALUE"""),"")</f>
        <v/>
      </c>
      <c r="AB342" s="38" t="str">
        <f>IFERROR(__xludf.DUMMYFUNCTION("""COMPUTED_VALUE"""),"")</f>
        <v/>
      </c>
    </row>
    <row r="343">
      <c r="A343" s="41" t="str">
        <f>IFERROR(__xludf.DUMMYFUNCTION("""COMPUTED_VALUE"""),"Kubernetes, Docker, Linux, Spark, Python, Git")</f>
        <v>Kubernetes, Docker, Linux, Spark, Python, Git</v>
      </c>
      <c r="B343" s="42" t="s">
        <v>321</v>
      </c>
      <c r="N343" s="38"/>
      <c r="P343" s="42" t="str">
        <f>IFERROR(__xludf.DUMMYFUNCTION("""COMPUTED_VALUE"""),"php")</f>
        <v>php</v>
      </c>
      <c r="Q343" s="41" t="str">
        <f>IFERROR(__xludf.DUMMYFUNCTION("""COMPUTED_VALUE"""),"")</f>
        <v/>
      </c>
      <c r="R343" s="41" t="str">
        <f>IFERROR(__xludf.DUMMYFUNCTION("""COMPUTED_VALUE"""),"")</f>
        <v/>
      </c>
      <c r="S343" s="41" t="str">
        <f>IFERROR(__xludf.DUMMYFUNCTION("""COMPUTED_VALUE"""),"")</f>
        <v/>
      </c>
      <c r="T343" s="41" t="str">
        <f>IFERROR(__xludf.DUMMYFUNCTION("""COMPUTED_VALUE"""),"")</f>
        <v/>
      </c>
      <c r="U343" s="41" t="str">
        <f>IFERROR(__xludf.DUMMYFUNCTION("""COMPUTED_VALUE"""),"")</f>
        <v/>
      </c>
      <c r="V343" s="41" t="str">
        <f>IFERROR(__xludf.DUMMYFUNCTION("""COMPUTED_VALUE"""),"")</f>
        <v/>
      </c>
      <c r="W343" s="41" t="str">
        <f>IFERROR(__xludf.DUMMYFUNCTION("""COMPUTED_VALUE"""),"")</f>
        <v/>
      </c>
      <c r="X343" s="41" t="str">
        <f>IFERROR(__xludf.DUMMYFUNCTION("""COMPUTED_VALUE"""),"")</f>
        <v/>
      </c>
      <c r="Y343" s="41" t="str">
        <f>IFERROR(__xludf.DUMMYFUNCTION("""COMPUTED_VALUE"""),"")</f>
        <v/>
      </c>
      <c r="Z343" s="41" t="str">
        <f>IFERROR(__xludf.DUMMYFUNCTION("""COMPUTED_VALUE"""),"")</f>
        <v/>
      </c>
      <c r="AA343" s="41" t="str">
        <f>IFERROR(__xludf.DUMMYFUNCTION("""COMPUTED_VALUE"""),"")</f>
        <v/>
      </c>
      <c r="AB343" s="38" t="str">
        <f>IFERROR(__xludf.DUMMYFUNCTION("""COMPUTED_VALUE"""),"")</f>
        <v/>
      </c>
    </row>
    <row r="344">
      <c r="A344" s="41" t="str">
        <f>IFERROR(__xludf.DUMMYFUNCTION("""COMPUTED_VALUE"""),"vb.net, asp.net, c#, hyper-v")</f>
        <v>vb.net, asp.net, c#, hyper-v</v>
      </c>
      <c r="B344" s="42" t="s">
        <v>224</v>
      </c>
      <c r="N344" s="38"/>
      <c r="P344" s="42" t="str">
        <f>IFERROR(__xludf.DUMMYFUNCTION("""COMPUTED_VALUE"""),"vue")</f>
        <v>vue</v>
      </c>
      <c r="Q344" s="41" t="str">
        <f>IFERROR(__xludf.DUMMYFUNCTION("""COMPUTED_VALUE"""),"")</f>
        <v/>
      </c>
      <c r="R344" s="41" t="str">
        <f>IFERROR(__xludf.DUMMYFUNCTION("""COMPUTED_VALUE"""),"")</f>
        <v/>
      </c>
      <c r="S344" s="41" t="str">
        <f>IFERROR(__xludf.DUMMYFUNCTION("""COMPUTED_VALUE"""),"")</f>
        <v/>
      </c>
      <c r="T344" s="41" t="str">
        <f>IFERROR(__xludf.DUMMYFUNCTION("""COMPUTED_VALUE"""),"")</f>
        <v/>
      </c>
      <c r="U344" s="41" t="str">
        <f>IFERROR(__xludf.DUMMYFUNCTION("""COMPUTED_VALUE"""),"")</f>
        <v/>
      </c>
      <c r="V344" s="41" t="str">
        <f>IFERROR(__xludf.DUMMYFUNCTION("""COMPUTED_VALUE"""),"")</f>
        <v/>
      </c>
      <c r="W344" s="41" t="str">
        <f>IFERROR(__xludf.DUMMYFUNCTION("""COMPUTED_VALUE"""),"")</f>
        <v/>
      </c>
      <c r="X344" s="41" t="str">
        <f>IFERROR(__xludf.DUMMYFUNCTION("""COMPUTED_VALUE"""),"")</f>
        <v/>
      </c>
      <c r="Y344" s="41" t="str">
        <f>IFERROR(__xludf.DUMMYFUNCTION("""COMPUTED_VALUE"""),"")</f>
        <v/>
      </c>
      <c r="Z344" s="41" t="str">
        <f>IFERROR(__xludf.DUMMYFUNCTION("""COMPUTED_VALUE"""),"")</f>
        <v/>
      </c>
      <c r="AA344" s="41" t="str">
        <f>IFERROR(__xludf.DUMMYFUNCTION("""COMPUTED_VALUE"""),"")</f>
        <v/>
      </c>
      <c r="AB344" s="38" t="str">
        <f>IFERROR(__xludf.DUMMYFUNCTION("""COMPUTED_VALUE"""),"")</f>
        <v/>
      </c>
    </row>
    <row r="345">
      <c r="A345" s="41" t="str">
        <f>IFERROR(__xludf.DUMMYFUNCTION("""COMPUTED_VALUE"""),"React Native, Xcode, Android Studio, NodeJS /Express,  Bitrise, Codefresh, Firebase, SegmentIO, Pusher, Embrace, Jira, Git, AWS Secrets")</f>
        <v>React Native, Xcode, Android Studio, NodeJS /Express,  Bitrise, Codefresh, Firebase, SegmentIO, Pusher, Embrace, Jira, Git, AWS Secrets</v>
      </c>
      <c r="B345" s="42" t="s">
        <v>3903</v>
      </c>
      <c r="C345" s="41" t="s">
        <v>3663</v>
      </c>
      <c r="D345" s="41" t="s">
        <v>4118</v>
      </c>
      <c r="E345" s="41" t="s">
        <v>4361</v>
      </c>
      <c r="F345" s="41" t="s">
        <v>78</v>
      </c>
      <c r="G345" s="41" t="s">
        <v>4282</v>
      </c>
      <c r="N345" s="38"/>
      <c r="P345" s="42" t="str">
        <f>IFERROR(__xludf.DUMMYFUNCTION("""COMPUTED_VALUE"""),"laravel")</f>
        <v>laravel</v>
      </c>
      <c r="Q345" s="41" t="str">
        <f>IFERROR(__xludf.DUMMYFUNCTION("""COMPUTED_VALUE"""),"")</f>
        <v/>
      </c>
      <c r="R345" s="41" t="str">
        <f>IFERROR(__xludf.DUMMYFUNCTION("""COMPUTED_VALUE"""),"")</f>
        <v/>
      </c>
      <c r="S345" s="41" t="str">
        <f>IFERROR(__xludf.DUMMYFUNCTION("""COMPUTED_VALUE"""),"")</f>
        <v/>
      </c>
      <c r="T345" s="41" t="str">
        <f>IFERROR(__xludf.DUMMYFUNCTION("""COMPUTED_VALUE"""),"")</f>
        <v/>
      </c>
      <c r="U345" s="41" t="str">
        <f>IFERROR(__xludf.DUMMYFUNCTION("""COMPUTED_VALUE"""),"")</f>
        <v/>
      </c>
      <c r="V345" s="41" t="str">
        <f>IFERROR(__xludf.DUMMYFUNCTION("""COMPUTED_VALUE"""),"")</f>
        <v/>
      </c>
      <c r="W345" s="41" t="str">
        <f>IFERROR(__xludf.DUMMYFUNCTION("""COMPUTED_VALUE"""),"")</f>
        <v/>
      </c>
      <c r="X345" s="41" t="str">
        <f>IFERROR(__xludf.DUMMYFUNCTION("""COMPUTED_VALUE"""),"")</f>
        <v/>
      </c>
      <c r="Y345" s="41" t="str">
        <f>IFERROR(__xludf.DUMMYFUNCTION("""COMPUTED_VALUE"""),"")</f>
        <v/>
      </c>
      <c r="Z345" s="41" t="str">
        <f>IFERROR(__xludf.DUMMYFUNCTION("""COMPUTED_VALUE"""),"")</f>
        <v/>
      </c>
      <c r="AA345" s="41" t="str">
        <f>IFERROR(__xludf.DUMMYFUNCTION("""COMPUTED_VALUE"""),"")</f>
        <v/>
      </c>
      <c r="AB345" s="38" t="str">
        <f>IFERROR(__xludf.DUMMYFUNCTION("""COMPUTED_VALUE"""),"")</f>
        <v/>
      </c>
    </row>
    <row r="346">
      <c r="A346" s="41" t="str">
        <f>IFERROR(__xludf.DUMMYFUNCTION("""COMPUTED_VALUE"""),"AWS, Python, JavaScript, NodeJS, VueJS")</f>
        <v>AWS, Python, JavaScript, NodeJS, VueJS</v>
      </c>
      <c r="B346" s="42" t="s">
        <v>4362</v>
      </c>
      <c r="C346" s="41" t="s">
        <v>2345</v>
      </c>
      <c r="D346" s="41" t="s">
        <v>1378</v>
      </c>
      <c r="E346" s="41" t="s">
        <v>4363</v>
      </c>
      <c r="N346" s="38"/>
      <c r="P346" s="42" t="str">
        <f>IFERROR(__xludf.DUMMYFUNCTION("""COMPUTED_VALUE"""),"python")</f>
        <v>python</v>
      </c>
      <c r="Q346" s="41" t="str">
        <f>IFERROR(__xludf.DUMMYFUNCTION("""COMPUTED_VALUE"""),"")</f>
        <v/>
      </c>
      <c r="R346" s="41" t="str">
        <f>IFERROR(__xludf.DUMMYFUNCTION("""COMPUTED_VALUE"""),"")</f>
        <v/>
      </c>
      <c r="S346" s="41" t="str">
        <f>IFERROR(__xludf.DUMMYFUNCTION("""COMPUTED_VALUE"""),"")</f>
        <v/>
      </c>
      <c r="T346" s="41" t="str">
        <f>IFERROR(__xludf.DUMMYFUNCTION("""COMPUTED_VALUE"""),"")</f>
        <v/>
      </c>
      <c r="U346" s="41" t="str">
        <f>IFERROR(__xludf.DUMMYFUNCTION("""COMPUTED_VALUE"""),"")</f>
        <v/>
      </c>
      <c r="V346" s="41" t="str">
        <f>IFERROR(__xludf.DUMMYFUNCTION("""COMPUTED_VALUE"""),"")</f>
        <v/>
      </c>
      <c r="W346" s="41" t="str">
        <f>IFERROR(__xludf.DUMMYFUNCTION("""COMPUTED_VALUE"""),"")</f>
        <v/>
      </c>
      <c r="X346" s="41" t="str">
        <f>IFERROR(__xludf.DUMMYFUNCTION("""COMPUTED_VALUE"""),"")</f>
        <v/>
      </c>
      <c r="Y346" s="41" t="str">
        <f>IFERROR(__xludf.DUMMYFUNCTION("""COMPUTED_VALUE"""),"")</f>
        <v/>
      </c>
      <c r="Z346" s="41" t="str">
        <f>IFERROR(__xludf.DUMMYFUNCTION("""COMPUTED_VALUE"""),"")</f>
        <v/>
      </c>
      <c r="AA346" s="41" t="str">
        <f>IFERROR(__xludf.DUMMYFUNCTION("""COMPUTED_VALUE"""),"")</f>
        <v/>
      </c>
      <c r="AB346" s="38" t="str">
        <f>IFERROR(__xludf.DUMMYFUNCTION("""COMPUTED_VALUE"""),"")</f>
        <v/>
      </c>
    </row>
    <row r="347">
      <c r="A347" s="41" t="str">
        <f>IFERROR(__xludf.DUMMYFUNCTION("""COMPUTED_VALUE"""),"c#, react")</f>
        <v>c#, react</v>
      </c>
      <c r="B347" s="42" t="s">
        <v>549</v>
      </c>
      <c r="C347" s="41" t="s">
        <v>4097</v>
      </c>
      <c r="D347" s="41" t="s">
        <v>1009</v>
      </c>
      <c r="E347" s="41" t="s">
        <v>4364</v>
      </c>
      <c r="F347" s="41" t="s">
        <v>4285</v>
      </c>
      <c r="G347" s="41" t="s">
        <v>4365</v>
      </c>
      <c r="H347" s="41" t="s">
        <v>4224</v>
      </c>
      <c r="I347" s="41" t="s">
        <v>4366</v>
      </c>
      <c r="J347" s="41" t="s">
        <v>4367</v>
      </c>
      <c r="K347" s="41" t="s">
        <v>4368</v>
      </c>
      <c r="L347" s="41" t="s">
        <v>4094</v>
      </c>
      <c r="M347" s="41" t="s">
        <v>3993</v>
      </c>
      <c r="N347" s="38" t="s">
        <v>4369</v>
      </c>
      <c r="P347" s="42" t="str">
        <f>IFERROR(__xludf.DUMMYFUNCTION("""COMPUTED_VALUE"""),"php")</f>
        <v>php</v>
      </c>
      <c r="Q347" s="41" t="str">
        <f>IFERROR(__xludf.DUMMYFUNCTION("""COMPUTED_VALUE"""),"")</f>
        <v/>
      </c>
      <c r="R347" s="41" t="str">
        <f>IFERROR(__xludf.DUMMYFUNCTION("""COMPUTED_VALUE"""),"")</f>
        <v/>
      </c>
      <c r="S347" s="41" t="str">
        <f>IFERROR(__xludf.DUMMYFUNCTION("""COMPUTED_VALUE"""),"")</f>
        <v/>
      </c>
      <c r="T347" s="41" t="str">
        <f>IFERROR(__xludf.DUMMYFUNCTION("""COMPUTED_VALUE"""),"")</f>
        <v/>
      </c>
      <c r="U347" s="41" t="str">
        <f>IFERROR(__xludf.DUMMYFUNCTION("""COMPUTED_VALUE"""),"")</f>
        <v/>
      </c>
      <c r="V347" s="41" t="str">
        <f>IFERROR(__xludf.DUMMYFUNCTION("""COMPUTED_VALUE"""),"")</f>
        <v/>
      </c>
      <c r="W347" s="41" t="str">
        <f>IFERROR(__xludf.DUMMYFUNCTION("""COMPUTED_VALUE"""),"")</f>
        <v/>
      </c>
      <c r="X347" s="41" t="str">
        <f>IFERROR(__xludf.DUMMYFUNCTION("""COMPUTED_VALUE"""),"")</f>
        <v/>
      </c>
      <c r="Y347" s="41" t="str">
        <f>IFERROR(__xludf.DUMMYFUNCTION("""COMPUTED_VALUE"""),"")</f>
        <v/>
      </c>
      <c r="Z347" s="41" t="str">
        <f>IFERROR(__xludf.DUMMYFUNCTION("""COMPUTED_VALUE"""),"")</f>
        <v/>
      </c>
      <c r="AA347" s="41" t="str">
        <f>IFERROR(__xludf.DUMMYFUNCTION("""COMPUTED_VALUE"""),"")</f>
        <v/>
      </c>
      <c r="AB347" s="38" t="str">
        <f>IFERROR(__xludf.DUMMYFUNCTION("""COMPUTED_VALUE"""),"")</f>
        <v/>
      </c>
    </row>
    <row r="348">
      <c r="A348" s="41" t="str">
        <f>IFERROR(__xludf.DUMMYFUNCTION("""COMPUTED_VALUE"""),"React, Next, Gatsby, Bootstrap, Wordpress ")</f>
        <v>React, Next, Gatsby, Bootstrap, Wordpress </v>
      </c>
      <c r="B348" s="42" t="s">
        <v>1233</v>
      </c>
      <c r="C348" s="41" t="s">
        <v>78</v>
      </c>
      <c r="D348" s="41" t="s">
        <v>731</v>
      </c>
      <c r="E348" s="41" t="s">
        <v>1842</v>
      </c>
      <c r="F348" s="41" t="s">
        <v>1427</v>
      </c>
      <c r="N348" s="38"/>
      <c r="P348" s="42" t="str">
        <f>IFERROR(__xludf.DUMMYFUNCTION("""COMPUTED_VALUE"""),"python")</f>
        <v>python</v>
      </c>
      <c r="Q348" s="41" t="str">
        <f>IFERROR(__xludf.DUMMYFUNCTION("""COMPUTED_VALUE"""),"")</f>
        <v/>
      </c>
      <c r="R348" s="41" t="str">
        <f>IFERROR(__xludf.DUMMYFUNCTION("""COMPUTED_VALUE"""),"")</f>
        <v/>
      </c>
      <c r="S348" s="41" t="str">
        <f>IFERROR(__xludf.DUMMYFUNCTION("""COMPUTED_VALUE"""),"")</f>
        <v/>
      </c>
      <c r="T348" s="41" t="str">
        <f>IFERROR(__xludf.DUMMYFUNCTION("""COMPUTED_VALUE"""),"")</f>
        <v/>
      </c>
      <c r="U348" s="41" t="str">
        <f>IFERROR(__xludf.DUMMYFUNCTION("""COMPUTED_VALUE"""),"")</f>
        <v/>
      </c>
      <c r="V348" s="41" t="str">
        <f>IFERROR(__xludf.DUMMYFUNCTION("""COMPUTED_VALUE"""),"")</f>
        <v/>
      </c>
      <c r="W348" s="41" t="str">
        <f>IFERROR(__xludf.DUMMYFUNCTION("""COMPUTED_VALUE"""),"")</f>
        <v/>
      </c>
      <c r="X348" s="41" t="str">
        <f>IFERROR(__xludf.DUMMYFUNCTION("""COMPUTED_VALUE"""),"")</f>
        <v/>
      </c>
      <c r="Y348" s="41" t="str">
        <f>IFERROR(__xludf.DUMMYFUNCTION("""COMPUTED_VALUE"""),"")</f>
        <v/>
      </c>
      <c r="Z348" s="41" t="str">
        <f>IFERROR(__xludf.DUMMYFUNCTION("""COMPUTED_VALUE"""),"")</f>
        <v/>
      </c>
      <c r="AA348" s="41" t="str">
        <f>IFERROR(__xludf.DUMMYFUNCTION("""COMPUTED_VALUE"""),"")</f>
        <v/>
      </c>
      <c r="AB348" s="38" t="str">
        <f>IFERROR(__xludf.DUMMYFUNCTION("""COMPUTED_VALUE"""),"")</f>
        <v/>
      </c>
    </row>
    <row r="349">
      <c r="A349" s="41" t="str">
        <f>IFERROR(__xludf.DUMMYFUNCTION("""COMPUTED_VALUE"""),"C#, Azure, MSSSQL")</f>
        <v>C#, Azure, MSSSQL</v>
      </c>
      <c r="B349" s="42" t="s">
        <v>1378</v>
      </c>
      <c r="C349" s="41" t="s">
        <v>1066</v>
      </c>
      <c r="N349" s="38"/>
      <c r="P349" s="42" t="str">
        <f>IFERROR(__xludf.DUMMYFUNCTION("""COMPUTED_VALUE"""),"gcp")</f>
        <v>gcp</v>
      </c>
      <c r="Q349" s="41" t="str">
        <f>IFERROR(__xludf.DUMMYFUNCTION("""COMPUTED_VALUE"""),"")</f>
        <v/>
      </c>
      <c r="R349" s="41" t="str">
        <f>IFERROR(__xludf.DUMMYFUNCTION("""COMPUTED_VALUE"""),"")</f>
        <v/>
      </c>
      <c r="S349" s="41" t="str">
        <f>IFERROR(__xludf.DUMMYFUNCTION("""COMPUTED_VALUE"""),"")</f>
        <v/>
      </c>
      <c r="T349" s="41" t="str">
        <f>IFERROR(__xludf.DUMMYFUNCTION("""COMPUTED_VALUE"""),"")</f>
        <v/>
      </c>
      <c r="U349" s="41" t="str">
        <f>IFERROR(__xludf.DUMMYFUNCTION("""COMPUTED_VALUE"""),"")</f>
        <v/>
      </c>
      <c r="V349" s="41" t="str">
        <f>IFERROR(__xludf.DUMMYFUNCTION("""COMPUTED_VALUE"""),"")</f>
        <v/>
      </c>
      <c r="W349" s="41" t="str">
        <f>IFERROR(__xludf.DUMMYFUNCTION("""COMPUTED_VALUE"""),"")</f>
        <v/>
      </c>
      <c r="X349" s="41" t="str">
        <f>IFERROR(__xludf.DUMMYFUNCTION("""COMPUTED_VALUE"""),"")</f>
        <v/>
      </c>
      <c r="Y349" s="41" t="str">
        <f>IFERROR(__xludf.DUMMYFUNCTION("""COMPUTED_VALUE"""),"")</f>
        <v/>
      </c>
      <c r="Z349" s="41" t="str">
        <f>IFERROR(__xludf.DUMMYFUNCTION("""COMPUTED_VALUE"""),"")</f>
        <v/>
      </c>
      <c r="AA349" s="41" t="str">
        <f>IFERROR(__xludf.DUMMYFUNCTION("""COMPUTED_VALUE"""),"")</f>
        <v/>
      </c>
      <c r="AB349" s="38" t="str">
        <f>IFERROR(__xludf.DUMMYFUNCTION("""COMPUTED_VALUE"""),"")</f>
        <v/>
      </c>
    </row>
    <row r="350">
      <c r="A350" s="41" t="str">
        <f>IFERROR(__xludf.DUMMYFUNCTION("""COMPUTED_VALUE"""),"Talend, Microsoft Azure")</f>
        <v>Talend, Microsoft Azure</v>
      </c>
      <c r="B350" s="42" t="s">
        <v>1979</v>
      </c>
      <c r="C350" s="41" t="s">
        <v>4370</v>
      </c>
      <c r="D350" s="41" t="s">
        <v>4371</v>
      </c>
      <c r="E350" s="41" t="s">
        <v>4372</v>
      </c>
      <c r="F350" s="41" t="s">
        <v>4373</v>
      </c>
      <c r="N350" s="38"/>
      <c r="P350" s="42" t="str">
        <f>IFERROR(__xludf.DUMMYFUNCTION("""COMPUTED_VALUE"""),"nodejs")</f>
        <v>nodejs</v>
      </c>
      <c r="Q350" s="41" t="str">
        <f>IFERROR(__xludf.DUMMYFUNCTION("""COMPUTED_VALUE"""),"")</f>
        <v/>
      </c>
      <c r="R350" s="41" t="str">
        <f>IFERROR(__xludf.DUMMYFUNCTION("""COMPUTED_VALUE"""),"")</f>
        <v/>
      </c>
      <c r="S350" s="41" t="str">
        <f>IFERROR(__xludf.DUMMYFUNCTION("""COMPUTED_VALUE"""),"")</f>
        <v/>
      </c>
      <c r="T350" s="41" t="str">
        <f>IFERROR(__xludf.DUMMYFUNCTION("""COMPUTED_VALUE"""),"")</f>
        <v/>
      </c>
      <c r="U350" s="41" t="str">
        <f>IFERROR(__xludf.DUMMYFUNCTION("""COMPUTED_VALUE"""),"")</f>
        <v/>
      </c>
      <c r="V350" s="41" t="str">
        <f>IFERROR(__xludf.DUMMYFUNCTION("""COMPUTED_VALUE"""),"")</f>
        <v/>
      </c>
      <c r="W350" s="41" t="str">
        <f>IFERROR(__xludf.DUMMYFUNCTION("""COMPUTED_VALUE"""),"")</f>
        <v/>
      </c>
      <c r="X350" s="41" t="str">
        <f>IFERROR(__xludf.DUMMYFUNCTION("""COMPUTED_VALUE"""),"")</f>
        <v/>
      </c>
      <c r="Y350" s="41" t="str">
        <f>IFERROR(__xludf.DUMMYFUNCTION("""COMPUTED_VALUE"""),"")</f>
        <v/>
      </c>
      <c r="Z350" s="41" t="str">
        <f>IFERROR(__xludf.DUMMYFUNCTION("""COMPUTED_VALUE"""),"")</f>
        <v/>
      </c>
      <c r="AA350" s="41" t="str">
        <f>IFERROR(__xludf.DUMMYFUNCTION("""COMPUTED_VALUE"""),"")</f>
        <v/>
      </c>
      <c r="AB350" s="38" t="str">
        <f>IFERROR(__xludf.DUMMYFUNCTION("""COMPUTED_VALUE"""),"")</f>
        <v/>
      </c>
    </row>
    <row r="351">
      <c r="A351" s="41" t="str">
        <f>IFERROR(__xludf.DUMMYFUNCTION("""COMPUTED_VALUE"""),"Angular, C#, Python, Azure services")</f>
        <v>Angular, C#, Python, Azure services</v>
      </c>
      <c r="B351" s="42" t="s">
        <v>809</v>
      </c>
      <c r="C351" s="41" t="s">
        <v>135</v>
      </c>
      <c r="D351" s="41" t="s">
        <v>4374</v>
      </c>
      <c r="N351" s="38"/>
      <c r="P351" s="42" t="str">
        <f>IFERROR(__xludf.DUMMYFUNCTION("""COMPUTED_VALUE"""),".net")</f>
        <v>.net</v>
      </c>
      <c r="Q351" s="41" t="str">
        <f>IFERROR(__xludf.DUMMYFUNCTION("""COMPUTED_VALUE"""),"")</f>
        <v/>
      </c>
      <c r="R351" s="41" t="str">
        <f>IFERROR(__xludf.DUMMYFUNCTION("""COMPUTED_VALUE"""),"")</f>
        <v/>
      </c>
      <c r="S351" s="41" t="str">
        <f>IFERROR(__xludf.DUMMYFUNCTION("""COMPUTED_VALUE"""),"")</f>
        <v/>
      </c>
      <c r="T351" s="41" t="str">
        <f>IFERROR(__xludf.DUMMYFUNCTION("""COMPUTED_VALUE"""),"")</f>
        <v/>
      </c>
      <c r="U351" s="41" t="str">
        <f>IFERROR(__xludf.DUMMYFUNCTION("""COMPUTED_VALUE"""),"")</f>
        <v/>
      </c>
      <c r="V351" s="41" t="str">
        <f>IFERROR(__xludf.DUMMYFUNCTION("""COMPUTED_VALUE"""),"")</f>
        <v/>
      </c>
      <c r="W351" s="41" t="str">
        <f>IFERROR(__xludf.DUMMYFUNCTION("""COMPUTED_VALUE"""),"")</f>
        <v/>
      </c>
      <c r="X351" s="41" t="str">
        <f>IFERROR(__xludf.DUMMYFUNCTION("""COMPUTED_VALUE"""),"")</f>
        <v/>
      </c>
      <c r="Y351" s="41" t="str">
        <f>IFERROR(__xludf.DUMMYFUNCTION("""COMPUTED_VALUE"""),"")</f>
        <v/>
      </c>
      <c r="Z351" s="41" t="str">
        <f>IFERROR(__xludf.DUMMYFUNCTION("""COMPUTED_VALUE"""),"")</f>
        <v/>
      </c>
      <c r="AA351" s="41" t="str">
        <f>IFERROR(__xludf.DUMMYFUNCTION("""COMPUTED_VALUE"""),"")</f>
        <v/>
      </c>
      <c r="AB351" s="38" t="str">
        <f>IFERROR(__xludf.DUMMYFUNCTION("""COMPUTED_VALUE"""),"")</f>
        <v/>
      </c>
    </row>
    <row r="352">
      <c r="A352" s="41" t="str">
        <f>IFERROR(__xludf.DUMMYFUNCTION("""COMPUTED_VALUE"""),"Flutter")</f>
        <v>Flutter</v>
      </c>
      <c r="B352" s="42" t="s">
        <v>4375</v>
      </c>
      <c r="C352" s="41" t="s">
        <v>4236</v>
      </c>
      <c r="N352" s="38"/>
      <c r="P352" s="42" t="str">
        <f>IFERROR(__xludf.DUMMYFUNCTION("""COMPUTED_VALUE"""),"java")</f>
        <v>java</v>
      </c>
      <c r="Q352" s="41" t="str">
        <f>IFERROR(__xludf.DUMMYFUNCTION("""COMPUTED_VALUE"""),"")</f>
        <v/>
      </c>
      <c r="R352" s="41" t="str">
        <f>IFERROR(__xludf.DUMMYFUNCTION("""COMPUTED_VALUE"""),"")</f>
        <v/>
      </c>
      <c r="S352" s="41" t="str">
        <f>IFERROR(__xludf.DUMMYFUNCTION("""COMPUTED_VALUE"""),"")</f>
        <v/>
      </c>
      <c r="T352" s="41" t="str">
        <f>IFERROR(__xludf.DUMMYFUNCTION("""COMPUTED_VALUE"""),"")</f>
        <v/>
      </c>
      <c r="U352" s="41" t="str">
        <f>IFERROR(__xludf.DUMMYFUNCTION("""COMPUTED_VALUE"""),"")</f>
        <v/>
      </c>
      <c r="V352" s="41" t="str">
        <f>IFERROR(__xludf.DUMMYFUNCTION("""COMPUTED_VALUE"""),"")</f>
        <v/>
      </c>
      <c r="W352" s="41" t="str">
        <f>IFERROR(__xludf.DUMMYFUNCTION("""COMPUTED_VALUE"""),"")</f>
        <v/>
      </c>
      <c r="X352" s="41" t="str">
        <f>IFERROR(__xludf.DUMMYFUNCTION("""COMPUTED_VALUE"""),"")</f>
        <v/>
      </c>
      <c r="Y352" s="41" t="str">
        <f>IFERROR(__xludf.DUMMYFUNCTION("""COMPUTED_VALUE"""),"")</f>
        <v/>
      </c>
      <c r="Z352" s="41" t="str">
        <f>IFERROR(__xludf.DUMMYFUNCTION("""COMPUTED_VALUE"""),"")</f>
        <v/>
      </c>
      <c r="AA352" s="41" t="str">
        <f>IFERROR(__xludf.DUMMYFUNCTION("""COMPUTED_VALUE"""),"")</f>
        <v/>
      </c>
      <c r="AB352" s="38" t="str">
        <f>IFERROR(__xludf.DUMMYFUNCTION("""COMPUTED_VALUE"""),"")</f>
        <v/>
      </c>
    </row>
    <row r="353">
      <c r="A353" s="41" t="str">
        <f>IFERROR(__xludf.DUMMYFUNCTION("""COMPUTED_VALUE"""),"Flutter, Android")</f>
        <v>Flutter, Android</v>
      </c>
      <c r="B353" s="42" t="s">
        <v>704</v>
      </c>
      <c r="C353" s="41" t="s">
        <v>809</v>
      </c>
      <c r="D353" s="41" t="s">
        <v>78</v>
      </c>
      <c r="E353" s="41" t="s">
        <v>4376</v>
      </c>
      <c r="N353" s="38"/>
      <c r="P353" s="42" t="str">
        <f>IFERROR(__xludf.DUMMYFUNCTION("""COMPUTED_VALUE"""),"javascript")</f>
        <v>javascript</v>
      </c>
      <c r="Q353" s="41" t="str">
        <f>IFERROR(__xludf.DUMMYFUNCTION("""COMPUTED_VALUE"""),"")</f>
        <v/>
      </c>
      <c r="R353" s="41" t="str">
        <f>IFERROR(__xludf.DUMMYFUNCTION("""COMPUTED_VALUE"""),"")</f>
        <v/>
      </c>
      <c r="S353" s="41" t="str">
        <f>IFERROR(__xludf.DUMMYFUNCTION("""COMPUTED_VALUE"""),"")</f>
        <v/>
      </c>
      <c r="T353" s="41" t="str">
        <f>IFERROR(__xludf.DUMMYFUNCTION("""COMPUTED_VALUE"""),"")</f>
        <v/>
      </c>
      <c r="U353" s="41" t="str">
        <f>IFERROR(__xludf.DUMMYFUNCTION("""COMPUTED_VALUE"""),"")</f>
        <v/>
      </c>
      <c r="V353" s="41" t="str">
        <f>IFERROR(__xludf.DUMMYFUNCTION("""COMPUTED_VALUE"""),"")</f>
        <v/>
      </c>
      <c r="W353" s="41" t="str">
        <f>IFERROR(__xludf.DUMMYFUNCTION("""COMPUTED_VALUE"""),"")</f>
        <v/>
      </c>
      <c r="X353" s="41" t="str">
        <f>IFERROR(__xludf.DUMMYFUNCTION("""COMPUTED_VALUE"""),"")</f>
        <v/>
      </c>
      <c r="Y353" s="41" t="str">
        <f>IFERROR(__xludf.DUMMYFUNCTION("""COMPUTED_VALUE"""),"")</f>
        <v/>
      </c>
      <c r="Z353" s="41" t="str">
        <f>IFERROR(__xludf.DUMMYFUNCTION("""COMPUTED_VALUE"""),"")</f>
        <v/>
      </c>
      <c r="AA353" s="41" t="str">
        <f>IFERROR(__xludf.DUMMYFUNCTION("""COMPUTED_VALUE"""),"")</f>
        <v/>
      </c>
      <c r="AB353" s="38" t="str">
        <f>IFERROR(__xludf.DUMMYFUNCTION("""COMPUTED_VALUE"""),"")</f>
        <v/>
      </c>
    </row>
    <row r="354">
      <c r="A354" s="41" t="str">
        <f>IFERROR(__xludf.DUMMYFUNCTION("""COMPUTED_VALUE"""),"Flutter")</f>
        <v>Flutter</v>
      </c>
      <c r="B354" s="42" t="s">
        <v>457</v>
      </c>
      <c r="N354" s="38"/>
      <c r="P354" s="42" t="str">
        <f>IFERROR(__xludf.DUMMYFUNCTION("""COMPUTED_VALUE"""),"tensorflow")</f>
        <v>tensorflow</v>
      </c>
      <c r="Q354" s="41" t="str">
        <f>IFERROR(__xludf.DUMMYFUNCTION("""COMPUTED_VALUE"""),"")</f>
        <v/>
      </c>
      <c r="R354" s="41" t="str">
        <f>IFERROR(__xludf.DUMMYFUNCTION("""COMPUTED_VALUE"""),"")</f>
        <v/>
      </c>
      <c r="S354" s="41" t="str">
        <f>IFERROR(__xludf.DUMMYFUNCTION("""COMPUTED_VALUE"""),"")</f>
        <v/>
      </c>
      <c r="T354" s="41" t="str">
        <f>IFERROR(__xludf.DUMMYFUNCTION("""COMPUTED_VALUE"""),"")</f>
        <v/>
      </c>
      <c r="U354" s="41" t="str">
        <f>IFERROR(__xludf.DUMMYFUNCTION("""COMPUTED_VALUE"""),"")</f>
        <v/>
      </c>
      <c r="V354" s="41" t="str">
        <f>IFERROR(__xludf.DUMMYFUNCTION("""COMPUTED_VALUE"""),"")</f>
        <v/>
      </c>
      <c r="W354" s="41" t="str">
        <f>IFERROR(__xludf.DUMMYFUNCTION("""COMPUTED_VALUE"""),"")</f>
        <v/>
      </c>
      <c r="X354" s="41" t="str">
        <f>IFERROR(__xludf.DUMMYFUNCTION("""COMPUTED_VALUE"""),"")</f>
        <v/>
      </c>
      <c r="Y354" s="41" t="str">
        <f>IFERROR(__xludf.DUMMYFUNCTION("""COMPUTED_VALUE"""),"")</f>
        <v/>
      </c>
      <c r="Z354" s="41" t="str">
        <f>IFERROR(__xludf.DUMMYFUNCTION("""COMPUTED_VALUE"""),"")</f>
        <v/>
      </c>
      <c r="AA354" s="41" t="str">
        <f>IFERROR(__xludf.DUMMYFUNCTION("""COMPUTED_VALUE"""),"")</f>
        <v/>
      </c>
      <c r="AB354" s="38" t="str">
        <f>IFERROR(__xludf.DUMMYFUNCTION("""COMPUTED_VALUE"""),"")</f>
        <v/>
      </c>
    </row>
    <row r="355">
      <c r="A355" s="41" t="str">
        <f>IFERROR(__xludf.DUMMYFUNCTION("""COMPUTED_VALUE"""),"Ruby on Rails, VueJS, AWS, etc")</f>
        <v>Ruby on Rails, VueJS, AWS, etc</v>
      </c>
      <c r="B355" s="42" t="s">
        <v>457</v>
      </c>
      <c r="C355" s="41" t="s">
        <v>865</v>
      </c>
      <c r="N355" s="38"/>
      <c r="P355" s="42" t="str">
        <f>IFERROR(__xludf.DUMMYFUNCTION("""COMPUTED_VALUE"""),"php")</f>
        <v>php</v>
      </c>
      <c r="Q355" s="41" t="str">
        <f>IFERROR(__xludf.DUMMYFUNCTION("""COMPUTED_VALUE"""),"")</f>
        <v/>
      </c>
      <c r="R355" s="41" t="str">
        <f>IFERROR(__xludf.DUMMYFUNCTION("""COMPUTED_VALUE"""),"")</f>
        <v/>
      </c>
      <c r="S355" s="41" t="str">
        <f>IFERROR(__xludf.DUMMYFUNCTION("""COMPUTED_VALUE"""),"")</f>
        <v/>
      </c>
      <c r="T355" s="41" t="str">
        <f>IFERROR(__xludf.DUMMYFUNCTION("""COMPUTED_VALUE"""),"")</f>
        <v/>
      </c>
      <c r="U355" s="41" t="str">
        <f>IFERROR(__xludf.DUMMYFUNCTION("""COMPUTED_VALUE"""),"")</f>
        <v/>
      </c>
      <c r="V355" s="41" t="str">
        <f>IFERROR(__xludf.DUMMYFUNCTION("""COMPUTED_VALUE"""),"")</f>
        <v/>
      </c>
      <c r="W355" s="41" t="str">
        <f>IFERROR(__xludf.DUMMYFUNCTION("""COMPUTED_VALUE"""),"")</f>
        <v/>
      </c>
      <c r="X355" s="41" t="str">
        <f>IFERROR(__xludf.DUMMYFUNCTION("""COMPUTED_VALUE"""),"")</f>
        <v/>
      </c>
      <c r="Y355" s="41" t="str">
        <f>IFERROR(__xludf.DUMMYFUNCTION("""COMPUTED_VALUE"""),"")</f>
        <v/>
      </c>
      <c r="Z355" s="41" t="str">
        <f>IFERROR(__xludf.DUMMYFUNCTION("""COMPUTED_VALUE"""),"")</f>
        <v/>
      </c>
      <c r="AA355" s="41" t="str">
        <f>IFERROR(__xludf.DUMMYFUNCTION("""COMPUTED_VALUE"""),"")</f>
        <v/>
      </c>
      <c r="AB355" s="38" t="str">
        <f>IFERROR(__xludf.DUMMYFUNCTION("""COMPUTED_VALUE"""),"")</f>
        <v/>
      </c>
    </row>
    <row r="356">
      <c r="A356" s="41" t="str">
        <f>IFERROR(__xludf.DUMMYFUNCTION("""COMPUTED_VALUE"""),"Android Studio")</f>
        <v>Android Studio</v>
      </c>
      <c r="B356" s="42" t="s">
        <v>457</v>
      </c>
      <c r="N356" s="38"/>
      <c r="P356" s="42" t="str">
        <f>IFERROR(__xludf.DUMMYFUNCTION("""COMPUTED_VALUE"""),"spring")</f>
        <v>spring</v>
      </c>
      <c r="Q356" s="41" t="str">
        <f>IFERROR(__xludf.DUMMYFUNCTION("""COMPUTED_VALUE"""),"")</f>
        <v/>
      </c>
      <c r="R356" s="41" t="str">
        <f>IFERROR(__xludf.DUMMYFUNCTION("""COMPUTED_VALUE"""),"")</f>
        <v/>
      </c>
      <c r="S356" s="41" t="str">
        <f>IFERROR(__xludf.DUMMYFUNCTION("""COMPUTED_VALUE"""),"")</f>
        <v/>
      </c>
      <c r="T356" s="41" t="str">
        <f>IFERROR(__xludf.DUMMYFUNCTION("""COMPUTED_VALUE"""),"")</f>
        <v/>
      </c>
      <c r="U356" s="41" t="str">
        <f>IFERROR(__xludf.DUMMYFUNCTION("""COMPUTED_VALUE"""),"")</f>
        <v/>
      </c>
      <c r="V356" s="41" t="str">
        <f>IFERROR(__xludf.DUMMYFUNCTION("""COMPUTED_VALUE"""),"")</f>
        <v/>
      </c>
      <c r="W356" s="41" t="str">
        <f>IFERROR(__xludf.DUMMYFUNCTION("""COMPUTED_VALUE"""),"")</f>
        <v/>
      </c>
      <c r="X356" s="41" t="str">
        <f>IFERROR(__xludf.DUMMYFUNCTION("""COMPUTED_VALUE"""),"")</f>
        <v/>
      </c>
      <c r="Y356" s="41" t="str">
        <f>IFERROR(__xludf.DUMMYFUNCTION("""COMPUTED_VALUE"""),"")</f>
        <v/>
      </c>
      <c r="Z356" s="41" t="str">
        <f>IFERROR(__xludf.DUMMYFUNCTION("""COMPUTED_VALUE"""),"")</f>
        <v/>
      </c>
      <c r="AA356" s="41" t="str">
        <f>IFERROR(__xludf.DUMMYFUNCTION("""COMPUTED_VALUE"""),"")</f>
        <v/>
      </c>
      <c r="AB356" s="38" t="str">
        <f>IFERROR(__xludf.DUMMYFUNCTION("""COMPUTED_VALUE"""),"")</f>
        <v/>
      </c>
    </row>
    <row r="357">
      <c r="A357" s="41" t="str">
        <f>IFERROR(__xludf.DUMMYFUNCTION("""COMPUTED_VALUE"""),"React JS")</f>
        <v>React JS</v>
      </c>
      <c r="B357" s="42" t="s">
        <v>358</v>
      </c>
      <c r="C357" s="41" t="s">
        <v>1427</v>
      </c>
      <c r="D357" s="41" t="s">
        <v>1233</v>
      </c>
      <c r="E357" s="41" t="s">
        <v>4314</v>
      </c>
      <c r="N357" s="38"/>
      <c r="P357" s="42" t="str">
        <f>IFERROR(__xludf.DUMMYFUNCTION("""COMPUTED_VALUE"""),"boot")</f>
        <v>boot</v>
      </c>
      <c r="Q357" s="41" t="str">
        <f>IFERROR(__xludf.DUMMYFUNCTION("""COMPUTED_VALUE"""),"")</f>
        <v/>
      </c>
      <c r="R357" s="41" t="str">
        <f>IFERROR(__xludf.DUMMYFUNCTION("""COMPUTED_VALUE"""),"")</f>
        <v/>
      </c>
      <c r="S357" s="41" t="str">
        <f>IFERROR(__xludf.DUMMYFUNCTION("""COMPUTED_VALUE"""),"")</f>
        <v/>
      </c>
      <c r="T357" s="41" t="str">
        <f>IFERROR(__xludf.DUMMYFUNCTION("""COMPUTED_VALUE"""),"")</f>
        <v/>
      </c>
      <c r="U357" s="41" t="str">
        <f>IFERROR(__xludf.DUMMYFUNCTION("""COMPUTED_VALUE"""),"")</f>
        <v/>
      </c>
      <c r="V357" s="41" t="str">
        <f>IFERROR(__xludf.DUMMYFUNCTION("""COMPUTED_VALUE"""),"")</f>
        <v/>
      </c>
      <c r="W357" s="41" t="str">
        <f>IFERROR(__xludf.DUMMYFUNCTION("""COMPUTED_VALUE"""),"")</f>
        <v/>
      </c>
      <c r="X357" s="41" t="str">
        <f>IFERROR(__xludf.DUMMYFUNCTION("""COMPUTED_VALUE"""),"")</f>
        <v/>
      </c>
      <c r="Y357" s="41" t="str">
        <f>IFERROR(__xludf.DUMMYFUNCTION("""COMPUTED_VALUE"""),"")</f>
        <v/>
      </c>
      <c r="Z357" s="41" t="str">
        <f>IFERROR(__xludf.DUMMYFUNCTION("""COMPUTED_VALUE"""),"")</f>
        <v/>
      </c>
      <c r="AA357" s="41" t="str">
        <f>IFERROR(__xludf.DUMMYFUNCTION("""COMPUTED_VALUE"""),"")</f>
        <v/>
      </c>
      <c r="AB357" s="38" t="str">
        <f>IFERROR(__xludf.DUMMYFUNCTION("""COMPUTED_VALUE"""),"")</f>
        <v/>
      </c>
    </row>
    <row r="358">
      <c r="A358" s="41" t="str">
        <f>IFERROR(__xludf.DUMMYFUNCTION("""COMPUTED_VALUE"""),"React")</f>
        <v>React</v>
      </c>
      <c r="B358" s="42" t="s">
        <v>1009</v>
      </c>
      <c r="N358" s="38"/>
      <c r="P358" s="42" t="str">
        <f>IFERROR(__xludf.DUMMYFUNCTION("""COMPUTED_VALUE"""),"reactjs")</f>
        <v>reactjs</v>
      </c>
      <c r="Q358" s="41" t="str">
        <f>IFERROR(__xludf.DUMMYFUNCTION("""COMPUTED_VALUE"""),"")</f>
        <v/>
      </c>
      <c r="R358" s="41" t="str">
        <f>IFERROR(__xludf.DUMMYFUNCTION("""COMPUTED_VALUE"""),"")</f>
        <v/>
      </c>
      <c r="S358" s="41" t="str">
        <f>IFERROR(__xludf.DUMMYFUNCTION("""COMPUTED_VALUE"""),"")</f>
        <v/>
      </c>
      <c r="T358" s="41" t="str">
        <f>IFERROR(__xludf.DUMMYFUNCTION("""COMPUTED_VALUE"""),"")</f>
        <v/>
      </c>
      <c r="U358" s="41" t="str">
        <f>IFERROR(__xludf.DUMMYFUNCTION("""COMPUTED_VALUE"""),"")</f>
        <v/>
      </c>
      <c r="V358" s="41" t="str">
        <f>IFERROR(__xludf.DUMMYFUNCTION("""COMPUTED_VALUE"""),"")</f>
        <v/>
      </c>
      <c r="W358" s="41" t="str">
        <f>IFERROR(__xludf.DUMMYFUNCTION("""COMPUTED_VALUE"""),"")</f>
        <v/>
      </c>
      <c r="X358" s="41" t="str">
        <f>IFERROR(__xludf.DUMMYFUNCTION("""COMPUTED_VALUE"""),"")</f>
        <v/>
      </c>
      <c r="Y358" s="41" t="str">
        <f>IFERROR(__xludf.DUMMYFUNCTION("""COMPUTED_VALUE"""),"")</f>
        <v/>
      </c>
      <c r="Z358" s="41" t="str">
        <f>IFERROR(__xludf.DUMMYFUNCTION("""COMPUTED_VALUE"""),"")</f>
        <v/>
      </c>
      <c r="AA358" s="41" t="str">
        <f>IFERROR(__xludf.DUMMYFUNCTION("""COMPUTED_VALUE"""),"")</f>
        <v/>
      </c>
      <c r="AB358" s="38" t="str">
        <f>IFERROR(__xludf.DUMMYFUNCTION("""COMPUTED_VALUE"""),"")</f>
        <v/>
      </c>
    </row>
    <row r="359">
      <c r="A359" s="41" t="str">
        <f>IFERROR(__xludf.DUMMYFUNCTION("""COMPUTED_VALUE"""),"Python, AWS")</f>
        <v>Python, AWS</v>
      </c>
      <c r="B359" s="42" t="s">
        <v>1762</v>
      </c>
      <c r="N359" s="38"/>
      <c r="P359" s="42" t="str">
        <f>IFERROR(__xludf.DUMMYFUNCTION("""COMPUTED_VALUE"""),"laptop")</f>
        <v>laptop</v>
      </c>
      <c r="Q359" s="41" t="str">
        <f>IFERROR(__xludf.DUMMYFUNCTION("""COMPUTED_VALUE"""),"")</f>
        <v/>
      </c>
      <c r="R359" s="41" t="str">
        <f>IFERROR(__xludf.DUMMYFUNCTION("""COMPUTED_VALUE"""),"")</f>
        <v/>
      </c>
      <c r="S359" s="41" t="str">
        <f>IFERROR(__xludf.DUMMYFUNCTION("""COMPUTED_VALUE"""),"")</f>
        <v/>
      </c>
      <c r="T359" s="41" t="str">
        <f>IFERROR(__xludf.DUMMYFUNCTION("""COMPUTED_VALUE"""),"")</f>
        <v/>
      </c>
      <c r="U359" s="41" t="str">
        <f>IFERROR(__xludf.DUMMYFUNCTION("""COMPUTED_VALUE"""),"")</f>
        <v/>
      </c>
      <c r="V359" s="41" t="str">
        <f>IFERROR(__xludf.DUMMYFUNCTION("""COMPUTED_VALUE"""),"")</f>
        <v/>
      </c>
      <c r="W359" s="41" t="str">
        <f>IFERROR(__xludf.DUMMYFUNCTION("""COMPUTED_VALUE"""),"")</f>
        <v/>
      </c>
      <c r="X359" s="41" t="str">
        <f>IFERROR(__xludf.DUMMYFUNCTION("""COMPUTED_VALUE"""),"")</f>
        <v/>
      </c>
      <c r="Y359" s="41" t="str">
        <f>IFERROR(__xludf.DUMMYFUNCTION("""COMPUTED_VALUE"""),"")</f>
        <v/>
      </c>
      <c r="Z359" s="41" t="str">
        <f>IFERROR(__xludf.DUMMYFUNCTION("""COMPUTED_VALUE"""),"")</f>
        <v/>
      </c>
      <c r="AA359" s="41" t="str">
        <f>IFERROR(__xludf.DUMMYFUNCTION("""COMPUTED_VALUE"""),"")</f>
        <v/>
      </c>
      <c r="AB359" s="38" t="str">
        <f>IFERROR(__xludf.DUMMYFUNCTION("""COMPUTED_VALUE"""),"")</f>
        <v/>
      </c>
    </row>
    <row r="360">
      <c r="A360" s="41" t="str">
        <f>IFERROR(__xludf.DUMMYFUNCTION("""COMPUTED_VALUE"""),"Ruby")</f>
        <v>Ruby</v>
      </c>
      <c r="B360" s="42" t="s">
        <v>1979</v>
      </c>
      <c r="N360" s="38"/>
      <c r="P360" s="42" t="str">
        <f>IFERROR(__xludf.DUMMYFUNCTION("""COMPUTED_VALUE"""),"javascript")</f>
        <v>javascript</v>
      </c>
      <c r="Q360" s="41" t="str">
        <f>IFERROR(__xludf.DUMMYFUNCTION("""COMPUTED_VALUE"""),"")</f>
        <v/>
      </c>
      <c r="R360" s="41" t="str">
        <f>IFERROR(__xludf.DUMMYFUNCTION("""COMPUTED_VALUE"""),"")</f>
        <v/>
      </c>
      <c r="S360" s="41" t="str">
        <f>IFERROR(__xludf.DUMMYFUNCTION("""COMPUTED_VALUE"""),"")</f>
        <v/>
      </c>
      <c r="T360" s="41" t="str">
        <f>IFERROR(__xludf.DUMMYFUNCTION("""COMPUTED_VALUE"""),"")</f>
        <v/>
      </c>
      <c r="U360" s="41" t="str">
        <f>IFERROR(__xludf.DUMMYFUNCTION("""COMPUTED_VALUE"""),"")</f>
        <v/>
      </c>
      <c r="V360" s="41" t="str">
        <f>IFERROR(__xludf.DUMMYFUNCTION("""COMPUTED_VALUE"""),"")</f>
        <v/>
      </c>
      <c r="W360" s="41" t="str">
        <f>IFERROR(__xludf.DUMMYFUNCTION("""COMPUTED_VALUE"""),"")</f>
        <v/>
      </c>
      <c r="X360" s="41" t="str">
        <f>IFERROR(__xludf.DUMMYFUNCTION("""COMPUTED_VALUE"""),"")</f>
        <v/>
      </c>
      <c r="Y360" s="41" t="str">
        <f>IFERROR(__xludf.DUMMYFUNCTION("""COMPUTED_VALUE"""),"")</f>
        <v/>
      </c>
      <c r="Z360" s="41" t="str">
        <f>IFERROR(__xludf.DUMMYFUNCTION("""COMPUTED_VALUE"""),"")</f>
        <v/>
      </c>
      <c r="AA360" s="41" t="str">
        <f>IFERROR(__xludf.DUMMYFUNCTION("""COMPUTED_VALUE"""),"")</f>
        <v/>
      </c>
      <c r="AB360" s="38" t="str">
        <f>IFERROR(__xludf.DUMMYFUNCTION("""COMPUTED_VALUE"""),"")</f>
        <v/>
      </c>
    </row>
    <row r="361">
      <c r="A361" s="41" t="str">
        <f>IFERROR(__xludf.DUMMYFUNCTION("""COMPUTED_VALUE"""),"Python, spark, ")</f>
        <v>Python, spark, </v>
      </c>
      <c r="B361" s="42" t="s">
        <v>78</v>
      </c>
      <c r="C361" s="41" t="s">
        <v>1233</v>
      </c>
      <c r="N361" s="38"/>
      <c r="P361" s="42" t="str">
        <f>IFERROR(__xludf.DUMMYFUNCTION("""COMPUTED_VALUE"""),"aws")</f>
        <v>aws</v>
      </c>
      <c r="Q361" s="41" t="str">
        <f>IFERROR(__xludf.DUMMYFUNCTION("""COMPUTED_VALUE"""),"")</f>
        <v/>
      </c>
      <c r="R361" s="41" t="str">
        <f>IFERROR(__xludf.DUMMYFUNCTION("""COMPUTED_VALUE"""),"")</f>
        <v/>
      </c>
      <c r="S361" s="41" t="str">
        <f>IFERROR(__xludf.DUMMYFUNCTION("""COMPUTED_VALUE"""),"")</f>
        <v/>
      </c>
      <c r="T361" s="41" t="str">
        <f>IFERROR(__xludf.DUMMYFUNCTION("""COMPUTED_VALUE"""),"")</f>
        <v/>
      </c>
      <c r="U361" s="41" t="str">
        <f>IFERROR(__xludf.DUMMYFUNCTION("""COMPUTED_VALUE"""),"")</f>
        <v/>
      </c>
      <c r="V361" s="41" t="str">
        <f>IFERROR(__xludf.DUMMYFUNCTION("""COMPUTED_VALUE"""),"")</f>
        <v/>
      </c>
      <c r="W361" s="41" t="str">
        <f>IFERROR(__xludf.DUMMYFUNCTION("""COMPUTED_VALUE"""),"")</f>
        <v/>
      </c>
      <c r="X361" s="41" t="str">
        <f>IFERROR(__xludf.DUMMYFUNCTION("""COMPUTED_VALUE"""),"")</f>
        <v/>
      </c>
      <c r="Y361" s="41" t="str">
        <f>IFERROR(__xludf.DUMMYFUNCTION("""COMPUTED_VALUE"""),"")</f>
        <v/>
      </c>
      <c r="Z361" s="41" t="str">
        <f>IFERROR(__xludf.DUMMYFUNCTION("""COMPUTED_VALUE"""),"")</f>
        <v/>
      </c>
      <c r="AA361" s="41" t="str">
        <f>IFERROR(__xludf.DUMMYFUNCTION("""COMPUTED_VALUE"""),"")</f>
        <v/>
      </c>
      <c r="AB361" s="38" t="str">
        <f>IFERROR(__xludf.DUMMYFUNCTION("""COMPUTED_VALUE"""),"")</f>
        <v/>
      </c>
    </row>
    <row r="362">
      <c r="A362" s="41" t="str">
        <f>IFERROR(__xludf.DUMMYFUNCTION("""COMPUTED_VALUE"""),"Python")</f>
        <v>Python</v>
      </c>
      <c r="B362" s="42" t="s">
        <v>1393</v>
      </c>
      <c r="N362" s="38"/>
      <c r="P362" s="42" t="str">
        <f>IFERROR(__xludf.DUMMYFUNCTION("""COMPUTED_VALUE"""),"macbook")</f>
        <v>macbook</v>
      </c>
      <c r="Q362" s="41" t="str">
        <f>IFERROR(__xludf.DUMMYFUNCTION("""COMPUTED_VALUE"""),"")</f>
        <v/>
      </c>
      <c r="R362" s="41" t="str">
        <f>IFERROR(__xludf.DUMMYFUNCTION("""COMPUTED_VALUE"""),"")</f>
        <v/>
      </c>
      <c r="S362" s="41" t="str">
        <f>IFERROR(__xludf.DUMMYFUNCTION("""COMPUTED_VALUE"""),"")</f>
        <v/>
      </c>
      <c r="T362" s="41" t="str">
        <f>IFERROR(__xludf.DUMMYFUNCTION("""COMPUTED_VALUE"""),"")</f>
        <v/>
      </c>
      <c r="U362" s="41" t="str">
        <f>IFERROR(__xludf.DUMMYFUNCTION("""COMPUTED_VALUE"""),"")</f>
        <v/>
      </c>
      <c r="V362" s="41" t="str">
        <f>IFERROR(__xludf.DUMMYFUNCTION("""COMPUTED_VALUE"""),"")</f>
        <v/>
      </c>
      <c r="W362" s="41" t="str">
        <f>IFERROR(__xludf.DUMMYFUNCTION("""COMPUTED_VALUE"""),"")</f>
        <v/>
      </c>
      <c r="X362" s="41" t="str">
        <f>IFERROR(__xludf.DUMMYFUNCTION("""COMPUTED_VALUE"""),"")</f>
        <v/>
      </c>
      <c r="Y362" s="41" t="str">
        <f>IFERROR(__xludf.DUMMYFUNCTION("""COMPUTED_VALUE"""),"")</f>
        <v/>
      </c>
      <c r="Z362" s="41" t="str">
        <f>IFERROR(__xludf.DUMMYFUNCTION("""COMPUTED_VALUE"""),"")</f>
        <v/>
      </c>
      <c r="AA362" s="41" t="str">
        <f>IFERROR(__xludf.DUMMYFUNCTION("""COMPUTED_VALUE"""),"")</f>
        <v/>
      </c>
      <c r="AB362" s="38" t="str">
        <f>IFERROR(__xludf.DUMMYFUNCTION("""COMPUTED_VALUE"""),"")</f>
        <v/>
      </c>
    </row>
    <row r="363">
      <c r="A363" s="41" t="str">
        <f>IFERROR(__xludf.DUMMYFUNCTION("""COMPUTED_VALUE"""),"python, tensorflow, django, postgresql, vuejs ")</f>
        <v>python, tensorflow, django, postgresql, vuejs </v>
      </c>
      <c r="B363" s="42" t="s">
        <v>78</v>
      </c>
      <c r="C363" s="41" t="s">
        <v>4377</v>
      </c>
      <c r="D363" s="41" t="s">
        <v>839</v>
      </c>
      <c r="N363" s="38"/>
      <c r="P363" s="42" t="str">
        <f>IFERROR(__xludf.DUMMYFUNCTION("""COMPUTED_VALUE"""),"golang")</f>
        <v>golang</v>
      </c>
      <c r="Q363" s="41" t="str">
        <f>IFERROR(__xludf.DUMMYFUNCTION("""COMPUTED_VALUE"""),"")</f>
        <v/>
      </c>
      <c r="R363" s="41" t="str">
        <f>IFERROR(__xludf.DUMMYFUNCTION("""COMPUTED_VALUE"""),"")</f>
        <v/>
      </c>
      <c r="S363" s="41" t="str">
        <f>IFERROR(__xludf.DUMMYFUNCTION("""COMPUTED_VALUE"""),"")</f>
        <v/>
      </c>
      <c r="T363" s="41" t="str">
        <f>IFERROR(__xludf.DUMMYFUNCTION("""COMPUTED_VALUE"""),"")</f>
        <v/>
      </c>
      <c r="U363" s="41" t="str">
        <f>IFERROR(__xludf.DUMMYFUNCTION("""COMPUTED_VALUE"""),"")</f>
        <v/>
      </c>
      <c r="V363" s="41" t="str">
        <f>IFERROR(__xludf.DUMMYFUNCTION("""COMPUTED_VALUE"""),"")</f>
        <v/>
      </c>
      <c r="W363" s="41" t="str">
        <f>IFERROR(__xludf.DUMMYFUNCTION("""COMPUTED_VALUE"""),"")</f>
        <v/>
      </c>
      <c r="X363" s="41" t="str">
        <f>IFERROR(__xludf.DUMMYFUNCTION("""COMPUTED_VALUE"""),"")</f>
        <v/>
      </c>
      <c r="Y363" s="41" t="str">
        <f>IFERROR(__xludf.DUMMYFUNCTION("""COMPUTED_VALUE"""),"")</f>
        <v/>
      </c>
      <c r="Z363" s="41" t="str">
        <f>IFERROR(__xludf.DUMMYFUNCTION("""COMPUTED_VALUE"""),"")</f>
        <v/>
      </c>
      <c r="AA363" s="41" t="str">
        <f>IFERROR(__xludf.DUMMYFUNCTION("""COMPUTED_VALUE"""),"")</f>
        <v/>
      </c>
      <c r="AB363" s="38" t="str">
        <f>IFERROR(__xludf.DUMMYFUNCTION("""COMPUTED_VALUE"""),"")</f>
        <v/>
      </c>
    </row>
    <row r="364">
      <c r="A364" s="41" t="str">
        <f>IFERROR(__xludf.DUMMYFUNCTION("""COMPUTED_VALUE"""),"C#, SQL Server")</f>
        <v>C#, SQL Server</v>
      </c>
      <c r="B364" s="42" t="s">
        <v>78</v>
      </c>
      <c r="N364" s="38"/>
      <c r="P364" s="42" t="str">
        <f>IFERROR(__xludf.DUMMYFUNCTION("""COMPUTED_VALUE"""),"java")</f>
        <v>java</v>
      </c>
      <c r="Q364" s="41" t="str">
        <f>IFERROR(__xludf.DUMMYFUNCTION("""COMPUTED_VALUE"""),"")</f>
        <v/>
      </c>
      <c r="R364" s="41" t="str">
        <f>IFERROR(__xludf.DUMMYFUNCTION("""COMPUTED_VALUE"""),"")</f>
        <v/>
      </c>
      <c r="S364" s="41" t="str">
        <f>IFERROR(__xludf.DUMMYFUNCTION("""COMPUTED_VALUE"""),"")</f>
        <v/>
      </c>
      <c r="T364" s="41" t="str">
        <f>IFERROR(__xludf.DUMMYFUNCTION("""COMPUTED_VALUE"""),"")</f>
        <v/>
      </c>
      <c r="U364" s="41" t="str">
        <f>IFERROR(__xludf.DUMMYFUNCTION("""COMPUTED_VALUE"""),"")</f>
        <v/>
      </c>
      <c r="V364" s="41" t="str">
        <f>IFERROR(__xludf.DUMMYFUNCTION("""COMPUTED_VALUE"""),"")</f>
        <v/>
      </c>
      <c r="W364" s="41" t="str">
        <f>IFERROR(__xludf.DUMMYFUNCTION("""COMPUTED_VALUE"""),"")</f>
        <v/>
      </c>
      <c r="X364" s="41" t="str">
        <f>IFERROR(__xludf.DUMMYFUNCTION("""COMPUTED_VALUE"""),"")</f>
        <v/>
      </c>
      <c r="Y364" s="41" t="str">
        <f>IFERROR(__xludf.DUMMYFUNCTION("""COMPUTED_VALUE"""),"")</f>
        <v/>
      </c>
      <c r="Z364" s="41" t="str">
        <f>IFERROR(__xludf.DUMMYFUNCTION("""COMPUTED_VALUE"""),"")</f>
        <v/>
      </c>
      <c r="AA364" s="41" t="str">
        <f>IFERROR(__xludf.DUMMYFUNCTION("""COMPUTED_VALUE"""),"")</f>
        <v/>
      </c>
      <c r="AB364" s="38" t="str">
        <f>IFERROR(__xludf.DUMMYFUNCTION("""COMPUTED_VALUE"""),"")</f>
        <v/>
      </c>
    </row>
    <row r="365">
      <c r="A365" s="41" t="str">
        <f>IFERROR(__xludf.DUMMYFUNCTION("""COMPUTED_VALUE"""),"JavaScript ")</f>
        <v>JavaScript </v>
      </c>
      <c r="B365" s="42" t="s">
        <v>508</v>
      </c>
      <c r="C365" s="41" t="s">
        <v>4378</v>
      </c>
      <c r="D365" s="41" t="s">
        <v>4242</v>
      </c>
      <c r="E365" s="41" t="s">
        <v>4379</v>
      </c>
      <c r="F365" s="41" t="s">
        <v>270</v>
      </c>
      <c r="N365" s="38"/>
      <c r="P365" s="42" t="str">
        <f>IFERROR(__xludf.DUMMYFUNCTION("""COMPUTED_VALUE"""),"ruby")</f>
        <v>ruby</v>
      </c>
      <c r="Q365" s="41" t="str">
        <f>IFERROR(__xludf.DUMMYFUNCTION("""COMPUTED_VALUE"""),"")</f>
        <v/>
      </c>
      <c r="R365" s="41" t="str">
        <f>IFERROR(__xludf.DUMMYFUNCTION("""COMPUTED_VALUE"""),"")</f>
        <v/>
      </c>
      <c r="S365" s="41" t="str">
        <f>IFERROR(__xludf.DUMMYFUNCTION("""COMPUTED_VALUE"""),"")</f>
        <v/>
      </c>
      <c r="T365" s="41" t="str">
        <f>IFERROR(__xludf.DUMMYFUNCTION("""COMPUTED_VALUE"""),"")</f>
        <v/>
      </c>
      <c r="U365" s="41" t="str">
        <f>IFERROR(__xludf.DUMMYFUNCTION("""COMPUTED_VALUE"""),"")</f>
        <v/>
      </c>
      <c r="V365" s="41" t="str">
        <f>IFERROR(__xludf.DUMMYFUNCTION("""COMPUTED_VALUE"""),"")</f>
        <v/>
      </c>
      <c r="W365" s="41" t="str">
        <f>IFERROR(__xludf.DUMMYFUNCTION("""COMPUTED_VALUE"""),"")</f>
        <v/>
      </c>
      <c r="X365" s="41" t="str">
        <f>IFERROR(__xludf.DUMMYFUNCTION("""COMPUTED_VALUE"""),"")</f>
        <v/>
      </c>
      <c r="Y365" s="41" t="str">
        <f>IFERROR(__xludf.DUMMYFUNCTION("""COMPUTED_VALUE"""),"")</f>
        <v/>
      </c>
      <c r="Z365" s="41" t="str">
        <f>IFERROR(__xludf.DUMMYFUNCTION("""COMPUTED_VALUE"""),"")</f>
        <v/>
      </c>
      <c r="AA365" s="41" t="str">
        <f>IFERROR(__xludf.DUMMYFUNCTION("""COMPUTED_VALUE"""),"")</f>
        <v/>
      </c>
      <c r="AB365" s="38" t="str">
        <f>IFERROR(__xludf.DUMMYFUNCTION("""COMPUTED_VALUE"""),"")</f>
        <v/>
      </c>
    </row>
    <row r="366">
      <c r="A366" s="41" t="str">
        <f>IFERROR(__xludf.DUMMYFUNCTION("""COMPUTED_VALUE"""),"SQL")</f>
        <v>SQL</v>
      </c>
      <c r="B366" s="42" t="s">
        <v>809</v>
      </c>
      <c r="C366" s="41" t="s">
        <v>4254</v>
      </c>
      <c r="N366" s="38"/>
      <c r="P366" s="42" t="str">
        <f>IFERROR(__xludf.DUMMYFUNCTION("""COMPUTED_VALUE"""),"on")</f>
        <v>on</v>
      </c>
      <c r="Q366" s="41" t="str">
        <f>IFERROR(__xludf.DUMMYFUNCTION("""COMPUTED_VALUE"""),"")</f>
        <v/>
      </c>
      <c r="R366" s="41" t="str">
        <f>IFERROR(__xludf.DUMMYFUNCTION("""COMPUTED_VALUE"""),"")</f>
        <v/>
      </c>
      <c r="S366" s="41" t="str">
        <f>IFERROR(__xludf.DUMMYFUNCTION("""COMPUTED_VALUE"""),"")</f>
        <v/>
      </c>
      <c r="T366" s="41" t="str">
        <f>IFERROR(__xludf.DUMMYFUNCTION("""COMPUTED_VALUE"""),"")</f>
        <v/>
      </c>
      <c r="U366" s="41" t="str">
        <f>IFERROR(__xludf.DUMMYFUNCTION("""COMPUTED_VALUE"""),"")</f>
        <v/>
      </c>
      <c r="V366" s="41" t="str">
        <f>IFERROR(__xludf.DUMMYFUNCTION("""COMPUTED_VALUE"""),"")</f>
        <v/>
      </c>
      <c r="W366" s="41" t="str">
        <f>IFERROR(__xludf.DUMMYFUNCTION("""COMPUTED_VALUE"""),"")</f>
        <v/>
      </c>
      <c r="X366" s="41" t="str">
        <f>IFERROR(__xludf.DUMMYFUNCTION("""COMPUTED_VALUE"""),"")</f>
        <v/>
      </c>
      <c r="Y366" s="41" t="str">
        <f>IFERROR(__xludf.DUMMYFUNCTION("""COMPUTED_VALUE"""),"")</f>
        <v/>
      </c>
      <c r="Z366" s="41" t="str">
        <f>IFERROR(__xludf.DUMMYFUNCTION("""COMPUTED_VALUE"""),"")</f>
        <v/>
      </c>
      <c r="AA366" s="41" t="str">
        <f>IFERROR(__xludf.DUMMYFUNCTION("""COMPUTED_VALUE"""),"")</f>
        <v/>
      </c>
      <c r="AB366" s="38" t="str">
        <f>IFERROR(__xludf.DUMMYFUNCTION("""COMPUTED_VALUE"""),"")</f>
        <v/>
      </c>
    </row>
    <row r="367">
      <c r="A367" s="41" t="str">
        <f>IFERROR(__xludf.DUMMYFUNCTION("""COMPUTED_VALUE"""),"Python, AWS Stack, Pyspark, SQL, Tableau, MS Excel")</f>
        <v>Python, AWS Stack, Pyspark, SQL, Tableau, MS Excel</v>
      </c>
      <c r="B367" s="42" t="s">
        <v>731</v>
      </c>
      <c r="N367" s="38"/>
      <c r="P367" s="42" t="str">
        <f>IFERROR(__xludf.DUMMYFUNCTION("""COMPUTED_VALUE"""),"rails")</f>
        <v>rails</v>
      </c>
      <c r="Q367" s="41" t="str">
        <f>IFERROR(__xludf.DUMMYFUNCTION("""COMPUTED_VALUE"""),"")</f>
        <v/>
      </c>
      <c r="R367" s="41" t="str">
        <f>IFERROR(__xludf.DUMMYFUNCTION("""COMPUTED_VALUE"""),"")</f>
        <v/>
      </c>
      <c r="S367" s="41" t="str">
        <f>IFERROR(__xludf.DUMMYFUNCTION("""COMPUTED_VALUE"""),"")</f>
        <v/>
      </c>
      <c r="T367" s="41" t="str">
        <f>IFERROR(__xludf.DUMMYFUNCTION("""COMPUTED_VALUE"""),"")</f>
        <v/>
      </c>
      <c r="U367" s="41" t="str">
        <f>IFERROR(__xludf.DUMMYFUNCTION("""COMPUTED_VALUE"""),"")</f>
        <v/>
      </c>
      <c r="V367" s="41" t="str">
        <f>IFERROR(__xludf.DUMMYFUNCTION("""COMPUTED_VALUE"""),"")</f>
        <v/>
      </c>
      <c r="W367" s="41" t="str">
        <f>IFERROR(__xludf.DUMMYFUNCTION("""COMPUTED_VALUE"""),"")</f>
        <v/>
      </c>
      <c r="X367" s="41" t="str">
        <f>IFERROR(__xludf.DUMMYFUNCTION("""COMPUTED_VALUE"""),"")</f>
        <v/>
      </c>
      <c r="Y367" s="41" t="str">
        <f>IFERROR(__xludf.DUMMYFUNCTION("""COMPUTED_VALUE"""),"")</f>
        <v/>
      </c>
      <c r="Z367" s="41" t="str">
        <f>IFERROR(__xludf.DUMMYFUNCTION("""COMPUTED_VALUE"""),"")</f>
        <v/>
      </c>
      <c r="AA367" s="41" t="str">
        <f>IFERROR(__xludf.DUMMYFUNCTION("""COMPUTED_VALUE"""),"")</f>
        <v/>
      </c>
      <c r="AB367" s="38" t="str">
        <f>IFERROR(__xludf.DUMMYFUNCTION("""COMPUTED_VALUE"""),"")</f>
        <v/>
      </c>
    </row>
    <row r="368">
      <c r="A368" s="41" t="str">
        <f>IFERROR(__xludf.DUMMYFUNCTION("""COMPUTED_VALUE"""),"SQL, python, power bi")</f>
        <v>SQL, python, power bi</v>
      </c>
      <c r="B368" s="42" t="s">
        <v>2094</v>
      </c>
      <c r="N368" s="38"/>
      <c r="P368" s="42" t="str">
        <f>IFERROR(__xludf.DUMMYFUNCTION("""COMPUTED_VALUE"""),"nodejs")</f>
        <v>nodejs</v>
      </c>
      <c r="Q368" s="41" t="str">
        <f>IFERROR(__xludf.DUMMYFUNCTION("""COMPUTED_VALUE"""),"")</f>
        <v/>
      </c>
      <c r="R368" s="41" t="str">
        <f>IFERROR(__xludf.DUMMYFUNCTION("""COMPUTED_VALUE"""),"")</f>
        <v/>
      </c>
      <c r="S368" s="41" t="str">
        <f>IFERROR(__xludf.DUMMYFUNCTION("""COMPUTED_VALUE"""),"")</f>
        <v/>
      </c>
      <c r="T368" s="41" t="str">
        <f>IFERROR(__xludf.DUMMYFUNCTION("""COMPUTED_VALUE"""),"")</f>
        <v/>
      </c>
      <c r="U368" s="41" t="str">
        <f>IFERROR(__xludf.DUMMYFUNCTION("""COMPUTED_VALUE"""),"")</f>
        <v/>
      </c>
      <c r="V368" s="41" t="str">
        <f>IFERROR(__xludf.DUMMYFUNCTION("""COMPUTED_VALUE"""),"")</f>
        <v/>
      </c>
      <c r="W368" s="41" t="str">
        <f>IFERROR(__xludf.DUMMYFUNCTION("""COMPUTED_VALUE"""),"")</f>
        <v/>
      </c>
      <c r="X368" s="41" t="str">
        <f>IFERROR(__xludf.DUMMYFUNCTION("""COMPUTED_VALUE"""),"")</f>
        <v/>
      </c>
      <c r="Y368" s="41" t="str">
        <f>IFERROR(__xludf.DUMMYFUNCTION("""COMPUTED_VALUE"""),"")</f>
        <v/>
      </c>
      <c r="Z368" s="41" t="str">
        <f>IFERROR(__xludf.DUMMYFUNCTION("""COMPUTED_VALUE"""),"")</f>
        <v/>
      </c>
      <c r="AA368" s="41" t="str">
        <f>IFERROR(__xludf.DUMMYFUNCTION("""COMPUTED_VALUE"""),"")</f>
        <v/>
      </c>
      <c r="AB368" s="38" t="str">
        <f>IFERROR(__xludf.DUMMYFUNCTION("""COMPUTED_VALUE"""),"")</f>
        <v/>
      </c>
    </row>
    <row r="369">
      <c r="A369" s="41" t="str">
        <f>IFERROR(__xludf.DUMMYFUNCTION("""COMPUTED_VALUE"""),"Kotlin")</f>
        <v>Kotlin</v>
      </c>
      <c r="B369" s="42" t="s">
        <v>78</v>
      </c>
      <c r="C369" s="41" t="s">
        <v>4380</v>
      </c>
      <c r="D369" s="41" t="s">
        <v>4381</v>
      </c>
      <c r="E369" s="41" t="s">
        <v>2094</v>
      </c>
      <c r="F369" s="41" t="s">
        <v>4382</v>
      </c>
      <c r="G369" s="41" t="s">
        <v>4383</v>
      </c>
      <c r="N369" s="38"/>
      <c r="P369" s="42" t="str">
        <f>IFERROR(__xludf.DUMMYFUNCTION("""COMPUTED_VALUE"""),"laravel")</f>
        <v>laravel</v>
      </c>
      <c r="Q369" s="41" t="str">
        <f>IFERROR(__xludf.DUMMYFUNCTION("""COMPUTED_VALUE"""),"")</f>
        <v/>
      </c>
      <c r="R369" s="41" t="str">
        <f>IFERROR(__xludf.DUMMYFUNCTION("""COMPUTED_VALUE"""),"")</f>
        <v/>
      </c>
      <c r="S369" s="41" t="str">
        <f>IFERROR(__xludf.DUMMYFUNCTION("""COMPUTED_VALUE"""),"")</f>
        <v/>
      </c>
      <c r="T369" s="41" t="str">
        <f>IFERROR(__xludf.DUMMYFUNCTION("""COMPUTED_VALUE"""),"")</f>
        <v/>
      </c>
      <c r="U369" s="41" t="str">
        <f>IFERROR(__xludf.DUMMYFUNCTION("""COMPUTED_VALUE"""),"")</f>
        <v/>
      </c>
      <c r="V369" s="41" t="str">
        <f>IFERROR(__xludf.DUMMYFUNCTION("""COMPUTED_VALUE"""),"")</f>
        <v/>
      </c>
      <c r="W369" s="41" t="str">
        <f>IFERROR(__xludf.DUMMYFUNCTION("""COMPUTED_VALUE"""),"")</f>
        <v/>
      </c>
      <c r="X369" s="41" t="str">
        <f>IFERROR(__xludf.DUMMYFUNCTION("""COMPUTED_VALUE"""),"")</f>
        <v/>
      </c>
      <c r="Y369" s="41" t="str">
        <f>IFERROR(__xludf.DUMMYFUNCTION("""COMPUTED_VALUE"""),"")</f>
        <v/>
      </c>
      <c r="Z369" s="41" t="str">
        <f>IFERROR(__xludf.DUMMYFUNCTION("""COMPUTED_VALUE"""),"")</f>
        <v/>
      </c>
      <c r="AA369" s="41" t="str">
        <f>IFERROR(__xludf.DUMMYFUNCTION("""COMPUTED_VALUE"""),"")</f>
        <v/>
      </c>
      <c r="AB369" s="38" t="str">
        <f>IFERROR(__xludf.DUMMYFUNCTION("""COMPUTED_VALUE"""),"")</f>
        <v/>
      </c>
    </row>
    <row r="370">
      <c r="A370" s="41" t="str">
        <f>IFERROR(__xludf.DUMMYFUNCTION("""COMPUTED_VALUE"""),"JMP, Python")</f>
        <v>JMP, Python</v>
      </c>
      <c r="B370" s="42" t="s">
        <v>2094</v>
      </c>
      <c r="C370" s="41" t="s">
        <v>508</v>
      </c>
      <c r="D370" s="41" t="s">
        <v>4384</v>
      </c>
      <c r="N370" s="38"/>
      <c r="P370" s="42" t="str">
        <f>IFERROR(__xludf.DUMMYFUNCTION("""COMPUTED_VALUE"""),"react")</f>
        <v>react</v>
      </c>
      <c r="Q370" s="41" t="str">
        <f>IFERROR(__xludf.DUMMYFUNCTION("""COMPUTED_VALUE"""),"")</f>
        <v/>
      </c>
      <c r="R370" s="41" t="str">
        <f>IFERROR(__xludf.DUMMYFUNCTION("""COMPUTED_VALUE"""),"")</f>
        <v/>
      </c>
      <c r="S370" s="41" t="str">
        <f>IFERROR(__xludf.DUMMYFUNCTION("""COMPUTED_VALUE"""),"")</f>
        <v/>
      </c>
      <c r="T370" s="41" t="str">
        <f>IFERROR(__xludf.DUMMYFUNCTION("""COMPUTED_VALUE"""),"")</f>
        <v/>
      </c>
      <c r="U370" s="41" t="str">
        <f>IFERROR(__xludf.DUMMYFUNCTION("""COMPUTED_VALUE"""),"")</f>
        <v/>
      </c>
      <c r="V370" s="41" t="str">
        <f>IFERROR(__xludf.DUMMYFUNCTION("""COMPUTED_VALUE"""),"")</f>
        <v/>
      </c>
      <c r="W370" s="41" t="str">
        <f>IFERROR(__xludf.DUMMYFUNCTION("""COMPUTED_VALUE"""),"")</f>
        <v/>
      </c>
      <c r="X370" s="41" t="str">
        <f>IFERROR(__xludf.DUMMYFUNCTION("""COMPUTED_VALUE"""),"")</f>
        <v/>
      </c>
      <c r="Y370" s="41" t="str">
        <f>IFERROR(__xludf.DUMMYFUNCTION("""COMPUTED_VALUE"""),"")</f>
        <v/>
      </c>
      <c r="Z370" s="41" t="str">
        <f>IFERROR(__xludf.DUMMYFUNCTION("""COMPUTED_VALUE"""),"")</f>
        <v/>
      </c>
      <c r="AA370" s="41" t="str">
        <f>IFERROR(__xludf.DUMMYFUNCTION("""COMPUTED_VALUE"""),"")</f>
        <v/>
      </c>
      <c r="AB370" s="38" t="str">
        <f>IFERROR(__xludf.DUMMYFUNCTION("""COMPUTED_VALUE"""),"")</f>
        <v/>
      </c>
    </row>
    <row r="371">
      <c r="A371" s="41" t="str">
        <f>IFERROR(__xludf.DUMMYFUNCTION("""COMPUTED_VALUE"""),"react js, laravel, redux, typescript, nginx, react native, linux hosting")</f>
        <v>react js, laravel, redux, typescript, nginx, react native, linux hosting</v>
      </c>
      <c r="B371" s="42" t="s">
        <v>170</v>
      </c>
      <c r="N371" s="38"/>
      <c r="P371" s="42" t="str">
        <f>IFERROR(__xludf.DUMMYFUNCTION("""COMPUTED_VALUE"""),"haskell")</f>
        <v>haskell</v>
      </c>
      <c r="Q371" s="41" t="str">
        <f>IFERROR(__xludf.DUMMYFUNCTION("""COMPUTED_VALUE"""),"")</f>
        <v/>
      </c>
      <c r="R371" s="41" t="str">
        <f>IFERROR(__xludf.DUMMYFUNCTION("""COMPUTED_VALUE"""),"")</f>
        <v/>
      </c>
      <c r="S371" s="41" t="str">
        <f>IFERROR(__xludf.DUMMYFUNCTION("""COMPUTED_VALUE"""),"")</f>
        <v/>
      </c>
      <c r="T371" s="41" t="str">
        <f>IFERROR(__xludf.DUMMYFUNCTION("""COMPUTED_VALUE"""),"")</f>
        <v/>
      </c>
      <c r="U371" s="41" t="str">
        <f>IFERROR(__xludf.DUMMYFUNCTION("""COMPUTED_VALUE"""),"")</f>
        <v/>
      </c>
      <c r="V371" s="41" t="str">
        <f>IFERROR(__xludf.DUMMYFUNCTION("""COMPUTED_VALUE"""),"")</f>
        <v/>
      </c>
      <c r="W371" s="41" t="str">
        <f>IFERROR(__xludf.DUMMYFUNCTION("""COMPUTED_VALUE"""),"")</f>
        <v/>
      </c>
      <c r="X371" s="41" t="str">
        <f>IFERROR(__xludf.DUMMYFUNCTION("""COMPUTED_VALUE"""),"")</f>
        <v/>
      </c>
      <c r="Y371" s="41" t="str">
        <f>IFERROR(__xludf.DUMMYFUNCTION("""COMPUTED_VALUE"""),"")</f>
        <v/>
      </c>
      <c r="Z371" s="41" t="str">
        <f>IFERROR(__xludf.DUMMYFUNCTION("""COMPUTED_VALUE"""),"")</f>
        <v/>
      </c>
      <c r="AA371" s="41" t="str">
        <f>IFERROR(__xludf.DUMMYFUNCTION("""COMPUTED_VALUE"""),"")</f>
        <v/>
      </c>
      <c r="AB371" s="38" t="str">
        <f>IFERROR(__xludf.DUMMYFUNCTION("""COMPUTED_VALUE"""),"")</f>
        <v/>
      </c>
    </row>
    <row r="372">
      <c r="A372" s="41" t="str">
        <f>IFERROR(__xludf.DUMMYFUNCTION("""COMPUTED_VALUE"""),"Ruby on Rails, Docker, SQL")</f>
        <v>Ruby on Rails, Docker, SQL</v>
      </c>
      <c r="B372" s="42" t="s">
        <v>4385</v>
      </c>
      <c r="C372" s="41" t="s">
        <v>78</v>
      </c>
      <c r="N372" s="38"/>
      <c r="P372" s="42" t="str">
        <f>IFERROR(__xludf.DUMMYFUNCTION("""COMPUTED_VALUE"""),"java")</f>
        <v>java</v>
      </c>
      <c r="Q372" s="41" t="str">
        <f>IFERROR(__xludf.DUMMYFUNCTION("""COMPUTED_VALUE"""),"")</f>
        <v/>
      </c>
      <c r="R372" s="41" t="str">
        <f>IFERROR(__xludf.DUMMYFUNCTION("""COMPUTED_VALUE"""),"")</f>
        <v/>
      </c>
      <c r="S372" s="41" t="str">
        <f>IFERROR(__xludf.DUMMYFUNCTION("""COMPUTED_VALUE"""),"")</f>
        <v/>
      </c>
      <c r="T372" s="41" t="str">
        <f>IFERROR(__xludf.DUMMYFUNCTION("""COMPUTED_VALUE"""),"")</f>
        <v/>
      </c>
      <c r="U372" s="41" t="str">
        <f>IFERROR(__xludf.DUMMYFUNCTION("""COMPUTED_VALUE"""),"")</f>
        <v/>
      </c>
      <c r="V372" s="41" t="str">
        <f>IFERROR(__xludf.DUMMYFUNCTION("""COMPUTED_VALUE"""),"")</f>
        <v/>
      </c>
      <c r="W372" s="41" t="str">
        <f>IFERROR(__xludf.DUMMYFUNCTION("""COMPUTED_VALUE"""),"")</f>
        <v/>
      </c>
      <c r="X372" s="41" t="str">
        <f>IFERROR(__xludf.DUMMYFUNCTION("""COMPUTED_VALUE"""),"")</f>
        <v/>
      </c>
      <c r="Y372" s="41" t="str">
        <f>IFERROR(__xludf.DUMMYFUNCTION("""COMPUTED_VALUE"""),"")</f>
        <v/>
      </c>
      <c r="Z372" s="41" t="str">
        <f>IFERROR(__xludf.DUMMYFUNCTION("""COMPUTED_VALUE"""),"")</f>
        <v/>
      </c>
      <c r="AA372" s="41" t="str">
        <f>IFERROR(__xludf.DUMMYFUNCTION("""COMPUTED_VALUE"""),"")</f>
        <v/>
      </c>
      <c r="AB372" s="38" t="str">
        <f>IFERROR(__xludf.DUMMYFUNCTION("""COMPUTED_VALUE"""),"")</f>
        <v/>
      </c>
    </row>
    <row r="373">
      <c r="A373" s="41" t="str">
        <f>IFERROR(__xludf.DUMMYFUNCTION("""COMPUTED_VALUE"""),"C#, C++, Python, Web Dev, Backend, Data Distributed System, AI infusion, Desktop App dev")</f>
        <v>C#, C++, Python, Web Dev, Backend, Data Distributed System, AI infusion, Desktop App dev</v>
      </c>
      <c r="B373" s="42" t="s">
        <v>4386</v>
      </c>
      <c r="C373" s="41" t="s">
        <v>1436</v>
      </c>
      <c r="D373" s="41" t="s">
        <v>4387</v>
      </c>
      <c r="E373" s="41" t="s">
        <v>4237</v>
      </c>
      <c r="F373" s="41" t="s">
        <v>4388</v>
      </c>
      <c r="G373" s="41" t="s">
        <v>4312</v>
      </c>
      <c r="H373" s="41" t="s">
        <v>4389</v>
      </c>
      <c r="N373" s="38"/>
      <c r="P373" s="42" t="str">
        <f>IFERROR(__xludf.DUMMYFUNCTION("""COMPUTED_VALUE"""),"ee")</f>
        <v>ee</v>
      </c>
      <c r="Q373" s="41" t="str">
        <f>IFERROR(__xludf.DUMMYFUNCTION("""COMPUTED_VALUE"""),"")</f>
        <v/>
      </c>
      <c r="R373" s="41" t="str">
        <f>IFERROR(__xludf.DUMMYFUNCTION("""COMPUTED_VALUE"""),"")</f>
        <v/>
      </c>
      <c r="S373" s="41" t="str">
        <f>IFERROR(__xludf.DUMMYFUNCTION("""COMPUTED_VALUE"""),"")</f>
        <v/>
      </c>
      <c r="T373" s="41" t="str">
        <f>IFERROR(__xludf.DUMMYFUNCTION("""COMPUTED_VALUE"""),"")</f>
        <v/>
      </c>
      <c r="U373" s="41" t="str">
        <f>IFERROR(__xludf.DUMMYFUNCTION("""COMPUTED_VALUE"""),"")</f>
        <v/>
      </c>
      <c r="V373" s="41" t="str">
        <f>IFERROR(__xludf.DUMMYFUNCTION("""COMPUTED_VALUE"""),"")</f>
        <v/>
      </c>
      <c r="W373" s="41" t="str">
        <f>IFERROR(__xludf.DUMMYFUNCTION("""COMPUTED_VALUE"""),"")</f>
        <v/>
      </c>
      <c r="X373" s="41" t="str">
        <f>IFERROR(__xludf.DUMMYFUNCTION("""COMPUTED_VALUE"""),"")</f>
        <v/>
      </c>
      <c r="Y373" s="41" t="str">
        <f>IFERROR(__xludf.DUMMYFUNCTION("""COMPUTED_VALUE"""),"")</f>
        <v/>
      </c>
      <c r="Z373" s="41" t="str">
        <f>IFERROR(__xludf.DUMMYFUNCTION("""COMPUTED_VALUE"""),"")</f>
        <v/>
      </c>
      <c r="AA373" s="41" t="str">
        <f>IFERROR(__xludf.DUMMYFUNCTION("""COMPUTED_VALUE"""),"")</f>
        <v/>
      </c>
      <c r="AB373" s="38" t="str">
        <f>IFERROR(__xludf.DUMMYFUNCTION("""COMPUTED_VALUE"""),"")</f>
        <v/>
      </c>
    </row>
    <row r="374">
      <c r="A374" s="41" t="str">
        <f>IFERROR(__xludf.DUMMYFUNCTION("""COMPUTED_VALUE"""),"GCP, Java, Ruby ")</f>
        <v>GCP, Java, Ruby </v>
      </c>
      <c r="B374" s="42" t="s">
        <v>358</v>
      </c>
      <c r="C374" s="41" t="s">
        <v>3663</v>
      </c>
      <c r="D374" s="41" t="s">
        <v>2094</v>
      </c>
      <c r="N374" s="38"/>
      <c r="P374" s="42" t="str">
        <f>IFERROR(__xludf.DUMMYFUNCTION("""COMPUTED_VALUE"""),"react")</f>
        <v>react</v>
      </c>
      <c r="Q374" s="41" t="str">
        <f>IFERROR(__xludf.DUMMYFUNCTION("""COMPUTED_VALUE"""),"")</f>
        <v/>
      </c>
      <c r="R374" s="41" t="str">
        <f>IFERROR(__xludf.DUMMYFUNCTION("""COMPUTED_VALUE"""),"")</f>
        <v/>
      </c>
      <c r="S374" s="41" t="str">
        <f>IFERROR(__xludf.DUMMYFUNCTION("""COMPUTED_VALUE"""),"")</f>
        <v/>
      </c>
      <c r="T374" s="41" t="str">
        <f>IFERROR(__xludf.DUMMYFUNCTION("""COMPUTED_VALUE"""),"")</f>
        <v/>
      </c>
      <c r="U374" s="41" t="str">
        <f>IFERROR(__xludf.DUMMYFUNCTION("""COMPUTED_VALUE"""),"")</f>
        <v/>
      </c>
      <c r="V374" s="41" t="str">
        <f>IFERROR(__xludf.DUMMYFUNCTION("""COMPUTED_VALUE"""),"")</f>
        <v/>
      </c>
      <c r="W374" s="41" t="str">
        <f>IFERROR(__xludf.DUMMYFUNCTION("""COMPUTED_VALUE"""),"")</f>
        <v/>
      </c>
      <c r="X374" s="41" t="str">
        <f>IFERROR(__xludf.DUMMYFUNCTION("""COMPUTED_VALUE"""),"")</f>
        <v/>
      </c>
      <c r="Y374" s="41" t="str">
        <f>IFERROR(__xludf.DUMMYFUNCTION("""COMPUTED_VALUE"""),"")</f>
        <v/>
      </c>
      <c r="Z374" s="41" t="str">
        <f>IFERROR(__xludf.DUMMYFUNCTION("""COMPUTED_VALUE"""),"")</f>
        <v/>
      </c>
      <c r="AA374" s="41" t="str">
        <f>IFERROR(__xludf.DUMMYFUNCTION("""COMPUTED_VALUE"""),"")</f>
        <v/>
      </c>
      <c r="AB374" s="38" t="str">
        <f>IFERROR(__xludf.DUMMYFUNCTION("""COMPUTED_VALUE"""),"")</f>
        <v/>
      </c>
    </row>
    <row r="375">
      <c r="A375" s="41" t="str">
        <f>IFERROR(__xludf.DUMMYFUNCTION("""COMPUTED_VALUE"""),"Php, Laravel, MySQL, AWS, Docker, Git")</f>
        <v>Php, Laravel, MySQL, AWS, Docker, Git</v>
      </c>
      <c r="B375" s="42" t="s">
        <v>809</v>
      </c>
      <c r="C375" s="41" t="s">
        <v>1388</v>
      </c>
      <c r="D375" s="41" t="s">
        <v>78</v>
      </c>
      <c r="E375" s="41" t="s">
        <v>4390</v>
      </c>
      <c r="F375" s="41" t="s">
        <v>4391</v>
      </c>
      <c r="G375" s="41" t="s">
        <v>4392</v>
      </c>
      <c r="H375" s="41" t="s">
        <v>4393</v>
      </c>
      <c r="I375" s="41" t="s">
        <v>4394</v>
      </c>
      <c r="N375" s="38"/>
      <c r="P375" s="42" t="str">
        <f>IFERROR(__xludf.DUMMYFUNCTION("""COMPUTED_VALUE"""),"native")</f>
        <v>native</v>
      </c>
      <c r="Q375" s="41" t="str">
        <f>IFERROR(__xludf.DUMMYFUNCTION("""COMPUTED_VALUE"""),"")</f>
        <v/>
      </c>
      <c r="R375" s="41" t="str">
        <f>IFERROR(__xludf.DUMMYFUNCTION("""COMPUTED_VALUE"""),"")</f>
        <v/>
      </c>
      <c r="S375" s="41" t="str">
        <f>IFERROR(__xludf.DUMMYFUNCTION("""COMPUTED_VALUE"""),"")</f>
        <v/>
      </c>
      <c r="T375" s="41" t="str">
        <f>IFERROR(__xludf.DUMMYFUNCTION("""COMPUTED_VALUE"""),"")</f>
        <v/>
      </c>
      <c r="U375" s="41" t="str">
        <f>IFERROR(__xludf.DUMMYFUNCTION("""COMPUTED_VALUE"""),"")</f>
        <v/>
      </c>
      <c r="V375" s="41" t="str">
        <f>IFERROR(__xludf.DUMMYFUNCTION("""COMPUTED_VALUE"""),"")</f>
        <v/>
      </c>
      <c r="W375" s="41" t="str">
        <f>IFERROR(__xludf.DUMMYFUNCTION("""COMPUTED_VALUE"""),"")</f>
        <v/>
      </c>
      <c r="X375" s="41" t="str">
        <f>IFERROR(__xludf.DUMMYFUNCTION("""COMPUTED_VALUE"""),"")</f>
        <v/>
      </c>
      <c r="Y375" s="41" t="str">
        <f>IFERROR(__xludf.DUMMYFUNCTION("""COMPUTED_VALUE"""),"")</f>
        <v/>
      </c>
      <c r="Z375" s="41" t="str">
        <f>IFERROR(__xludf.DUMMYFUNCTION("""COMPUTED_VALUE"""),"")</f>
        <v/>
      </c>
      <c r="AA375" s="41" t="str">
        <f>IFERROR(__xludf.DUMMYFUNCTION("""COMPUTED_VALUE"""),"")</f>
        <v/>
      </c>
      <c r="AB375" s="38" t="str">
        <f>IFERROR(__xludf.DUMMYFUNCTION("""COMPUTED_VALUE"""),"")</f>
        <v/>
      </c>
    </row>
    <row r="376">
      <c r="A376" s="41" t="str">
        <f>IFERROR(__xludf.DUMMYFUNCTION("""COMPUTED_VALUE"""),"Jira, Conflence, Mircrosoft Office")</f>
        <v>Jira, Conflence, Mircrosoft Office</v>
      </c>
      <c r="B376" s="42" t="s">
        <v>4269</v>
      </c>
      <c r="C376" s="41" t="s">
        <v>224</v>
      </c>
      <c r="D376" s="41" t="s">
        <v>1393</v>
      </c>
      <c r="N376" s="38"/>
      <c r="P376" s="42" t="str">
        <f>IFERROR(__xludf.DUMMYFUNCTION("""COMPUTED_VALUE"""),"react")</f>
        <v>react</v>
      </c>
      <c r="Q376" s="41" t="str">
        <f>IFERROR(__xludf.DUMMYFUNCTION("""COMPUTED_VALUE"""),"")</f>
        <v/>
      </c>
      <c r="R376" s="41" t="str">
        <f>IFERROR(__xludf.DUMMYFUNCTION("""COMPUTED_VALUE"""),"")</f>
        <v/>
      </c>
      <c r="S376" s="41" t="str">
        <f>IFERROR(__xludf.DUMMYFUNCTION("""COMPUTED_VALUE"""),"")</f>
        <v/>
      </c>
      <c r="T376" s="41" t="str">
        <f>IFERROR(__xludf.DUMMYFUNCTION("""COMPUTED_VALUE"""),"")</f>
        <v/>
      </c>
      <c r="U376" s="41" t="str">
        <f>IFERROR(__xludf.DUMMYFUNCTION("""COMPUTED_VALUE"""),"")</f>
        <v/>
      </c>
      <c r="V376" s="41" t="str">
        <f>IFERROR(__xludf.DUMMYFUNCTION("""COMPUTED_VALUE"""),"")</f>
        <v/>
      </c>
      <c r="W376" s="41" t="str">
        <f>IFERROR(__xludf.DUMMYFUNCTION("""COMPUTED_VALUE"""),"")</f>
        <v/>
      </c>
      <c r="X376" s="41" t="str">
        <f>IFERROR(__xludf.DUMMYFUNCTION("""COMPUTED_VALUE"""),"")</f>
        <v/>
      </c>
      <c r="Y376" s="41" t="str">
        <f>IFERROR(__xludf.DUMMYFUNCTION("""COMPUTED_VALUE"""),"")</f>
        <v/>
      </c>
      <c r="Z376" s="41" t="str">
        <f>IFERROR(__xludf.DUMMYFUNCTION("""COMPUTED_VALUE"""),"")</f>
        <v/>
      </c>
      <c r="AA376" s="41" t="str">
        <f>IFERROR(__xludf.DUMMYFUNCTION("""COMPUTED_VALUE"""),"")</f>
        <v/>
      </c>
      <c r="AB376" s="38" t="str">
        <f>IFERROR(__xludf.DUMMYFUNCTION("""COMPUTED_VALUE"""),"")</f>
        <v/>
      </c>
    </row>
    <row r="377">
      <c r="A377" s="41" t="str">
        <f>IFERROR(__xludf.DUMMYFUNCTION("""COMPUTED_VALUE"""),"Laptop, desktop ")</f>
        <v>Laptop, desktop </v>
      </c>
      <c r="B377" s="42" t="s">
        <v>154</v>
      </c>
      <c r="C377" s="41" t="s">
        <v>103</v>
      </c>
      <c r="D377" s="41" t="s">
        <v>4244</v>
      </c>
      <c r="E377" s="41" t="s">
        <v>1233</v>
      </c>
      <c r="F377" s="41" t="s">
        <v>3663</v>
      </c>
      <c r="G377" s="41" t="s">
        <v>4282</v>
      </c>
      <c r="N377" s="38"/>
      <c r="P377" s="42" t="str">
        <f>IFERROR(__xludf.DUMMYFUNCTION("""COMPUTED_VALUE"""),"native")</f>
        <v>native</v>
      </c>
      <c r="Q377" s="41" t="str">
        <f>IFERROR(__xludf.DUMMYFUNCTION("""COMPUTED_VALUE"""),"")</f>
        <v/>
      </c>
      <c r="R377" s="41" t="str">
        <f>IFERROR(__xludf.DUMMYFUNCTION("""COMPUTED_VALUE"""),"")</f>
        <v/>
      </c>
      <c r="S377" s="41" t="str">
        <f>IFERROR(__xludf.DUMMYFUNCTION("""COMPUTED_VALUE"""),"")</f>
        <v/>
      </c>
      <c r="T377" s="41" t="str">
        <f>IFERROR(__xludf.DUMMYFUNCTION("""COMPUTED_VALUE"""),"")</f>
        <v/>
      </c>
      <c r="U377" s="41" t="str">
        <f>IFERROR(__xludf.DUMMYFUNCTION("""COMPUTED_VALUE"""),"")</f>
        <v/>
      </c>
      <c r="V377" s="41" t="str">
        <f>IFERROR(__xludf.DUMMYFUNCTION("""COMPUTED_VALUE"""),"")</f>
        <v/>
      </c>
      <c r="W377" s="41" t="str">
        <f>IFERROR(__xludf.DUMMYFUNCTION("""COMPUTED_VALUE"""),"")</f>
        <v/>
      </c>
      <c r="X377" s="41" t="str">
        <f>IFERROR(__xludf.DUMMYFUNCTION("""COMPUTED_VALUE"""),"")</f>
        <v/>
      </c>
      <c r="Y377" s="41" t="str">
        <f>IFERROR(__xludf.DUMMYFUNCTION("""COMPUTED_VALUE"""),"")</f>
        <v/>
      </c>
      <c r="Z377" s="41" t="str">
        <f>IFERROR(__xludf.DUMMYFUNCTION("""COMPUTED_VALUE"""),"")</f>
        <v/>
      </c>
      <c r="AA377" s="41" t="str">
        <f>IFERROR(__xludf.DUMMYFUNCTION("""COMPUTED_VALUE"""),"")</f>
        <v/>
      </c>
      <c r="AB377" s="38" t="str">
        <f>IFERROR(__xludf.DUMMYFUNCTION("""COMPUTED_VALUE"""),"")</f>
        <v/>
      </c>
    </row>
    <row r="378">
      <c r="A378" s="41" t="str">
        <f>IFERROR(__xludf.DUMMYFUNCTION("""COMPUTED_VALUE"""),"Vuejs, Nuxt")</f>
        <v>Vuejs, Nuxt</v>
      </c>
      <c r="B378" s="42" t="s">
        <v>4264</v>
      </c>
      <c r="C378" s="41" t="s">
        <v>4395</v>
      </c>
      <c r="D378" s="41" t="s">
        <v>4396</v>
      </c>
      <c r="N378" s="38"/>
      <c r="P378" s="42" t="str">
        <f>IFERROR(__xludf.DUMMYFUNCTION("""COMPUTED_VALUE"""),"kubernetes")</f>
        <v>kubernetes</v>
      </c>
      <c r="Q378" s="41" t="str">
        <f>IFERROR(__xludf.DUMMYFUNCTION("""COMPUTED_VALUE"""),"")</f>
        <v/>
      </c>
      <c r="R378" s="41" t="str">
        <f>IFERROR(__xludf.DUMMYFUNCTION("""COMPUTED_VALUE"""),"")</f>
        <v/>
      </c>
      <c r="S378" s="41" t="str">
        <f>IFERROR(__xludf.DUMMYFUNCTION("""COMPUTED_VALUE"""),"")</f>
        <v/>
      </c>
      <c r="T378" s="41" t="str">
        <f>IFERROR(__xludf.DUMMYFUNCTION("""COMPUTED_VALUE"""),"")</f>
        <v/>
      </c>
      <c r="U378" s="41" t="str">
        <f>IFERROR(__xludf.DUMMYFUNCTION("""COMPUTED_VALUE"""),"")</f>
        <v/>
      </c>
      <c r="V378" s="41" t="str">
        <f>IFERROR(__xludf.DUMMYFUNCTION("""COMPUTED_VALUE"""),"")</f>
        <v/>
      </c>
      <c r="W378" s="41" t="str">
        <f>IFERROR(__xludf.DUMMYFUNCTION("""COMPUTED_VALUE"""),"")</f>
        <v/>
      </c>
      <c r="X378" s="41" t="str">
        <f>IFERROR(__xludf.DUMMYFUNCTION("""COMPUTED_VALUE"""),"")</f>
        <v/>
      </c>
      <c r="Y378" s="41" t="str">
        <f>IFERROR(__xludf.DUMMYFUNCTION("""COMPUTED_VALUE"""),"")</f>
        <v/>
      </c>
      <c r="Z378" s="41" t="str">
        <f>IFERROR(__xludf.DUMMYFUNCTION("""COMPUTED_VALUE"""),"")</f>
        <v/>
      </c>
      <c r="AA378" s="41" t="str">
        <f>IFERROR(__xludf.DUMMYFUNCTION("""COMPUTED_VALUE"""),"")</f>
        <v/>
      </c>
      <c r="AB378" s="38" t="str">
        <f>IFERROR(__xludf.DUMMYFUNCTION("""COMPUTED_VALUE"""),"")</f>
        <v/>
      </c>
    </row>
    <row r="379">
      <c r="A379" s="41" t="str">
        <f>IFERROR(__xludf.DUMMYFUNCTION("""COMPUTED_VALUE"""),"Company laptop, company monitor, keyboard, mouse, headphone")</f>
        <v>Company laptop, company monitor, keyboard, mouse, headphone</v>
      </c>
      <c r="B379" s="42" t="s">
        <v>87</v>
      </c>
      <c r="C379" s="41" t="s">
        <v>4397</v>
      </c>
      <c r="N379" s="38"/>
      <c r="P379" s="42" t="str">
        <f>IFERROR(__xludf.DUMMYFUNCTION("""COMPUTED_VALUE"""),"ai/ml")</f>
        <v>ai/ml</v>
      </c>
      <c r="Q379" s="41" t="str">
        <f>IFERROR(__xludf.DUMMYFUNCTION("""COMPUTED_VALUE"""),"")</f>
        <v/>
      </c>
      <c r="R379" s="41" t="str">
        <f>IFERROR(__xludf.DUMMYFUNCTION("""COMPUTED_VALUE"""),"")</f>
        <v/>
      </c>
      <c r="S379" s="41" t="str">
        <f>IFERROR(__xludf.DUMMYFUNCTION("""COMPUTED_VALUE"""),"")</f>
        <v/>
      </c>
      <c r="T379" s="41" t="str">
        <f>IFERROR(__xludf.DUMMYFUNCTION("""COMPUTED_VALUE"""),"")</f>
        <v/>
      </c>
      <c r="U379" s="41" t="str">
        <f>IFERROR(__xludf.DUMMYFUNCTION("""COMPUTED_VALUE"""),"")</f>
        <v/>
      </c>
      <c r="V379" s="41" t="str">
        <f>IFERROR(__xludf.DUMMYFUNCTION("""COMPUTED_VALUE"""),"")</f>
        <v/>
      </c>
      <c r="W379" s="41" t="str">
        <f>IFERROR(__xludf.DUMMYFUNCTION("""COMPUTED_VALUE"""),"")</f>
        <v/>
      </c>
      <c r="X379" s="41" t="str">
        <f>IFERROR(__xludf.DUMMYFUNCTION("""COMPUTED_VALUE"""),"")</f>
        <v/>
      </c>
      <c r="Y379" s="41" t="str">
        <f>IFERROR(__xludf.DUMMYFUNCTION("""COMPUTED_VALUE"""),"")</f>
        <v/>
      </c>
      <c r="Z379" s="41" t="str">
        <f>IFERROR(__xludf.DUMMYFUNCTION("""COMPUTED_VALUE"""),"")</f>
        <v/>
      </c>
      <c r="AA379" s="41" t="str">
        <f>IFERROR(__xludf.DUMMYFUNCTION("""COMPUTED_VALUE"""),"")</f>
        <v/>
      </c>
      <c r="AB379" s="38" t="str">
        <f>IFERROR(__xludf.DUMMYFUNCTION("""COMPUTED_VALUE"""),"")</f>
        <v/>
      </c>
    </row>
    <row r="380">
      <c r="A380" s="41" t="str">
        <f>IFERROR(__xludf.DUMMYFUNCTION("""COMPUTED_VALUE"""),"React, TypeScript, JavaScript, SCSS, AWS Cloud")</f>
        <v>React, TypeScript, JavaScript, SCSS, AWS Cloud</v>
      </c>
      <c r="B380" s="42" t="s">
        <v>3717</v>
      </c>
      <c r="C380" s="41" t="s">
        <v>4398</v>
      </c>
      <c r="N380" s="38"/>
      <c r="P380" s="42" t="str">
        <f>IFERROR(__xludf.DUMMYFUNCTION("""COMPUTED_VALUE"""),"laptop")</f>
        <v>laptop</v>
      </c>
      <c r="Q380" s="41" t="str">
        <f>IFERROR(__xludf.DUMMYFUNCTION("""COMPUTED_VALUE"""),"")</f>
        <v/>
      </c>
      <c r="R380" s="41" t="str">
        <f>IFERROR(__xludf.DUMMYFUNCTION("""COMPUTED_VALUE"""),"")</f>
        <v/>
      </c>
      <c r="S380" s="41" t="str">
        <f>IFERROR(__xludf.DUMMYFUNCTION("""COMPUTED_VALUE"""),"")</f>
        <v/>
      </c>
      <c r="T380" s="41" t="str">
        <f>IFERROR(__xludf.DUMMYFUNCTION("""COMPUTED_VALUE"""),"")</f>
        <v/>
      </c>
      <c r="U380" s="41" t="str">
        <f>IFERROR(__xludf.DUMMYFUNCTION("""COMPUTED_VALUE"""),"")</f>
        <v/>
      </c>
      <c r="V380" s="41" t="str">
        <f>IFERROR(__xludf.DUMMYFUNCTION("""COMPUTED_VALUE"""),"")</f>
        <v/>
      </c>
      <c r="W380" s="41" t="str">
        <f>IFERROR(__xludf.DUMMYFUNCTION("""COMPUTED_VALUE"""),"")</f>
        <v/>
      </c>
      <c r="X380" s="41" t="str">
        <f>IFERROR(__xludf.DUMMYFUNCTION("""COMPUTED_VALUE"""),"")</f>
        <v/>
      </c>
      <c r="Y380" s="41" t="str">
        <f>IFERROR(__xludf.DUMMYFUNCTION("""COMPUTED_VALUE"""),"")</f>
        <v/>
      </c>
      <c r="Z380" s="41" t="str">
        <f>IFERROR(__xludf.DUMMYFUNCTION("""COMPUTED_VALUE"""),"")</f>
        <v/>
      </c>
      <c r="AA380" s="41" t="str">
        <f>IFERROR(__xludf.DUMMYFUNCTION("""COMPUTED_VALUE"""),"")</f>
        <v/>
      </c>
      <c r="AB380" s="38" t="str">
        <f>IFERROR(__xludf.DUMMYFUNCTION("""COMPUTED_VALUE"""),"")</f>
        <v/>
      </c>
    </row>
    <row r="381">
      <c r="A381" s="41" t="str">
        <f>IFERROR(__xludf.DUMMYFUNCTION("""COMPUTED_VALUE"""),"Qlikview")</f>
        <v>Qlikview</v>
      </c>
      <c r="B381" s="42" t="s">
        <v>4399</v>
      </c>
      <c r="C381" s="41" t="s">
        <v>4400</v>
      </c>
      <c r="D381" s="41" t="s">
        <v>4401</v>
      </c>
      <c r="E381" s="41" t="s">
        <v>4402</v>
      </c>
      <c r="F381" s="41" t="s">
        <v>4403</v>
      </c>
      <c r="N381" s="38"/>
      <c r="P381" s="42" t="str">
        <f>IFERROR(__xludf.DUMMYFUNCTION("""COMPUTED_VALUE"""),"node")</f>
        <v>node</v>
      </c>
      <c r="Q381" s="41" t="str">
        <f>IFERROR(__xludf.DUMMYFUNCTION("""COMPUTED_VALUE"""),"")</f>
        <v/>
      </c>
      <c r="R381" s="41" t="str">
        <f>IFERROR(__xludf.DUMMYFUNCTION("""COMPUTED_VALUE"""),"")</f>
        <v/>
      </c>
      <c r="S381" s="41" t="str">
        <f>IFERROR(__xludf.DUMMYFUNCTION("""COMPUTED_VALUE"""),"")</f>
        <v/>
      </c>
      <c r="T381" s="41" t="str">
        <f>IFERROR(__xludf.DUMMYFUNCTION("""COMPUTED_VALUE"""),"")</f>
        <v/>
      </c>
      <c r="U381" s="41" t="str">
        <f>IFERROR(__xludf.DUMMYFUNCTION("""COMPUTED_VALUE"""),"")</f>
        <v/>
      </c>
      <c r="V381" s="41" t="str">
        <f>IFERROR(__xludf.DUMMYFUNCTION("""COMPUTED_VALUE"""),"")</f>
        <v/>
      </c>
      <c r="W381" s="41" t="str">
        <f>IFERROR(__xludf.DUMMYFUNCTION("""COMPUTED_VALUE"""),"")</f>
        <v/>
      </c>
      <c r="X381" s="41" t="str">
        <f>IFERROR(__xludf.DUMMYFUNCTION("""COMPUTED_VALUE"""),"")</f>
        <v/>
      </c>
      <c r="Y381" s="41" t="str">
        <f>IFERROR(__xludf.DUMMYFUNCTION("""COMPUTED_VALUE"""),"")</f>
        <v/>
      </c>
      <c r="Z381" s="41" t="str">
        <f>IFERROR(__xludf.DUMMYFUNCTION("""COMPUTED_VALUE"""),"")</f>
        <v/>
      </c>
      <c r="AA381" s="41" t="str">
        <f>IFERROR(__xludf.DUMMYFUNCTION("""COMPUTED_VALUE"""),"")</f>
        <v/>
      </c>
      <c r="AB381" s="38" t="str">
        <f>IFERROR(__xludf.DUMMYFUNCTION("""COMPUTED_VALUE"""),"")</f>
        <v/>
      </c>
    </row>
    <row r="382">
      <c r="A382" s="41" t="str">
        <f>IFERROR(__xludf.DUMMYFUNCTION("""COMPUTED_VALUE"""),"Golang , AWS, Terraform")</f>
        <v>Golang , AWS, Terraform</v>
      </c>
      <c r="B382" s="42" t="s">
        <v>1979</v>
      </c>
      <c r="C382" s="41" t="s">
        <v>4221</v>
      </c>
      <c r="D382" s="41" t="s">
        <v>731</v>
      </c>
      <c r="E382" s="41" t="s">
        <v>4404</v>
      </c>
      <c r="F382" s="41" t="s">
        <v>4405</v>
      </c>
      <c r="N382" s="38"/>
      <c r="P382" s="42" t="str">
        <f>IFERROR(__xludf.DUMMYFUNCTION("""COMPUTED_VALUE"""),"vuejs")</f>
        <v>vuejs</v>
      </c>
      <c r="Q382" s="41" t="str">
        <f>IFERROR(__xludf.DUMMYFUNCTION("""COMPUTED_VALUE"""),"")</f>
        <v/>
      </c>
      <c r="R382" s="41" t="str">
        <f>IFERROR(__xludf.DUMMYFUNCTION("""COMPUTED_VALUE"""),"")</f>
        <v/>
      </c>
      <c r="S382" s="41" t="str">
        <f>IFERROR(__xludf.DUMMYFUNCTION("""COMPUTED_VALUE"""),"")</f>
        <v/>
      </c>
      <c r="T382" s="41" t="str">
        <f>IFERROR(__xludf.DUMMYFUNCTION("""COMPUTED_VALUE"""),"")</f>
        <v/>
      </c>
      <c r="U382" s="41" t="str">
        <f>IFERROR(__xludf.DUMMYFUNCTION("""COMPUTED_VALUE"""),"")</f>
        <v/>
      </c>
      <c r="V382" s="41" t="str">
        <f>IFERROR(__xludf.DUMMYFUNCTION("""COMPUTED_VALUE"""),"")</f>
        <v/>
      </c>
      <c r="W382" s="41" t="str">
        <f>IFERROR(__xludf.DUMMYFUNCTION("""COMPUTED_VALUE"""),"")</f>
        <v/>
      </c>
      <c r="X382" s="41" t="str">
        <f>IFERROR(__xludf.DUMMYFUNCTION("""COMPUTED_VALUE"""),"")</f>
        <v/>
      </c>
      <c r="Y382" s="41" t="str">
        <f>IFERROR(__xludf.DUMMYFUNCTION("""COMPUTED_VALUE"""),"")</f>
        <v/>
      </c>
      <c r="Z382" s="41" t="str">
        <f>IFERROR(__xludf.DUMMYFUNCTION("""COMPUTED_VALUE"""),"")</f>
        <v/>
      </c>
      <c r="AA382" s="41" t="str">
        <f>IFERROR(__xludf.DUMMYFUNCTION("""COMPUTED_VALUE"""),"")</f>
        <v/>
      </c>
      <c r="AB382" s="38" t="str">
        <f>IFERROR(__xludf.DUMMYFUNCTION("""COMPUTED_VALUE"""),"")</f>
        <v/>
      </c>
    </row>
    <row r="383">
      <c r="A383" s="41" t="str">
        <f>IFERROR(__xludf.DUMMYFUNCTION("""COMPUTED_VALUE"""),"GCP, Postman, Bamboo, Jira, MongoDB")</f>
        <v>GCP, Postman, Bamboo, Jira, MongoDB</v>
      </c>
      <c r="B383" s="42" t="s">
        <v>701</v>
      </c>
      <c r="N383" s="38"/>
      <c r="P383" s="42" t="str">
        <f>IFERROR(__xludf.DUMMYFUNCTION("""COMPUTED_VALUE"""),"excel")</f>
        <v>excel</v>
      </c>
      <c r="Q383" s="41" t="str">
        <f>IFERROR(__xludf.DUMMYFUNCTION("""COMPUTED_VALUE"""),"")</f>
        <v/>
      </c>
      <c r="R383" s="41" t="str">
        <f>IFERROR(__xludf.DUMMYFUNCTION("""COMPUTED_VALUE"""),"")</f>
        <v/>
      </c>
      <c r="S383" s="41" t="str">
        <f>IFERROR(__xludf.DUMMYFUNCTION("""COMPUTED_VALUE"""),"")</f>
        <v/>
      </c>
      <c r="T383" s="41" t="str">
        <f>IFERROR(__xludf.DUMMYFUNCTION("""COMPUTED_VALUE"""),"")</f>
        <v/>
      </c>
      <c r="U383" s="41" t="str">
        <f>IFERROR(__xludf.DUMMYFUNCTION("""COMPUTED_VALUE"""),"")</f>
        <v/>
      </c>
      <c r="V383" s="41" t="str">
        <f>IFERROR(__xludf.DUMMYFUNCTION("""COMPUTED_VALUE"""),"")</f>
        <v/>
      </c>
      <c r="W383" s="41" t="str">
        <f>IFERROR(__xludf.DUMMYFUNCTION("""COMPUTED_VALUE"""),"")</f>
        <v/>
      </c>
      <c r="X383" s="41" t="str">
        <f>IFERROR(__xludf.DUMMYFUNCTION("""COMPUTED_VALUE"""),"")</f>
        <v/>
      </c>
      <c r="Y383" s="41" t="str">
        <f>IFERROR(__xludf.DUMMYFUNCTION("""COMPUTED_VALUE"""),"")</f>
        <v/>
      </c>
      <c r="Z383" s="41" t="str">
        <f>IFERROR(__xludf.DUMMYFUNCTION("""COMPUTED_VALUE"""),"")</f>
        <v/>
      </c>
      <c r="AA383" s="41" t="str">
        <f>IFERROR(__xludf.DUMMYFUNCTION("""COMPUTED_VALUE"""),"")</f>
        <v/>
      </c>
      <c r="AB383" s="38" t="str">
        <f>IFERROR(__xludf.DUMMYFUNCTION("""COMPUTED_VALUE"""),"")</f>
        <v/>
      </c>
    </row>
    <row r="384">
      <c r="A384" s="41" t="str">
        <f>IFERROR(__xludf.DUMMYFUNCTION("""COMPUTED_VALUE"""),"ColdFusion")</f>
        <v>ColdFusion</v>
      </c>
      <c r="B384" s="42" t="s">
        <v>1949</v>
      </c>
      <c r="C384" s="41" t="s">
        <v>1233</v>
      </c>
      <c r="D384" s="41" t="s">
        <v>4218</v>
      </c>
      <c r="N384" s="38"/>
      <c r="P384" s="42" t="str">
        <f>IFERROR(__xludf.DUMMYFUNCTION("""COMPUTED_VALUE"""),"java")</f>
        <v>java</v>
      </c>
      <c r="Q384" s="41" t="str">
        <f>IFERROR(__xludf.DUMMYFUNCTION("""COMPUTED_VALUE"""),"")</f>
        <v/>
      </c>
      <c r="R384" s="41" t="str">
        <f>IFERROR(__xludf.DUMMYFUNCTION("""COMPUTED_VALUE"""),"")</f>
        <v/>
      </c>
      <c r="S384" s="41" t="str">
        <f>IFERROR(__xludf.DUMMYFUNCTION("""COMPUTED_VALUE"""),"")</f>
        <v/>
      </c>
      <c r="T384" s="41" t="str">
        <f>IFERROR(__xludf.DUMMYFUNCTION("""COMPUTED_VALUE"""),"")</f>
        <v/>
      </c>
      <c r="U384" s="41" t="str">
        <f>IFERROR(__xludf.DUMMYFUNCTION("""COMPUTED_VALUE"""),"")</f>
        <v/>
      </c>
      <c r="V384" s="41" t="str">
        <f>IFERROR(__xludf.DUMMYFUNCTION("""COMPUTED_VALUE"""),"")</f>
        <v/>
      </c>
      <c r="W384" s="41" t="str">
        <f>IFERROR(__xludf.DUMMYFUNCTION("""COMPUTED_VALUE"""),"")</f>
        <v/>
      </c>
      <c r="X384" s="41" t="str">
        <f>IFERROR(__xludf.DUMMYFUNCTION("""COMPUTED_VALUE"""),"")</f>
        <v/>
      </c>
      <c r="Y384" s="41" t="str">
        <f>IFERROR(__xludf.DUMMYFUNCTION("""COMPUTED_VALUE"""),"")</f>
        <v/>
      </c>
      <c r="Z384" s="41" t="str">
        <f>IFERROR(__xludf.DUMMYFUNCTION("""COMPUTED_VALUE"""),"")</f>
        <v/>
      </c>
      <c r="AA384" s="41" t="str">
        <f>IFERROR(__xludf.DUMMYFUNCTION("""COMPUTED_VALUE"""),"")</f>
        <v/>
      </c>
      <c r="AB384" s="38" t="str">
        <f>IFERROR(__xludf.DUMMYFUNCTION("""COMPUTED_VALUE"""),"")</f>
        <v/>
      </c>
    </row>
    <row r="385">
      <c r="A385" s="41" t="str">
        <f>IFERROR(__xludf.DUMMYFUNCTION("""COMPUTED_VALUE"""),"None")</f>
        <v>None</v>
      </c>
      <c r="B385" s="42" t="s">
        <v>4269</v>
      </c>
      <c r="C385" s="41" t="s">
        <v>4406</v>
      </c>
      <c r="D385" s="41" t="s">
        <v>4407</v>
      </c>
      <c r="E385" s="41" t="s">
        <v>4264</v>
      </c>
      <c r="F385" s="41" t="s">
        <v>4225</v>
      </c>
      <c r="N385" s="38"/>
      <c r="P385" s="42" t="str">
        <f>IFERROR(__xludf.DUMMYFUNCTION("""COMPUTED_VALUE"""),"javascript")</f>
        <v>javascript</v>
      </c>
      <c r="Q385" s="41" t="str">
        <f>IFERROR(__xludf.DUMMYFUNCTION("""COMPUTED_VALUE"""),"")</f>
        <v/>
      </c>
      <c r="R385" s="41" t="str">
        <f>IFERROR(__xludf.DUMMYFUNCTION("""COMPUTED_VALUE"""),"")</f>
        <v/>
      </c>
      <c r="S385" s="41" t="str">
        <f>IFERROR(__xludf.DUMMYFUNCTION("""COMPUTED_VALUE"""),"")</f>
        <v/>
      </c>
      <c r="T385" s="41" t="str">
        <f>IFERROR(__xludf.DUMMYFUNCTION("""COMPUTED_VALUE"""),"")</f>
        <v/>
      </c>
      <c r="U385" s="41" t="str">
        <f>IFERROR(__xludf.DUMMYFUNCTION("""COMPUTED_VALUE"""),"")</f>
        <v/>
      </c>
      <c r="V385" s="41" t="str">
        <f>IFERROR(__xludf.DUMMYFUNCTION("""COMPUTED_VALUE"""),"")</f>
        <v/>
      </c>
      <c r="W385" s="41" t="str">
        <f>IFERROR(__xludf.DUMMYFUNCTION("""COMPUTED_VALUE"""),"")</f>
        <v/>
      </c>
      <c r="X385" s="41" t="str">
        <f>IFERROR(__xludf.DUMMYFUNCTION("""COMPUTED_VALUE"""),"")</f>
        <v/>
      </c>
      <c r="Y385" s="41" t="str">
        <f>IFERROR(__xludf.DUMMYFUNCTION("""COMPUTED_VALUE"""),"")</f>
        <v/>
      </c>
      <c r="Z385" s="41" t="str">
        <f>IFERROR(__xludf.DUMMYFUNCTION("""COMPUTED_VALUE"""),"")</f>
        <v/>
      </c>
      <c r="AA385" s="41" t="str">
        <f>IFERROR(__xludf.DUMMYFUNCTION("""COMPUTED_VALUE"""),"")</f>
        <v/>
      </c>
      <c r="AB385" s="38" t="str">
        <f>IFERROR(__xludf.DUMMYFUNCTION("""COMPUTED_VALUE"""),"")</f>
        <v/>
      </c>
    </row>
    <row r="386">
      <c r="A386" s="41" t="str">
        <f>IFERROR(__xludf.DUMMYFUNCTION("""COMPUTED_VALUE"""),"Laptops")</f>
        <v>Laptops</v>
      </c>
      <c r="B386" s="42" t="s">
        <v>1316</v>
      </c>
      <c r="N386" s="38"/>
      <c r="P386" s="42" t="str">
        <f>IFERROR(__xludf.DUMMYFUNCTION("""COMPUTED_VALUE"""),"angular")</f>
        <v>angular</v>
      </c>
      <c r="Q386" s="41" t="str">
        <f>IFERROR(__xludf.DUMMYFUNCTION("""COMPUTED_VALUE"""),"")</f>
        <v/>
      </c>
      <c r="R386" s="41" t="str">
        <f>IFERROR(__xludf.DUMMYFUNCTION("""COMPUTED_VALUE"""),"")</f>
        <v/>
      </c>
      <c r="S386" s="41" t="str">
        <f>IFERROR(__xludf.DUMMYFUNCTION("""COMPUTED_VALUE"""),"")</f>
        <v/>
      </c>
      <c r="T386" s="41" t="str">
        <f>IFERROR(__xludf.DUMMYFUNCTION("""COMPUTED_VALUE"""),"")</f>
        <v/>
      </c>
      <c r="U386" s="41" t="str">
        <f>IFERROR(__xludf.DUMMYFUNCTION("""COMPUTED_VALUE"""),"")</f>
        <v/>
      </c>
      <c r="V386" s="41" t="str">
        <f>IFERROR(__xludf.DUMMYFUNCTION("""COMPUTED_VALUE"""),"")</f>
        <v/>
      </c>
      <c r="W386" s="41" t="str">
        <f>IFERROR(__xludf.DUMMYFUNCTION("""COMPUTED_VALUE"""),"")</f>
        <v/>
      </c>
      <c r="X386" s="41" t="str">
        <f>IFERROR(__xludf.DUMMYFUNCTION("""COMPUTED_VALUE"""),"")</f>
        <v/>
      </c>
      <c r="Y386" s="41" t="str">
        <f>IFERROR(__xludf.DUMMYFUNCTION("""COMPUTED_VALUE"""),"")</f>
        <v/>
      </c>
      <c r="Z386" s="41" t="str">
        <f>IFERROR(__xludf.DUMMYFUNCTION("""COMPUTED_VALUE"""),"")</f>
        <v/>
      </c>
      <c r="AA386" s="41" t="str">
        <f>IFERROR(__xludf.DUMMYFUNCTION("""COMPUTED_VALUE"""),"")</f>
        <v/>
      </c>
      <c r="AB386" s="38" t="str">
        <f>IFERROR(__xludf.DUMMYFUNCTION("""COMPUTED_VALUE"""),"")</f>
        <v/>
      </c>
    </row>
    <row r="387">
      <c r="A387" s="41" t="str">
        <f>IFERROR(__xludf.DUMMYFUNCTION("""COMPUTED_VALUE"""),"laravel,php,flutter,nodejs,vuejs,reactjs,react native")</f>
        <v>laravel,php,flutter,nodejs,vuejs,reactjs,react native</v>
      </c>
      <c r="B387" s="42" t="s">
        <v>367</v>
      </c>
      <c r="N387" s="38"/>
      <c r="P387" s="42" t="str">
        <f>IFERROR(__xludf.DUMMYFUNCTION("""COMPUTED_VALUE"""),"not")</f>
        <v>not</v>
      </c>
      <c r="Q387" s="41" t="str">
        <f>IFERROR(__xludf.DUMMYFUNCTION("""COMPUTED_VALUE"""),"")</f>
        <v/>
      </c>
      <c r="R387" s="41" t="str">
        <f>IFERROR(__xludf.DUMMYFUNCTION("""COMPUTED_VALUE"""),"")</f>
        <v/>
      </c>
      <c r="S387" s="41" t="str">
        <f>IFERROR(__xludf.DUMMYFUNCTION("""COMPUTED_VALUE"""),"")</f>
        <v/>
      </c>
      <c r="T387" s="41" t="str">
        <f>IFERROR(__xludf.DUMMYFUNCTION("""COMPUTED_VALUE"""),"")</f>
        <v/>
      </c>
      <c r="U387" s="41" t="str">
        <f>IFERROR(__xludf.DUMMYFUNCTION("""COMPUTED_VALUE"""),"")</f>
        <v/>
      </c>
      <c r="V387" s="41" t="str">
        <f>IFERROR(__xludf.DUMMYFUNCTION("""COMPUTED_VALUE"""),"")</f>
        <v/>
      </c>
      <c r="W387" s="41" t="str">
        <f>IFERROR(__xludf.DUMMYFUNCTION("""COMPUTED_VALUE"""),"")</f>
        <v/>
      </c>
      <c r="X387" s="41" t="str">
        <f>IFERROR(__xludf.DUMMYFUNCTION("""COMPUTED_VALUE"""),"")</f>
        <v/>
      </c>
      <c r="Y387" s="41" t="str">
        <f>IFERROR(__xludf.DUMMYFUNCTION("""COMPUTED_VALUE"""),"")</f>
        <v/>
      </c>
      <c r="Z387" s="41" t="str">
        <f>IFERROR(__xludf.DUMMYFUNCTION("""COMPUTED_VALUE"""),"")</f>
        <v/>
      </c>
      <c r="AA387" s="41" t="str">
        <f>IFERROR(__xludf.DUMMYFUNCTION("""COMPUTED_VALUE"""),"")</f>
        <v/>
      </c>
      <c r="AB387" s="38" t="str">
        <f>IFERROR(__xludf.DUMMYFUNCTION("""COMPUTED_VALUE"""),"")</f>
        <v/>
      </c>
    </row>
    <row r="388">
      <c r="A388" s="41" t="str">
        <f>IFERROR(__xludf.DUMMYFUNCTION("""COMPUTED_VALUE"""),"PHP, C#")</f>
        <v>PHP, C#</v>
      </c>
      <c r="B388" s="42" t="s">
        <v>1308</v>
      </c>
      <c r="N388" s="38"/>
      <c r="P388" s="42" t="str">
        <f>IFERROR(__xludf.DUMMYFUNCTION("""COMPUTED_VALUE"""),"sure")</f>
        <v>sure</v>
      </c>
      <c r="Q388" s="41" t="str">
        <f>IFERROR(__xludf.DUMMYFUNCTION("""COMPUTED_VALUE"""),"")</f>
        <v/>
      </c>
      <c r="R388" s="41" t="str">
        <f>IFERROR(__xludf.DUMMYFUNCTION("""COMPUTED_VALUE"""),"")</f>
        <v/>
      </c>
      <c r="S388" s="41" t="str">
        <f>IFERROR(__xludf.DUMMYFUNCTION("""COMPUTED_VALUE"""),"")</f>
        <v/>
      </c>
      <c r="T388" s="41" t="str">
        <f>IFERROR(__xludf.DUMMYFUNCTION("""COMPUTED_VALUE"""),"")</f>
        <v/>
      </c>
      <c r="U388" s="41" t="str">
        <f>IFERROR(__xludf.DUMMYFUNCTION("""COMPUTED_VALUE"""),"")</f>
        <v/>
      </c>
      <c r="V388" s="41" t="str">
        <f>IFERROR(__xludf.DUMMYFUNCTION("""COMPUTED_VALUE"""),"")</f>
        <v/>
      </c>
      <c r="W388" s="41" t="str">
        <f>IFERROR(__xludf.DUMMYFUNCTION("""COMPUTED_VALUE"""),"")</f>
        <v/>
      </c>
      <c r="X388" s="41" t="str">
        <f>IFERROR(__xludf.DUMMYFUNCTION("""COMPUTED_VALUE"""),"")</f>
        <v/>
      </c>
      <c r="Y388" s="41" t="str">
        <f>IFERROR(__xludf.DUMMYFUNCTION("""COMPUTED_VALUE"""),"")</f>
        <v/>
      </c>
      <c r="Z388" s="41" t="str">
        <f>IFERROR(__xludf.DUMMYFUNCTION("""COMPUTED_VALUE"""),"")</f>
        <v/>
      </c>
      <c r="AA388" s="41" t="str">
        <f>IFERROR(__xludf.DUMMYFUNCTION("""COMPUTED_VALUE"""),"")</f>
        <v/>
      </c>
      <c r="AB388" s="38" t="str">
        <f>IFERROR(__xludf.DUMMYFUNCTION("""COMPUTED_VALUE"""),"")</f>
        <v/>
      </c>
    </row>
    <row r="389">
      <c r="A389" s="41" t="str">
        <f>IFERROR(__xludf.DUMMYFUNCTION("""COMPUTED_VALUE"""),"React,.NET Core,Docker,GCP")</f>
        <v>React,.NET Core,Docker,GCP</v>
      </c>
      <c r="B389" s="42" t="s">
        <v>1436</v>
      </c>
      <c r="C389" s="41" t="s">
        <v>196</v>
      </c>
      <c r="D389" s="41" t="s">
        <v>4408</v>
      </c>
      <c r="E389" s="41" t="s">
        <v>4016</v>
      </c>
      <c r="F389" s="41" t="s">
        <v>270</v>
      </c>
      <c r="G389" s="41" t="s">
        <v>4409</v>
      </c>
      <c r="H389" s="41" t="s">
        <v>4312</v>
      </c>
      <c r="N389" s="38"/>
      <c r="P389" s="42" t="str">
        <f>IFERROR(__xludf.DUMMYFUNCTION("""COMPUTED_VALUE"""),"of")</f>
        <v>of</v>
      </c>
      <c r="Q389" s="41" t="str">
        <f>IFERROR(__xludf.DUMMYFUNCTION("""COMPUTED_VALUE"""),"")</f>
        <v/>
      </c>
      <c r="R389" s="41" t="str">
        <f>IFERROR(__xludf.DUMMYFUNCTION("""COMPUTED_VALUE"""),"")</f>
        <v/>
      </c>
      <c r="S389" s="41" t="str">
        <f>IFERROR(__xludf.DUMMYFUNCTION("""COMPUTED_VALUE"""),"")</f>
        <v/>
      </c>
      <c r="T389" s="41" t="str">
        <f>IFERROR(__xludf.DUMMYFUNCTION("""COMPUTED_VALUE"""),"")</f>
        <v/>
      </c>
      <c r="U389" s="41" t="str">
        <f>IFERROR(__xludf.DUMMYFUNCTION("""COMPUTED_VALUE"""),"")</f>
        <v/>
      </c>
      <c r="V389" s="41" t="str">
        <f>IFERROR(__xludf.DUMMYFUNCTION("""COMPUTED_VALUE"""),"")</f>
        <v/>
      </c>
      <c r="W389" s="41" t="str">
        <f>IFERROR(__xludf.DUMMYFUNCTION("""COMPUTED_VALUE"""),"")</f>
        <v/>
      </c>
      <c r="X389" s="41" t="str">
        <f>IFERROR(__xludf.DUMMYFUNCTION("""COMPUTED_VALUE"""),"")</f>
        <v/>
      </c>
      <c r="Y389" s="41" t="str">
        <f>IFERROR(__xludf.DUMMYFUNCTION("""COMPUTED_VALUE"""),"")</f>
        <v/>
      </c>
      <c r="Z389" s="41" t="str">
        <f>IFERROR(__xludf.DUMMYFUNCTION("""COMPUTED_VALUE"""),"")</f>
        <v/>
      </c>
      <c r="AA389" s="41" t="str">
        <f>IFERROR(__xludf.DUMMYFUNCTION("""COMPUTED_VALUE"""),"")</f>
        <v/>
      </c>
      <c r="AB389" s="38" t="str">
        <f>IFERROR(__xludf.DUMMYFUNCTION("""COMPUTED_VALUE"""),"")</f>
        <v/>
      </c>
    </row>
    <row r="390">
      <c r="A390" s="41" t="str">
        <f>IFERROR(__xludf.DUMMYFUNCTION("""COMPUTED_VALUE"""),"Java, Oracle, Weblogic")</f>
        <v>Java, Oracle, Weblogic</v>
      </c>
      <c r="B390" s="42" t="s">
        <v>44</v>
      </c>
      <c r="C390" s="41" t="s">
        <v>809</v>
      </c>
      <c r="N390" s="38"/>
      <c r="P390" s="42" t="str">
        <f>IFERROR(__xludf.DUMMYFUNCTION("""COMPUTED_VALUE"""),"question.")</f>
        <v>question.</v>
      </c>
      <c r="Q390" s="41" t="str">
        <f>IFERROR(__xludf.DUMMYFUNCTION("""COMPUTED_VALUE"""),"")</f>
        <v/>
      </c>
      <c r="R390" s="41" t="str">
        <f>IFERROR(__xludf.DUMMYFUNCTION("""COMPUTED_VALUE"""),"")</f>
        <v/>
      </c>
      <c r="S390" s="41" t="str">
        <f>IFERROR(__xludf.DUMMYFUNCTION("""COMPUTED_VALUE"""),"")</f>
        <v/>
      </c>
      <c r="T390" s="41" t="str">
        <f>IFERROR(__xludf.DUMMYFUNCTION("""COMPUTED_VALUE"""),"")</f>
        <v/>
      </c>
      <c r="U390" s="41" t="str">
        <f>IFERROR(__xludf.DUMMYFUNCTION("""COMPUTED_VALUE"""),"")</f>
        <v/>
      </c>
      <c r="V390" s="41" t="str">
        <f>IFERROR(__xludf.DUMMYFUNCTION("""COMPUTED_VALUE"""),"")</f>
        <v/>
      </c>
      <c r="W390" s="41" t="str">
        <f>IFERROR(__xludf.DUMMYFUNCTION("""COMPUTED_VALUE"""),"")</f>
        <v/>
      </c>
      <c r="X390" s="41" t="str">
        <f>IFERROR(__xludf.DUMMYFUNCTION("""COMPUTED_VALUE"""),"")</f>
        <v/>
      </c>
      <c r="Y390" s="41" t="str">
        <f>IFERROR(__xludf.DUMMYFUNCTION("""COMPUTED_VALUE"""),"")</f>
        <v/>
      </c>
      <c r="Z390" s="41" t="str">
        <f>IFERROR(__xludf.DUMMYFUNCTION("""COMPUTED_VALUE"""),"")</f>
        <v/>
      </c>
      <c r="AA390" s="41" t="str">
        <f>IFERROR(__xludf.DUMMYFUNCTION("""COMPUTED_VALUE"""),"")</f>
        <v/>
      </c>
      <c r="AB390" s="38" t="str">
        <f>IFERROR(__xludf.DUMMYFUNCTION("""COMPUTED_VALUE"""),"")</f>
        <v/>
      </c>
    </row>
    <row r="391">
      <c r="A391" s="41" t="str">
        <f>IFERROR(__xludf.DUMMYFUNCTION("""COMPUTED_VALUE"""),"Microsoft Platform, Power BI, Slate, Salesforce")</f>
        <v>Microsoft Platform, Power BI, Slate, Salesforce</v>
      </c>
      <c r="B391" s="42" t="s">
        <v>1979</v>
      </c>
      <c r="C391" s="41" t="s">
        <v>4202</v>
      </c>
      <c r="D391" s="41" t="s">
        <v>3663</v>
      </c>
      <c r="E391" s="41" t="s">
        <v>4269</v>
      </c>
      <c r="N391" s="38"/>
      <c r="P391" s="46" t="str">
        <f>IFERROR(__xludf.DUMMYFUNCTION("""COMPUTED_VALUE"""),"asp.net")</f>
        <v>asp.net</v>
      </c>
      <c r="Q391" s="41" t="str">
        <f>IFERROR(__xludf.DUMMYFUNCTION("""COMPUTED_VALUE"""),"")</f>
        <v/>
      </c>
      <c r="R391" s="41" t="str">
        <f>IFERROR(__xludf.DUMMYFUNCTION("""COMPUTED_VALUE"""),"")</f>
        <v/>
      </c>
      <c r="S391" s="41" t="str">
        <f>IFERROR(__xludf.DUMMYFUNCTION("""COMPUTED_VALUE"""),"")</f>
        <v/>
      </c>
      <c r="T391" s="41" t="str">
        <f>IFERROR(__xludf.DUMMYFUNCTION("""COMPUTED_VALUE"""),"")</f>
        <v/>
      </c>
      <c r="U391" s="41" t="str">
        <f>IFERROR(__xludf.DUMMYFUNCTION("""COMPUTED_VALUE"""),"")</f>
        <v/>
      </c>
      <c r="V391" s="41" t="str">
        <f>IFERROR(__xludf.DUMMYFUNCTION("""COMPUTED_VALUE"""),"")</f>
        <v/>
      </c>
      <c r="W391" s="41" t="str">
        <f>IFERROR(__xludf.DUMMYFUNCTION("""COMPUTED_VALUE"""),"")</f>
        <v/>
      </c>
      <c r="X391" s="41" t="str">
        <f>IFERROR(__xludf.DUMMYFUNCTION("""COMPUTED_VALUE"""),"")</f>
        <v/>
      </c>
      <c r="Y391" s="41" t="str">
        <f>IFERROR(__xludf.DUMMYFUNCTION("""COMPUTED_VALUE"""),"")</f>
        <v/>
      </c>
      <c r="Z391" s="41" t="str">
        <f>IFERROR(__xludf.DUMMYFUNCTION("""COMPUTED_VALUE"""),"")</f>
        <v/>
      </c>
      <c r="AA391" s="41" t="str">
        <f>IFERROR(__xludf.DUMMYFUNCTION("""COMPUTED_VALUE"""),"")</f>
        <v/>
      </c>
      <c r="AB391" s="38" t="str">
        <f>IFERROR(__xludf.DUMMYFUNCTION("""COMPUTED_VALUE"""),"")</f>
        <v/>
      </c>
    </row>
    <row r="392">
      <c r="A392" s="41" t="str">
        <f>IFERROR(__xludf.DUMMYFUNCTION("""COMPUTED_VALUE"""),"Python, AWS")</f>
        <v>Python, AWS</v>
      </c>
      <c r="B392" s="42" t="s">
        <v>224</v>
      </c>
      <c r="C392" s="41" t="s">
        <v>4255</v>
      </c>
      <c r="D392" s="41" t="s">
        <v>4410</v>
      </c>
      <c r="N392" s="38"/>
      <c r="P392" s="42" t="str">
        <f>IFERROR(__xludf.DUMMYFUNCTION("""COMPUTED_VALUE"""),"3.5")</f>
        <v>3.5</v>
      </c>
      <c r="Q392" s="41" t="str">
        <f>IFERROR(__xludf.DUMMYFUNCTION("""COMPUTED_VALUE"""),"")</f>
        <v/>
      </c>
      <c r="R392" s="41" t="str">
        <f>IFERROR(__xludf.DUMMYFUNCTION("""COMPUTED_VALUE"""),"")</f>
        <v/>
      </c>
      <c r="S392" s="41" t="str">
        <f>IFERROR(__xludf.DUMMYFUNCTION("""COMPUTED_VALUE"""),"")</f>
        <v/>
      </c>
      <c r="T392" s="41" t="str">
        <f>IFERROR(__xludf.DUMMYFUNCTION("""COMPUTED_VALUE"""),"")</f>
        <v/>
      </c>
      <c r="U392" s="41" t="str">
        <f>IFERROR(__xludf.DUMMYFUNCTION("""COMPUTED_VALUE"""),"")</f>
        <v/>
      </c>
      <c r="V392" s="41" t="str">
        <f>IFERROR(__xludf.DUMMYFUNCTION("""COMPUTED_VALUE"""),"")</f>
        <v/>
      </c>
      <c r="W392" s="41" t="str">
        <f>IFERROR(__xludf.DUMMYFUNCTION("""COMPUTED_VALUE"""),"")</f>
        <v/>
      </c>
      <c r="X392" s="41" t="str">
        <f>IFERROR(__xludf.DUMMYFUNCTION("""COMPUTED_VALUE"""),"")</f>
        <v/>
      </c>
      <c r="Y392" s="41" t="str">
        <f>IFERROR(__xludf.DUMMYFUNCTION("""COMPUTED_VALUE"""),"")</f>
        <v/>
      </c>
      <c r="Z392" s="41" t="str">
        <f>IFERROR(__xludf.DUMMYFUNCTION("""COMPUTED_VALUE"""),"")</f>
        <v/>
      </c>
      <c r="AA392" s="41" t="str">
        <f>IFERROR(__xludf.DUMMYFUNCTION("""COMPUTED_VALUE"""),"")</f>
        <v/>
      </c>
      <c r="AB392" s="38" t="str">
        <f>IFERROR(__xludf.DUMMYFUNCTION("""COMPUTED_VALUE"""),"")</f>
        <v/>
      </c>
    </row>
    <row r="393">
      <c r="A393" s="41" t="str">
        <f>IFERROR(__xludf.DUMMYFUNCTION("""COMPUTED_VALUE"""),"COLDFUSION")</f>
        <v>COLDFUSION</v>
      </c>
      <c r="B393" s="42" t="s">
        <v>4411</v>
      </c>
      <c r="C393" s="41" t="s">
        <v>1584</v>
      </c>
      <c r="D393" s="41" t="s">
        <v>4412</v>
      </c>
      <c r="E393" s="41" t="s">
        <v>1922</v>
      </c>
      <c r="N393" s="38"/>
      <c r="P393" s="42" t="str">
        <f>IFERROR(__xludf.DUMMYFUNCTION("""COMPUTED_VALUE"""),"node")</f>
        <v>node</v>
      </c>
      <c r="Q393" s="41" t="str">
        <f>IFERROR(__xludf.DUMMYFUNCTION("""COMPUTED_VALUE"""),"")</f>
        <v/>
      </c>
      <c r="R393" s="41" t="str">
        <f>IFERROR(__xludf.DUMMYFUNCTION("""COMPUTED_VALUE"""),"")</f>
        <v/>
      </c>
      <c r="S393" s="41" t="str">
        <f>IFERROR(__xludf.DUMMYFUNCTION("""COMPUTED_VALUE"""),"")</f>
        <v/>
      </c>
      <c r="T393" s="41" t="str">
        <f>IFERROR(__xludf.DUMMYFUNCTION("""COMPUTED_VALUE"""),"")</f>
        <v/>
      </c>
      <c r="U393" s="41" t="str">
        <f>IFERROR(__xludf.DUMMYFUNCTION("""COMPUTED_VALUE"""),"")</f>
        <v/>
      </c>
      <c r="V393" s="41" t="str">
        <f>IFERROR(__xludf.DUMMYFUNCTION("""COMPUTED_VALUE"""),"")</f>
        <v/>
      </c>
      <c r="W393" s="41" t="str">
        <f>IFERROR(__xludf.DUMMYFUNCTION("""COMPUTED_VALUE"""),"")</f>
        <v/>
      </c>
      <c r="X393" s="41" t="str">
        <f>IFERROR(__xludf.DUMMYFUNCTION("""COMPUTED_VALUE"""),"")</f>
        <v/>
      </c>
      <c r="Y393" s="41" t="str">
        <f>IFERROR(__xludf.DUMMYFUNCTION("""COMPUTED_VALUE"""),"")</f>
        <v/>
      </c>
      <c r="Z393" s="41" t="str">
        <f>IFERROR(__xludf.DUMMYFUNCTION("""COMPUTED_VALUE"""),"")</f>
        <v/>
      </c>
      <c r="AA393" s="41" t="str">
        <f>IFERROR(__xludf.DUMMYFUNCTION("""COMPUTED_VALUE"""),"")</f>
        <v/>
      </c>
      <c r="AB393" s="38" t="str">
        <f>IFERROR(__xludf.DUMMYFUNCTION("""COMPUTED_VALUE"""),"")</f>
        <v/>
      </c>
    </row>
    <row r="394">
      <c r="A394" s="41" t="str">
        <f>IFERROR(__xludf.DUMMYFUNCTION("""COMPUTED_VALUE"""),"c#")</f>
        <v>c#</v>
      </c>
      <c r="B394" s="42" t="s">
        <v>78</v>
      </c>
      <c r="C394" s="41" t="s">
        <v>1233</v>
      </c>
      <c r="N394" s="38"/>
      <c r="P394" s="42" t="str">
        <f>IFERROR(__xludf.DUMMYFUNCTION("""COMPUTED_VALUE"""),"js")</f>
        <v>js</v>
      </c>
      <c r="Q394" s="41" t="str">
        <f>IFERROR(__xludf.DUMMYFUNCTION("""COMPUTED_VALUE"""),"")</f>
        <v/>
      </c>
      <c r="R394" s="41" t="str">
        <f>IFERROR(__xludf.DUMMYFUNCTION("""COMPUTED_VALUE"""),"")</f>
        <v/>
      </c>
      <c r="S394" s="41" t="str">
        <f>IFERROR(__xludf.DUMMYFUNCTION("""COMPUTED_VALUE"""),"")</f>
        <v/>
      </c>
      <c r="T394" s="41" t="str">
        <f>IFERROR(__xludf.DUMMYFUNCTION("""COMPUTED_VALUE"""),"")</f>
        <v/>
      </c>
      <c r="U394" s="41" t="str">
        <f>IFERROR(__xludf.DUMMYFUNCTION("""COMPUTED_VALUE"""),"")</f>
        <v/>
      </c>
      <c r="V394" s="41" t="str">
        <f>IFERROR(__xludf.DUMMYFUNCTION("""COMPUTED_VALUE"""),"")</f>
        <v/>
      </c>
      <c r="W394" s="41" t="str">
        <f>IFERROR(__xludf.DUMMYFUNCTION("""COMPUTED_VALUE"""),"")</f>
        <v/>
      </c>
      <c r="X394" s="41" t="str">
        <f>IFERROR(__xludf.DUMMYFUNCTION("""COMPUTED_VALUE"""),"")</f>
        <v/>
      </c>
      <c r="Y394" s="41" t="str">
        <f>IFERROR(__xludf.DUMMYFUNCTION("""COMPUTED_VALUE"""),"")</f>
        <v/>
      </c>
      <c r="Z394" s="41" t="str">
        <f>IFERROR(__xludf.DUMMYFUNCTION("""COMPUTED_VALUE"""),"")</f>
        <v/>
      </c>
      <c r="AA394" s="41" t="str">
        <f>IFERROR(__xludf.DUMMYFUNCTION("""COMPUTED_VALUE"""),"")</f>
        <v/>
      </c>
      <c r="AB394" s="38" t="str">
        <f>IFERROR(__xludf.DUMMYFUNCTION("""COMPUTED_VALUE"""),"")</f>
        <v/>
      </c>
    </row>
    <row r="395">
      <c r="A395" s="41" t="str">
        <f>IFERROR(__xludf.DUMMYFUNCTION("""COMPUTED_VALUE"""),"Web development, mobile development")</f>
        <v>Web development, mobile development</v>
      </c>
      <c r="B395" s="42" t="s">
        <v>1023</v>
      </c>
      <c r="N395" s="38"/>
      <c r="P395" s="42" t="str">
        <f>IFERROR(__xludf.DUMMYFUNCTION("""COMPUTED_VALUE"""),"javascript")</f>
        <v>javascript</v>
      </c>
      <c r="Q395" s="41" t="str">
        <f>IFERROR(__xludf.DUMMYFUNCTION("""COMPUTED_VALUE"""),"")</f>
        <v/>
      </c>
      <c r="R395" s="41" t="str">
        <f>IFERROR(__xludf.DUMMYFUNCTION("""COMPUTED_VALUE"""),"")</f>
        <v/>
      </c>
      <c r="S395" s="41" t="str">
        <f>IFERROR(__xludf.DUMMYFUNCTION("""COMPUTED_VALUE"""),"")</f>
        <v/>
      </c>
      <c r="T395" s="41" t="str">
        <f>IFERROR(__xludf.DUMMYFUNCTION("""COMPUTED_VALUE"""),"")</f>
        <v/>
      </c>
      <c r="U395" s="41" t="str">
        <f>IFERROR(__xludf.DUMMYFUNCTION("""COMPUTED_VALUE"""),"")</f>
        <v/>
      </c>
      <c r="V395" s="41" t="str">
        <f>IFERROR(__xludf.DUMMYFUNCTION("""COMPUTED_VALUE"""),"")</f>
        <v/>
      </c>
      <c r="W395" s="41" t="str">
        <f>IFERROR(__xludf.DUMMYFUNCTION("""COMPUTED_VALUE"""),"")</f>
        <v/>
      </c>
      <c r="X395" s="41" t="str">
        <f>IFERROR(__xludf.DUMMYFUNCTION("""COMPUTED_VALUE"""),"")</f>
        <v/>
      </c>
      <c r="Y395" s="41" t="str">
        <f>IFERROR(__xludf.DUMMYFUNCTION("""COMPUTED_VALUE"""),"")</f>
        <v/>
      </c>
      <c r="Z395" s="41" t="str">
        <f>IFERROR(__xludf.DUMMYFUNCTION("""COMPUTED_VALUE"""),"")</f>
        <v/>
      </c>
      <c r="AA395" s="41" t="str">
        <f>IFERROR(__xludf.DUMMYFUNCTION("""COMPUTED_VALUE"""),"")</f>
        <v/>
      </c>
      <c r="AB395" s="38" t="str">
        <f>IFERROR(__xludf.DUMMYFUNCTION("""COMPUTED_VALUE"""),"")</f>
        <v/>
      </c>
    </row>
    <row r="396">
      <c r="A396" s="41" t="str">
        <f>IFERROR(__xludf.DUMMYFUNCTION("""COMPUTED_VALUE"""),"Java, Spring Boot, MongoDB")</f>
        <v>Java, Spring Boot, MongoDB</v>
      </c>
      <c r="B396" s="42" t="s">
        <v>1378</v>
      </c>
      <c r="N396" s="38"/>
      <c r="P396" s="42" t="str">
        <f>IFERROR(__xludf.DUMMYFUNCTION("""COMPUTED_VALUE"""),"python")</f>
        <v>python</v>
      </c>
      <c r="Q396" s="41" t="str">
        <f>IFERROR(__xludf.DUMMYFUNCTION("""COMPUTED_VALUE"""),"")</f>
        <v/>
      </c>
      <c r="R396" s="41" t="str">
        <f>IFERROR(__xludf.DUMMYFUNCTION("""COMPUTED_VALUE"""),"")</f>
        <v/>
      </c>
      <c r="S396" s="41" t="str">
        <f>IFERROR(__xludf.DUMMYFUNCTION("""COMPUTED_VALUE"""),"")</f>
        <v/>
      </c>
      <c r="T396" s="41" t="str">
        <f>IFERROR(__xludf.DUMMYFUNCTION("""COMPUTED_VALUE"""),"")</f>
        <v/>
      </c>
      <c r="U396" s="41" t="str">
        <f>IFERROR(__xludf.DUMMYFUNCTION("""COMPUTED_VALUE"""),"")</f>
        <v/>
      </c>
      <c r="V396" s="41" t="str">
        <f>IFERROR(__xludf.DUMMYFUNCTION("""COMPUTED_VALUE"""),"")</f>
        <v/>
      </c>
      <c r="W396" s="41" t="str">
        <f>IFERROR(__xludf.DUMMYFUNCTION("""COMPUTED_VALUE"""),"")</f>
        <v/>
      </c>
      <c r="X396" s="41" t="str">
        <f>IFERROR(__xludf.DUMMYFUNCTION("""COMPUTED_VALUE"""),"")</f>
        <v/>
      </c>
      <c r="Y396" s="41" t="str">
        <f>IFERROR(__xludf.DUMMYFUNCTION("""COMPUTED_VALUE"""),"")</f>
        <v/>
      </c>
      <c r="Z396" s="41" t="str">
        <f>IFERROR(__xludf.DUMMYFUNCTION("""COMPUTED_VALUE"""),"")</f>
        <v/>
      </c>
      <c r="AA396" s="41" t="str">
        <f>IFERROR(__xludf.DUMMYFUNCTION("""COMPUTED_VALUE"""),"")</f>
        <v/>
      </c>
      <c r="AB396" s="38" t="str">
        <f>IFERROR(__xludf.DUMMYFUNCTION("""COMPUTED_VALUE"""),"")</f>
        <v/>
      </c>
    </row>
    <row r="397">
      <c r="A397" s="41" t="str">
        <f>IFERROR(__xludf.DUMMYFUNCTION("""COMPUTED_VALUE"""),"Python, unix")</f>
        <v>Python, unix</v>
      </c>
      <c r="B397" s="42" t="s">
        <v>3692</v>
      </c>
      <c r="C397" s="41" t="s">
        <v>4413</v>
      </c>
      <c r="N397" s="38"/>
      <c r="P397" s="42" t="str">
        <f>IFERROR(__xludf.DUMMYFUNCTION("""COMPUTED_VALUE"""),"vscode")</f>
        <v>vscode</v>
      </c>
      <c r="Q397" s="41" t="str">
        <f>IFERROR(__xludf.DUMMYFUNCTION("""COMPUTED_VALUE"""),"")</f>
        <v/>
      </c>
      <c r="R397" s="41" t="str">
        <f>IFERROR(__xludf.DUMMYFUNCTION("""COMPUTED_VALUE"""),"")</f>
        <v/>
      </c>
      <c r="S397" s="41" t="str">
        <f>IFERROR(__xludf.DUMMYFUNCTION("""COMPUTED_VALUE"""),"")</f>
        <v/>
      </c>
      <c r="T397" s="41" t="str">
        <f>IFERROR(__xludf.DUMMYFUNCTION("""COMPUTED_VALUE"""),"")</f>
        <v/>
      </c>
      <c r="U397" s="41" t="str">
        <f>IFERROR(__xludf.DUMMYFUNCTION("""COMPUTED_VALUE"""),"")</f>
        <v/>
      </c>
      <c r="V397" s="41" t="str">
        <f>IFERROR(__xludf.DUMMYFUNCTION("""COMPUTED_VALUE"""),"")</f>
        <v/>
      </c>
      <c r="W397" s="41" t="str">
        <f>IFERROR(__xludf.DUMMYFUNCTION("""COMPUTED_VALUE"""),"")</f>
        <v/>
      </c>
      <c r="X397" s="41" t="str">
        <f>IFERROR(__xludf.DUMMYFUNCTION("""COMPUTED_VALUE"""),"")</f>
        <v/>
      </c>
      <c r="Y397" s="41" t="str">
        <f>IFERROR(__xludf.DUMMYFUNCTION("""COMPUTED_VALUE"""),"")</f>
        <v/>
      </c>
      <c r="Z397" s="41" t="str">
        <f>IFERROR(__xludf.DUMMYFUNCTION("""COMPUTED_VALUE"""),"")</f>
        <v/>
      </c>
      <c r="AA397" s="41" t="str">
        <f>IFERROR(__xludf.DUMMYFUNCTION("""COMPUTED_VALUE"""),"")</f>
        <v/>
      </c>
      <c r="AB397" s="38" t="str">
        <f>IFERROR(__xludf.DUMMYFUNCTION("""COMPUTED_VALUE"""),"")</f>
        <v/>
      </c>
    </row>
    <row r="398">
      <c r="A398" s="41" t="str">
        <f>IFERROR(__xludf.DUMMYFUNCTION("""COMPUTED_VALUE"""),"Ruby on Rails")</f>
        <v>Ruby on Rails</v>
      </c>
      <c r="B398" s="42" t="s">
        <v>224</v>
      </c>
      <c r="C398" s="41" t="s">
        <v>4344</v>
      </c>
      <c r="D398" s="41" t="s">
        <v>4225</v>
      </c>
      <c r="N398" s="38"/>
      <c r="P398" s="42" t="str">
        <f>IFERROR(__xludf.DUMMYFUNCTION("""COMPUTED_VALUE"""),"angular")</f>
        <v>angular</v>
      </c>
      <c r="Q398" s="41" t="str">
        <f>IFERROR(__xludf.DUMMYFUNCTION("""COMPUTED_VALUE"""),"")</f>
        <v/>
      </c>
      <c r="R398" s="41" t="str">
        <f>IFERROR(__xludf.DUMMYFUNCTION("""COMPUTED_VALUE"""),"")</f>
        <v/>
      </c>
      <c r="S398" s="41" t="str">
        <f>IFERROR(__xludf.DUMMYFUNCTION("""COMPUTED_VALUE"""),"")</f>
        <v/>
      </c>
      <c r="T398" s="41" t="str">
        <f>IFERROR(__xludf.DUMMYFUNCTION("""COMPUTED_VALUE"""),"")</f>
        <v/>
      </c>
      <c r="U398" s="41" t="str">
        <f>IFERROR(__xludf.DUMMYFUNCTION("""COMPUTED_VALUE"""),"")</f>
        <v/>
      </c>
      <c r="V398" s="41" t="str">
        <f>IFERROR(__xludf.DUMMYFUNCTION("""COMPUTED_VALUE"""),"")</f>
        <v/>
      </c>
      <c r="W398" s="41" t="str">
        <f>IFERROR(__xludf.DUMMYFUNCTION("""COMPUTED_VALUE"""),"")</f>
        <v/>
      </c>
      <c r="X398" s="41" t="str">
        <f>IFERROR(__xludf.DUMMYFUNCTION("""COMPUTED_VALUE"""),"")</f>
        <v/>
      </c>
      <c r="Y398" s="41" t="str">
        <f>IFERROR(__xludf.DUMMYFUNCTION("""COMPUTED_VALUE"""),"")</f>
        <v/>
      </c>
      <c r="Z398" s="41" t="str">
        <f>IFERROR(__xludf.DUMMYFUNCTION("""COMPUTED_VALUE"""),"")</f>
        <v/>
      </c>
      <c r="AA398" s="41" t="str">
        <f>IFERROR(__xludf.DUMMYFUNCTION("""COMPUTED_VALUE"""),"")</f>
        <v/>
      </c>
      <c r="AB398" s="38" t="str">
        <f>IFERROR(__xludf.DUMMYFUNCTION("""COMPUTED_VALUE"""),"")</f>
        <v/>
      </c>
    </row>
    <row r="399">
      <c r="A399" s="41" t="str">
        <f>IFERROR(__xludf.DUMMYFUNCTION("""COMPUTED_VALUE"""),"Game development, CG, CV")</f>
        <v>Game development, CG, CV</v>
      </c>
      <c r="B399" s="42" t="s">
        <v>78</v>
      </c>
      <c r="C399" s="41" t="s">
        <v>4414</v>
      </c>
      <c r="N399" s="38"/>
      <c r="P399" s="42" t="str">
        <f>IFERROR(__xludf.DUMMYFUNCTION("""COMPUTED_VALUE"""),"react")</f>
        <v>react</v>
      </c>
      <c r="Q399" s="41" t="str">
        <f>IFERROR(__xludf.DUMMYFUNCTION("""COMPUTED_VALUE"""),"")</f>
        <v/>
      </c>
      <c r="R399" s="41" t="str">
        <f>IFERROR(__xludf.DUMMYFUNCTION("""COMPUTED_VALUE"""),"")</f>
        <v/>
      </c>
      <c r="S399" s="41" t="str">
        <f>IFERROR(__xludf.DUMMYFUNCTION("""COMPUTED_VALUE"""),"")</f>
        <v/>
      </c>
      <c r="T399" s="41" t="str">
        <f>IFERROR(__xludf.DUMMYFUNCTION("""COMPUTED_VALUE"""),"")</f>
        <v/>
      </c>
      <c r="U399" s="41" t="str">
        <f>IFERROR(__xludf.DUMMYFUNCTION("""COMPUTED_VALUE"""),"")</f>
        <v/>
      </c>
      <c r="V399" s="41" t="str">
        <f>IFERROR(__xludf.DUMMYFUNCTION("""COMPUTED_VALUE"""),"")</f>
        <v/>
      </c>
      <c r="W399" s="41" t="str">
        <f>IFERROR(__xludf.DUMMYFUNCTION("""COMPUTED_VALUE"""),"")</f>
        <v/>
      </c>
      <c r="X399" s="41" t="str">
        <f>IFERROR(__xludf.DUMMYFUNCTION("""COMPUTED_VALUE"""),"")</f>
        <v/>
      </c>
      <c r="Y399" s="41" t="str">
        <f>IFERROR(__xludf.DUMMYFUNCTION("""COMPUTED_VALUE"""),"")</f>
        <v/>
      </c>
      <c r="Z399" s="41" t="str">
        <f>IFERROR(__xludf.DUMMYFUNCTION("""COMPUTED_VALUE"""),"")</f>
        <v/>
      </c>
      <c r="AA399" s="41" t="str">
        <f>IFERROR(__xludf.DUMMYFUNCTION("""COMPUTED_VALUE"""),"")</f>
        <v/>
      </c>
      <c r="AB399" s="38" t="str">
        <f>IFERROR(__xludf.DUMMYFUNCTION("""COMPUTED_VALUE"""),"")</f>
        <v/>
      </c>
    </row>
    <row r="400">
      <c r="A400" s="41" t="str">
        <f>IFERROR(__xludf.DUMMYFUNCTION("""COMPUTED_VALUE"""),"Javascript")</f>
        <v>Javascript</v>
      </c>
      <c r="B400" s="42" t="s">
        <v>358</v>
      </c>
      <c r="N400" s="38"/>
      <c r="P400" s="42" t="str">
        <f>IFERROR(__xludf.DUMMYFUNCTION("""COMPUTED_VALUE"""),"gcp")</f>
        <v>gcp</v>
      </c>
      <c r="Q400" s="41" t="str">
        <f>IFERROR(__xludf.DUMMYFUNCTION("""COMPUTED_VALUE"""),"")</f>
        <v/>
      </c>
      <c r="R400" s="41" t="str">
        <f>IFERROR(__xludf.DUMMYFUNCTION("""COMPUTED_VALUE"""),"")</f>
        <v/>
      </c>
      <c r="S400" s="41" t="str">
        <f>IFERROR(__xludf.DUMMYFUNCTION("""COMPUTED_VALUE"""),"")</f>
        <v/>
      </c>
      <c r="T400" s="41" t="str">
        <f>IFERROR(__xludf.DUMMYFUNCTION("""COMPUTED_VALUE"""),"")</f>
        <v/>
      </c>
      <c r="U400" s="41" t="str">
        <f>IFERROR(__xludf.DUMMYFUNCTION("""COMPUTED_VALUE"""),"")</f>
        <v/>
      </c>
      <c r="V400" s="41" t="str">
        <f>IFERROR(__xludf.DUMMYFUNCTION("""COMPUTED_VALUE"""),"")</f>
        <v/>
      </c>
      <c r="W400" s="41" t="str">
        <f>IFERROR(__xludf.DUMMYFUNCTION("""COMPUTED_VALUE"""),"")</f>
        <v/>
      </c>
      <c r="X400" s="41" t="str">
        <f>IFERROR(__xludf.DUMMYFUNCTION("""COMPUTED_VALUE"""),"")</f>
        <v/>
      </c>
      <c r="Y400" s="41" t="str">
        <f>IFERROR(__xludf.DUMMYFUNCTION("""COMPUTED_VALUE"""),"")</f>
        <v/>
      </c>
      <c r="Z400" s="41" t="str">
        <f>IFERROR(__xludf.DUMMYFUNCTION("""COMPUTED_VALUE"""),"")</f>
        <v/>
      </c>
      <c r="AA400" s="41" t="str">
        <f>IFERROR(__xludf.DUMMYFUNCTION("""COMPUTED_VALUE"""),"")</f>
        <v/>
      </c>
      <c r="AB400" s="38" t="str">
        <f>IFERROR(__xludf.DUMMYFUNCTION("""COMPUTED_VALUE"""),"")</f>
        <v/>
      </c>
    </row>
    <row r="401">
      <c r="A401" s="41" t="str">
        <f>IFERROR(__xludf.DUMMYFUNCTION("""COMPUTED_VALUE"""),"AI")</f>
        <v>AI</v>
      </c>
      <c r="B401" s="42" t="s">
        <v>4415</v>
      </c>
      <c r="C401" s="41" t="s">
        <v>4416</v>
      </c>
      <c r="D401" s="41" t="s">
        <v>4417</v>
      </c>
      <c r="N401" s="38"/>
      <c r="P401" s="42" t="str">
        <f>IFERROR(__xludf.DUMMYFUNCTION("""COMPUTED_VALUE"""),"blockchain")</f>
        <v>blockchain</v>
      </c>
      <c r="Q401" s="41" t="str">
        <f>IFERROR(__xludf.DUMMYFUNCTION("""COMPUTED_VALUE"""),"")</f>
        <v/>
      </c>
      <c r="R401" s="41" t="str">
        <f>IFERROR(__xludf.DUMMYFUNCTION("""COMPUTED_VALUE"""),"")</f>
        <v/>
      </c>
      <c r="S401" s="41" t="str">
        <f>IFERROR(__xludf.DUMMYFUNCTION("""COMPUTED_VALUE"""),"")</f>
        <v/>
      </c>
      <c r="T401" s="41" t="str">
        <f>IFERROR(__xludf.DUMMYFUNCTION("""COMPUTED_VALUE"""),"")</f>
        <v/>
      </c>
      <c r="U401" s="41" t="str">
        <f>IFERROR(__xludf.DUMMYFUNCTION("""COMPUTED_VALUE"""),"")</f>
        <v/>
      </c>
      <c r="V401" s="41" t="str">
        <f>IFERROR(__xludf.DUMMYFUNCTION("""COMPUTED_VALUE"""),"")</f>
        <v/>
      </c>
      <c r="W401" s="41" t="str">
        <f>IFERROR(__xludf.DUMMYFUNCTION("""COMPUTED_VALUE"""),"")</f>
        <v/>
      </c>
      <c r="X401" s="41" t="str">
        <f>IFERROR(__xludf.DUMMYFUNCTION("""COMPUTED_VALUE"""),"")</f>
        <v/>
      </c>
      <c r="Y401" s="41" t="str">
        <f>IFERROR(__xludf.DUMMYFUNCTION("""COMPUTED_VALUE"""),"")</f>
        <v/>
      </c>
      <c r="Z401" s="41" t="str">
        <f>IFERROR(__xludf.DUMMYFUNCTION("""COMPUTED_VALUE"""),"")</f>
        <v/>
      </c>
      <c r="AA401" s="41" t="str">
        <f>IFERROR(__xludf.DUMMYFUNCTION("""COMPUTED_VALUE"""),"")</f>
        <v/>
      </c>
      <c r="AB401" s="38" t="str">
        <f>IFERROR(__xludf.DUMMYFUNCTION("""COMPUTED_VALUE"""),"")</f>
        <v/>
      </c>
    </row>
    <row r="402">
      <c r="A402" s="41" t="str">
        <f>IFERROR(__xludf.DUMMYFUNCTION("""COMPUTED_VALUE"""),"Laptop")</f>
        <v>Laptop</v>
      </c>
      <c r="B402" s="42" t="s">
        <v>712</v>
      </c>
      <c r="N402" s="38"/>
      <c r="P402" s="42" t="str">
        <f>IFERROR(__xludf.DUMMYFUNCTION("""COMPUTED_VALUE"""),"angular")</f>
        <v>angular</v>
      </c>
      <c r="Q402" s="41" t="str">
        <f>IFERROR(__xludf.DUMMYFUNCTION("""COMPUTED_VALUE"""),"")</f>
        <v/>
      </c>
      <c r="R402" s="41" t="str">
        <f>IFERROR(__xludf.DUMMYFUNCTION("""COMPUTED_VALUE"""),"")</f>
        <v/>
      </c>
      <c r="S402" s="41" t="str">
        <f>IFERROR(__xludf.DUMMYFUNCTION("""COMPUTED_VALUE"""),"")</f>
        <v/>
      </c>
      <c r="T402" s="41" t="str">
        <f>IFERROR(__xludf.DUMMYFUNCTION("""COMPUTED_VALUE"""),"")</f>
        <v/>
      </c>
      <c r="U402" s="41" t="str">
        <f>IFERROR(__xludf.DUMMYFUNCTION("""COMPUTED_VALUE"""),"")</f>
        <v/>
      </c>
      <c r="V402" s="41" t="str">
        <f>IFERROR(__xludf.DUMMYFUNCTION("""COMPUTED_VALUE"""),"")</f>
        <v/>
      </c>
      <c r="W402" s="41" t="str">
        <f>IFERROR(__xludf.DUMMYFUNCTION("""COMPUTED_VALUE"""),"")</f>
        <v/>
      </c>
      <c r="X402" s="41" t="str">
        <f>IFERROR(__xludf.DUMMYFUNCTION("""COMPUTED_VALUE"""),"")</f>
        <v/>
      </c>
      <c r="Y402" s="41" t="str">
        <f>IFERROR(__xludf.DUMMYFUNCTION("""COMPUTED_VALUE"""),"")</f>
        <v/>
      </c>
      <c r="Z402" s="41" t="str">
        <f>IFERROR(__xludf.DUMMYFUNCTION("""COMPUTED_VALUE"""),"")</f>
        <v/>
      </c>
      <c r="AA402" s="41" t="str">
        <f>IFERROR(__xludf.DUMMYFUNCTION("""COMPUTED_VALUE"""),"")</f>
        <v/>
      </c>
      <c r="AB402" s="38" t="str">
        <f>IFERROR(__xludf.DUMMYFUNCTION("""COMPUTED_VALUE"""),"")</f>
        <v/>
      </c>
    </row>
    <row r="403">
      <c r="A403" s="41" t="str">
        <f>IFERROR(__xludf.DUMMYFUNCTION("""COMPUTED_VALUE"""),"php")</f>
        <v>php</v>
      </c>
      <c r="B403" s="42" t="s">
        <v>1063</v>
      </c>
      <c r="N403" s="38"/>
      <c r="P403" s="42" t="str">
        <f>IFERROR(__xludf.DUMMYFUNCTION("""COMPUTED_VALUE"""),"android")</f>
        <v>android</v>
      </c>
      <c r="Q403" s="41" t="str">
        <f>IFERROR(__xludf.DUMMYFUNCTION("""COMPUTED_VALUE"""),"")</f>
        <v/>
      </c>
      <c r="R403" s="41" t="str">
        <f>IFERROR(__xludf.DUMMYFUNCTION("""COMPUTED_VALUE"""),"")</f>
        <v/>
      </c>
      <c r="S403" s="41" t="str">
        <f>IFERROR(__xludf.DUMMYFUNCTION("""COMPUTED_VALUE"""),"")</f>
        <v/>
      </c>
      <c r="T403" s="41" t="str">
        <f>IFERROR(__xludf.DUMMYFUNCTION("""COMPUTED_VALUE"""),"")</f>
        <v/>
      </c>
      <c r="U403" s="41" t="str">
        <f>IFERROR(__xludf.DUMMYFUNCTION("""COMPUTED_VALUE"""),"")</f>
        <v/>
      </c>
      <c r="V403" s="41" t="str">
        <f>IFERROR(__xludf.DUMMYFUNCTION("""COMPUTED_VALUE"""),"")</f>
        <v/>
      </c>
      <c r="W403" s="41" t="str">
        <f>IFERROR(__xludf.DUMMYFUNCTION("""COMPUTED_VALUE"""),"")</f>
        <v/>
      </c>
      <c r="X403" s="41" t="str">
        <f>IFERROR(__xludf.DUMMYFUNCTION("""COMPUTED_VALUE"""),"")</f>
        <v/>
      </c>
      <c r="Y403" s="41" t="str">
        <f>IFERROR(__xludf.DUMMYFUNCTION("""COMPUTED_VALUE"""),"")</f>
        <v/>
      </c>
      <c r="Z403" s="41" t="str">
        <f>IFERROR(__xludf.DUMMYFUNCTION("""COMPUTED_VALUE"""),"")</f>
        <v/>
      </c>
      <c r="AA403" s="41" t="str">
        <f>IFERROR(__xludf.DUMMYFUNCTION("""COMPUTED_VALUE"""),"")</f>
        <v/>
      </c>
      <c r="AB403" s="38" t="str">
        <f>IFERROR(__xludf.DUMMYFUNCTION("""COMPUTED_VALUE"""),"")</f>
        <v/>
      </c>
    </row>
    <row r="404">
      <c r="A404" s="41" t="str">
        <f>IFERROR(__xludf.DUMMYFUNCTION("""COMPUTED_VALUE"""),"java, docker, codefresh, kubernetes, github, newrelic, postgres, mongodb, kafka, sqs, jira")</f>
        <v>java, docker, codefresh, kubernetes, github, newrelic, postgres, mongodb, kafka, sqs, jira</v>
      </c>
      <c r="B404" s="42" t="s">
        <v>87</v>
      </c>
      <c r="N404" s="38"/>
      <c r="P404" s="42" t="str">
        <f>IFERROR(__xludf.DUMMYFUNCTION("""COMPUTED_VALUE"""),"javascript")</f>
        <v>javascript</v>
      </c>
      <c r="Q404" s="41" t="str">
        <f>IFERROR(__xludf.DUMMYFUNCTION("""COMPUTED_VALUE"""),"")</f>
        <v/>
      </c>
      <c r="R404" s="41" t="str">
        <f>IFERROR(__xludf.DUMMYFUNCTION("""COMPUTED_VALUE"""),"")</f>
        <v/>
      </c>
      <c r="S404" s="41" t="str">
        <f>IFERROR(__xludf.DUMMYFUNCTION("""COMPUTED_VALUE"""),"")</f>
        <v/>
      </c>
      <c r="T404" s="41" t="str">
        <f>IFERROR(__xludf.DUMMYFUNCTION("""COMPUTED_VALUE"""),"")</f>
        <v/>
      </c>
      <c r="U404" s="41" t="str">
        <f>IFERROR(__xludf.DUMMYFUNCTION("""COMPUTED_VALUE"""),"")</f>
        <v/>
      </c>
      <c r="V404" s="41" t="str">
        <f>IFERROR(__xludf.DUMMYFUNCTION("""COMPUTED_VALUE"""),"")</f>
        <v/>
      </c>
      <c r="W404" s="41" t="str">
        <f>IFERROR(__xludf.DUMMYFUNCTION("""COMPUTED_VALUE"""),"")</f>
        <v/>
      </c>
      <c r="X404" s="41" t="str">
        <f>IFERROR(__xludf.DUMMYFUNCTION("""COMPUTED_VALUE"""),"")</f>
        <v/>
      </c>
      <c r="Y404" s="41" t="str">
        <f>IFERROR(__xludf.DUMMYFUNCTION("""COMPUTED_VALUE"""),"")</f>
        <v/>
      </c>
      <c r="Z404" s="41" t="str">
        <f>IFERROR(__xludf.DUMMYFUNCTION("""COMPUTED_VALUE"""),"")</f>
        <v/>
      </c>
      <c r="AA404" s="41" t="str">
        <f>IFERROR(__xludf.DUMMYFUNCTION("""COMPUTED_VALUE"""),"")</f>
        <v/>
      </c>
      <c r="AB404" s="38" t="str">
        <f>IFERROR(__xludf.DUMMYFUNCTION("""COMPUTED_VALUE"""),"")</f>
        <v/>
      </c>
    </row>
    <row r="405">
      <c r="A405" s="41" t="str">
        <f>IFERROR(__xludf.DUMMYFUNCTION("""COMPUTED_VALUE"""),"Mac, swift, objective c, java, kotlin, flutter")</f>
        <v>Mac, swift, objective c, java, kotlin, flutter</v>
      </c>
      <c r="B405" s="42" t="s">
        <v>196</v>
      </c>
      <c r="N405" s="38"/>
      <c r="P405" s="42" t="str">
        <f>IFERROR(__xludf.DUMMYFUNCTION("""COMPUTED_VALUE"""),"java")</f>
        <v>java</v>
      </c>
      <c r="Q405" s="41" t="str">
        <f>IFERROR(__xludf.DUMMYFUNCTION("""COMPUTED_VALUE"""),"")</f>
        <v/>
      </c>
      <c r="R405" s="41" t="str">
        <f>IFERROR(__xludf.DUMMYFUNCTION("""COMPUTED_VALUE"""),"")</f>
        <v/>
      </c>
      <c r="S405" s="41" t="str">
        <f>IFERROR(__xludf.DUMMYFUNCTION("""COMPUTED_VALUE"""),"")</f>
        <v/>
      </c>
      <c r="T405" s="41" t="str">
        <f>IFERROR(__xludf.DUMMYFUNCTION("""COMPUTED_VALUE"""),"")</f>
        <v/>
      </c>
      <c r="U405" s="41" t="str">
        <f>IFERROR(__xludf.DUMMYFUNCTION("""COMPUTED_VALUE"""),"")</f>
        <v/>
      </c>
      <c r="V405" s="41" t="str">
        <f>IFERROR(__xludf.DUMMYFUNCTION("""COMPUTED_VALUE"""),"")</f>
        <v/>
      </c>
      <c r="W405" s="41" t="str">
        <f>IFERROR(__xludf.DUMMYFUNCTION("""COMPUTED_VALUE"""),"")</f>
        <v/>
      </c>
      <c r="X405" s="41" t="str">
        <f>IFERROR(__xludf.DUMMYFUNCTION("""COMPUTED_VALUE"""),"")</f>
        <v/>
      </c>
      <c r="Y405" s="41" t="str">
        <f>IFERROR(__xludf.DUMMYFUNCTION("""COMPUTED_VALUE"""),"")</f>
        <v/>
      </c>
      <c r="Z405" s="41" t="str">
        <f>IFERROR(__xludf.DUMMYFUNCTION("""COMPUTED_VALUE"""),"")</f>
        <v/>
      </c>
      <c r="AA405" s="41" t="str">
        <f>IFERROR(__xludf.DUMMYFUNCTION("""COMPUTED_VALUE"""),"")</f>
        <v/>
      </c>
      <c r="AB405" s="38" t="str">
        <f>IFERROR(__xludf.DUMMYFUNCTION("""COMPUTED_VALUE"""),"")</f>
        <v/>
      </c>
    </row>
    <row r="406">
      <c r="A406" s="41" t="str">
        <f>IFERROR(__xludf.DUMMYFUNCTION("""COMPUTED_VALUE"""),"Go, gRPC, AWS, MYSQL, Redis")</f>
        <v>Go, gRPC, AWS, MYSQL, Redis</v>
      </c>
      <c r="B406" s="42" t="s">
        <v>1483</v>
      </c>
      <c r="C406" s="41" t="s">
        <v>4204</v>
      </c>
      <c r="D406" s="41" t="s">
        <v>4418</v>
      </c>
      <c r="E406" s="41" t="s">
        <v>4341</v>
      </c>
      <c r="F406" s="41" t="s">
        <v>4335</v>
      </c>
      <c r="G406" s="41" t="s">
        <v>4419</v>
      </c>
      <c r="H406" s="41" t="s">
        <v>4420</v>
      </c>
      <c r="I406" s="41" t="s">
        <v>4421</v>
      </c>
      <c r="J406" s="41" t="s">
        <v>4422</v>
      </c>
      <c r="K406" s="41" t="s">
        <v>4423</v>
      </c>
      <c r="L406" s="41" t="s">
        <v>4424</v>
      </c>
      <c r="N406" s="38"/>
      <c r="P406" s="42" t="str">
        <f>IFERROR(__xludf.DUMMYFUNCTION("""COMPUTED_VALUE"""),"android")</f>
        <v>android</v>
      </c>
      <c r="Q406" s="41" t="str">
        <f>IFERROR(__xludf.DUMMYFUNCTION("""COMPUTED_VALUE"""),"")</f>
        <v/>
      </c>
      <c r="R406" s="41" t="str">
        <f>IFERROR(__xludf.DUMMYFUNCTION("""COMPUTED_VALUE"""),"")</f>
        <v/>
      </c>
      <c r="S406" s="41" t="str">
        <f>IFERROR(__xludf.DUMMYFUNCTION("""COMPUTED_VALUE"""),"")</f>
        <v/>
      </c>
      <c r="T406" s="41" t="str">
        <f>IFERROR(__xludf.DUMMYFUNCTION("""COMPUTED_VALUE"""),"")</f>
        <v/>
      </c>
      <c r="U406" s="41" t="str">
        <f>IFERROR(__xludf.DUMMYFUNCTION("""COMPUTED_VALUE"""),"")</f>
        <v/>
      </c>
      <c r="V406" s="41" t="str">
        <f>IFERROR(__xludf.DUMMYFUNCTION("""COMPUTED_VALUE"""),"")</f>
        <v/>
      </c>
      <c r="W406" s="41" t="str">
        <f>IFERROR(__xludf.DUMMYFUNCTION("""COMPUTED_VALUE"""),"")</f>
        <v/>
      </c>
      <c r="X406" s="41" t="str">
        <f>IFERROR(__xludf.DUMMYFUNCTION("""COMPUTED_VALUE"""),"")</f>
        <v/>
      </c>
      <c r="Y406" s="41" t="str">
        <f>IFERROR(__xludf.DUMMYFUNCTION("""COMPUTED_VALUE"""),"")</f>
        <v/>
      </c>
      <c r="Z406" s="41" t="str">
        <f>IFERROR(__xludf.DUMMYFUNCTION("""COMPUTED_VALUE"""),"")</f>
        <v/>
      </c>
      <c r="AA406" s="41" t="str">
        <f>IFERROR(__xludf.DUMMYFUNCTION("""COMPUTED_VALUE"""),"")</f>
        <v/>
      </c>
      <c r="AB406" s="38" t="str">
        <f>IFERROR(__xludf.DUMMYFUNCTION("""COMPUTED_VALUE"""),"")</f>
        <v/>
      </c>
    </row>
    <row r="407">
      <c r="A407" s="41" t="str">
        <f>IFERROR(__xludf.DUMMYFUNCTION("""COMPUTED_VALUE"""),"Golang, rust, nodejs, serverless ")</f>
        <v>Golang, rust, nodejs, serverless </v>
      </c>
      <c r="B407" s="42" t="s">
        <v>4425</v>
      </c>
      <c r="C407" s="41" t="s">
        <v>4426</v>
      </c>
      <c r="D407" s="41" t="s">
        <v>4427</v>
      </c>
      <c r="E407" s="41" t="s">
        <v>1483</v>
      </c>
      <c r="F407" s="41" t="s">
        <v>4428</v>
      </c>
      <c r="G407" s="41" t="s">
        <v>4408</v>
      </c>
      <c r="N407" s="38"/>
      <c r="P407" s="42" t="str">
        <f>IFERROR(__xludf.DUMMYFUNCTION("""COMPUTED_VALUE"""),"swift")</f>
        <v>swift</v>
      </c>
      <c r="Q407" s="41" t="str">
        <f>IFERROR(__xludf.DUMMYFUNCTION("""COMPUTED_VALUE"""),"")</f>
        <v/>
      </c>
      <c r="R407" s="41" t="str">
        <f>IFERROR(__xludf.DUMMYFUNCTION("""COMPUTED_VALUE"""),"")</f>
        <v/>
      </c>
      <c r="S407" s="41" t="str">
        <f>IFERROR(__xludf.DUMMYFUNCTION("""COMPUTED_VALUE"""),"")</f>
        <v/>
      </c>
      <c r="T407" s="41" t="str">
        <f>IFERROR(__xludf.DUMMYFUNCTION("""COMPUTED_VALUE"""),"")</f>
        <v/>
      </c>
      <c r="U407" s="41" t="str">
        <f>IFERROR(__xludf.DUMMYFUNCTION("""COMPUTED_VALUE"""),"")</f>
        <v/>
      </c>
      <c r="V407" s="41" t="str">
        <f>IFERROR(__xludf.DUMMYFUNCTION("""COMPUTED_VALUE"""),"")</f>
        <v/>
      </c>
      <c r="W407" s="41" t="str">
        <f>IFERROR(__xludf.DUMMYFUNCTION("""COMPUTED_VALUE"""),"")</f>
        <v/>
      </c>
      <c r="X407" s="41" t="str">
        <f>IFERROR(__xludf.DUMMYFUNCTION("""COMPUTED_VALUE"""),"")</f>
        <v/>
      </c>
      <c r="Y407" s="41" t="str">
        <f>IFERROR(__xludf.DUMMYFUNCTION("""COMPUTED_VALUE"""),"")</f>
        <v/>
      </c>
      <c r="Z407" s="41" t="str">
        <f>IFERROR(__xludf.DUMMYFUNCTION("""COMPUTED_VALUE"""),"")</f>
        <v/>
      </c>
      <c r="AA407" s="41" t="str">
        <f>IFERROR(__xludf.DUMMYFUNCTION("""COMPUTED_VALUE"""),"")</f>
        <v/>
      </c>
      <c r="AB407" s="38" t="str">
        <f>IFERROR(__xludf.DUMMYFUNCTION("""COMPUTED_VALUE"""),"")</f>
        <v/>
      </c>
    </row>
    <row r="408">
      <c r="A408" s="41" t="str">
        <f>IFERROR(__xludf.DUMMYFUNCTION("""COMPUTED_VALUE"""),"Nodejs, VueJs, MongoDB")</f>
        <v>Nodejs, VueJs, MongoDB</v>
      </c>
      <c r="B408" s="42" t="s">
        <v>4271</v>
      </c>
      <c r="C408" s="41" t="s">
        <v>4429</v>
      </c>
      <c r="D408" s="41" t="s">
        <v>1233</v>
      </c>
      <c r="E408" s="41" t="s">
        <v>4302</v>
      </c>
      <c r="F408" s="41" t="s">
        <v>4215</v>
      </c>
      <c r="N408" s="38"/>
      <c r="P408" s="42" t="str">
        <f>IFERROR(__xludf.DUMMYFUNCTION("""COMPUTED_VALUE"""),"html")</f>
        <v>html</v>
      </c>
      <c r="Q408" s="41" t="str">
        <f>IFERROR(__xludf.DUMMYFUNCTION("""COMPUTED_VALUE"""),"")</f>
        <v/>
      </c>
      <c r="R408" s="41" t="str">
        <f>IFERROR(__xludf.DUMMYFUNCTION("""COMPUTED_VALUE"""),"")</f>
        <v/>
      </c>
      <c r="S408" s="41" t="str">
        <f>IFERROR(__xludf.DUMMYFUNCTION("""COMPUTED_VALUE"""),"")</f>
        <v/>
      </c>
      <c r="T408" s="41" t="str">
        <f>IFERROR(__xludf.DUMMYFUNCTION("""COMPUTED_VALUE"""),"")</f>
        <v/>
      </c>
      <c r="U408" s="41" t="str">
        <f>IFERROR(__xludf.DUMMYFUNCTION("""COMPUTED_VALUE"""),"")</f>
        <v/>
      </c>
      <c r="V408" s="41" t="str">
        <f>IFERROR(__xludf.DUMMYFUNCTION("""COMPUTED_VALUE"""),"")</f>
        <v/>
      </c>
      <c r="W408" s="41" t="str">
        <f>IFERROR(__xludf.DUMMYFUNCTION("""COMPUTED_VALUE"""),"")</f>
        <v/>
      </c>
      <c r="X408" s="41" t="str">
        <f>IFERROR(__xludf.DUMMYFUNCTION("""COMPUTED_VALUE"""),"")</f>
        <v/>
      </c>
      <c r="Y408" s="41" t="str">
        <f>IFERROR(__xludf.DUMMYFUNCTION("""COMPUTED_VALUE"""),"")</f>
        <v/>
      </c>
      <c r="Z408" s="41" t="str">
        <f>IFERROR(__xludf.DUMMYFUNCTION("""COMPUTED_VALUE"""),"")</f>
        <v/>
      </c>
      <c r="AA408" s="41" t="str">
        <f>IFERROR(__xludf.DUMMYFUNCTION("""COMPUTED_VALUE"""),"")</f>
        <v/>
      </c>
      <c r="AB408" s="38" t="str">
        <f>IFERROR(__xludf.DUMMYFUNCTION("""COMPUTED_VALUE"""),"")</f>
        <v/>
      </c>
    </row>
    <row r="409">
      <c r="A409" s="41" t="str">
        <f>IFERROR(__xludf.DUMMYFUNCTION("""COMPUTED_VALUE"""),"Python, R, SAS, SQL")</f>
        <v>Python, R, SAS, SQL</v>
      </c>
      <c r="B409" s="42" t="s">
        <v>1949</v>
      </c>
      <c r="C409" s="41" t="s">
        <v>4430</v>
      </c>
      <c r="D409" s="41" t="s">
        <v>4016</v>
      </c>
      <c r="E409" s="41" t="s">
        <v>4206</v>
      </c>
      <c r="N409" s="38"/>
      <c r="P409" s="42" t="str">
        <f>IFERROR(__xludf.DUMMYFUNCTION("""COMPUTED_VALUE"""),"python")</f>
        <v>python</v>
      </c>
      <c r="Q409" s="41" t="str">
        <f>IFERROR(__xludf.DUMMYFUNCTION("""COMPUTED_VALUE"""),"")</f>
        <v/>
      </c>
      <c r="R409" s="41" t="str">
        <f>IFERROR(__xludf.DUMMYFUNCTION("""COMPUTED_VALUE"""),"")</f>
        <v/>
      </c>
      <c r="S409" s="41" t="str">
        <f>IFERROR(__xludf.DUMMYFUNCTION("""COMPUTED_VALUE"""),"")</f>
        <v/>
      </c>
      <c r="T409" s="41" t="str">
        <f>IFERROR(__xludf.DUMMYFUNCTION("""COMPUTED_VALUE"""),"")</f>
        <v/>
      </c>
      <c r="U409" s="41" t="str">
        <f>IFERROR(__xludf.DUMMYFUNCTION("""COMPUTED_VALUE"""),"")</f>
        <v/>
      </c>
      <c r="V409" s="41" t="str">
        <f>IFERROR(__xludf.DUMMYFUNCTION("""COMPUTED_VALUE"""),"")</f>
        <v/>
      </c>
      <c r="W409" s="41" t="str">
        <f>IFERROR(__xludf.DUMMYFUNCTION("""COMPUTED_VALUE"""),"")</f>
        <v/>
      </c>
      <c r="X409" s="41" t="str">
        <f>IFERROR(__xludf.DUMMYFUNCTION("""COMPUTED_VALUE"""),"")</f>
        <v/>
      </c>
      <c r="Y409" s="41" t="str">
        <f>IFERROR(__xludf.DUMMYFUNCTION("""COMPUTED_VALUE"""),"")</f>
        <v/>
      </c>
      <c r="Z409" s="41" t="str">
        <f>IFERROR(__xludf.DUMMYFUNCTION("""COMPUTED_VALUE"""),"")</f>
        <v/>
      </c>
      <c r="AA409" s="41" t="str">
        <f>IFERROR(__xludf.DUMMYFUNCTION("""COMPUTED_VALUE"""),"")</f>
        <v/>
      </c>
      <c r="AB409" s="38" t="str">
        <f>IFERROR(__xludf.DUMMYFUNCTION("""COMPUTED_VALUE"""),"")</f>
        <v/>
      </c>
    </row>
    <row r="410">
      <c r="A410" s="41" t="str">
        <f>IFERROR(__xludf.DUMMYFUNCTION("""COMPUTED_VALUE"""),"django, pyhton, laravel, ")</f>
        <v>django, pyhton, laravel, </v>
      </c>
      <c r="B410" s="42" t="s">
        <v>4102</v>
      </c>
      <c r="C410" s="41" t="s">
        <v>4431</v>
      </c>
      <c r="D410" s="41" t="s">
        <v>4225</v>
      </c>
      <c r="N410" s="38"/>
      <c r="P410" s="42" t="str">
        <f>IFERROR(__xludf.DUMMYFUNCTION("""COMPUTED_VALUE"""),"hack")</f>
        <v>hack</v>
      </c>
      <c r="Q410" s="41" t="str">
        <f>IFERROR(__xludf.DUMMYFUNCTION("""COMPUTED_VALUE"""),"")</f>
        <v/>
      </c>
      <c r="R410" s="41" t="str">
        <f>IFERROR(__xludf.DUMMYFUNCTION("""COMPUTED_VALUE"""),"")</f>
        <v/>
      </c>
      <c r="S410" s="41" t="str">
        <f>IFERROR(__xludf.DUMMYFUNCTION("""COMPUTED_VALUE"""),"")</f>
        <v/>
      </c>
      <c r="T410" s="41" t="str">
        <f>IFERROR(__xludf.DUMMYFUNCTION("""COMPUTED_VALUE"""),"")</f>
        <v/>
      </c>
      <c r="U410" s="41" t="str">
        <f>IFERROR(__xludf.DUMMYFUNCTION("""COMPUTED_VALUE"""),"")</f>
        <v/>
      </c>
      <c r="V410" s="41" t="str">
        <f>IFERROR(__xludf.DUMMYFUNCTION("""COMPUTED_VALUE"""),"")</f>
        <v/>
      </c>
      <c r="W410" s="41" t="str">
        <f>IFERROR(__xludf.DUMMYFUNCTION("""COMPUTED_VALUE"""),"")</f>
        <v/>
      </c>
      <c r="X410" s="41" t="str">
        <f>IFERROR(__xludf.DUMMYFUNCTION("""COMPUTED_VALUE"""),"")</f>
        <v/>
      </c>
      <c r="Y410" s="41" t="str">
        <f>IFERROR(__xludf.DUMMYFUNCTION("""COMPUTED_VALUE"""),"")</f>
        <v/>
      </c>
      <c r="Z410" s="41" t="str">
        <f>IFERROR(__xludf.DUMMYFUNCTION("""COMPUTED_VALUE"""),"")</f>
        <v/>
      </c>
      <c r="AA410" s="41" t="str">
        <f>IFERROR(__xludf.DUMMYFUNCTION("""COMPUTED_VALUE"""),"")</f>
        <v/>
      </c>
      <c r="AB410" s="38" t="str">
        <f>IFERROR(__xludf.DUMMYFUNCTION("""COMPUTED_VALUE"""),"")</f>
        <v/>
      </c>
    </row>
    <row r="411">
      <c r="A411" s="41" t="str">
        <f>IFERROR(__xludf.DUMMYFUNCTION("""COMPUTED_VALUE"""),"JS, Node.Js, React.Js, AWS")</f>
        <v>JS, Node.Js, React.Js, AWS</v>
      </c>
      <c r="B411" s="42" t="s">
        <v>78</v>
      </c>
      <c r="C411" s="41" t="s">
        <v>4289</v>
      </c>
      <c r="D411" s="41" t="s">
        <v>4432</v>
      </c>
      <c r="E411" s="41" t="s">
        <v>2094</v>
      </c>
      <c r="N411" s="38"/>
      <c r="P411" s="42" t="str">
        <f>IFERROR(__xludf.DUMMYFUNCTION("""COMPUTED_VALUE"""),"(php)")</f>
        <v>(php)</v>
      </c>
      <c r="Q411" s="41" t="str">
        <f>IFERROR(__xludf.DUMMYFUNCTION("""COMPUTED_VALUE"""),"")</f>
        <v/>
      </c>
      <c r="R411" s="41" t="str">
        <f>IFERROR(__xludf.DUMMYFUNCTION("""COMPUTED_VALUE"""),"")</f>
        <v/>
      </c>
      <c r="S411" s="41" t="str">
        <f>IFERROR(__xludf.DUMMYFUNCTION("""COMPUTED_VALUE"""),"")</f>
        <v/>
      </c>
      <c r="T411" s="41" t="str">
        <f>IFERROR(__xludf.DUMMYFUNCTION("""COMPUTED_VALUE"""),"")</f>
        <v/>
      </c>
      <c r="U411" s="41" t="str">
        <f>IFERROR(__xludf.DUMMYFUNCTION("""COMPUTED_VALUE"""),"")</f>
        <v/>
      </c>
      <c r="V411" s="41" t="str">
        <f>IFERROR(__xludf.DUMMYFUNCTION("""COMPUTED_VALUE"""),"")</f>
        <v/>
      </c>
      <c r="W411" s="41" t="str">
        <f>IFERROR(__xludf.DUMMYFUNCTION("""COMPUTED_VALUE"""),"")</f>
        <v/>
      </c>
      <c r="X411" s="41" t="str">
        <f>IFERROR(__xludf.DUMMYFUNCTION("""COMPUTED_VALUE"""),"")</f>
        <v/>
      </c>
      <c r="Y411" s="41" t="str">
        <f>IFERROR(__xludf.DUMMYFUNCTION("""COMPUTED_VALUE"""),"")</f>
        <v/>
      </c>
      <c r="Z411" s="41" t="str">
        <f>IFERROR(__xludf.DUMMYFUNCTION("""COMPUTED_VALUE"""),"")</f>
        <v/>
      </c>
      <c r="AA411" s="41" t="str">
        <f>IFERROR(__xludf.DUMMYFUNCTION("""COMPUTED_VALUE"""),"")</f>
        <v/>
      </c>
      <c r="AB411" s="38" t="str">
        <f>IFERROR(__xludf.DUMMYFUNCTION("""COMPUTED_VALUE"""),"")</f>
        <v/>
      </c>
    </row>
    <row r="412">
      <c r="A412" s="41" t="str">
        <f>IFERROR(__xludf.DUMMYFUNCTION("""COMPUTED_VALUE"""),"Flutter, .NET")</f>
        <v>Flutter, .NET</v>
      </c>
      <c r="B412" s="42" t="s">
        <v>4242</v>
      </c>
      <c r="C412" s="41" t="s">
        <v>4433</v>
      </c>
      <c r="D412" s="41" t="s">
        <v>1436</v>
      </c>
      <c r="E412" s="41" t="s">
        <v>839</v>
      </c>
      <c r="N412" s="38"/>
      <c r="P412" s="42" t="str">
        <f>IFERROR(__xludf.DUMMYFUNCTION("""COMPUTED_VALUE"""),"react")</f>
        <v>react</v>
      </c>
      <c r="Q412" s="41" t="str">
        <f>IFERROR(__xludf.DUMMYFUNCTION("""COMPUTED_VALUE"""),"")</f>
        <v/>
      </c>
      <c r="R412" s="41" t="str">
        <f>IFERROR(__xludf.DUMMYFUNCTION("""COMPUTED_VALUE"""),"")</f>
        <v/>
      </c>
      <c r="S412" s="41" t="str">
        <f>IFERROR(__xludf.DUMMYFUNCTION("""COMPUTED_VALUE"""),"")</f>
        <v/>
      </c>
      <c r="T412" s="41" t="str">
        <f>IFERROR(__xludf.DUMMYFUNCTION("""COMPUTED_VALUE"""),"")</f>
        <v/>
      </c>
      <c r="U412" s="41" t="str">
        <f>IFERROR(__xludf.DUMMYFUNCTION("""COMPUTED_VALUE"""),"")</f>
        <v/>
      </c>
      <c r="V412" s="41" t="str">
        <f>IFERROR(__xludf.DUMMYFUNCTION("""COMPUTED_VALUE"""),"")</f>
        <v/>
      </c>
      <c r="W412" s="41" t="str">
        <f>IFERROR(__xludf.DUMMYFUNCTION("""COMPUTED_VALUE"""),"")</f>
        <v/>
      </c>
      <c r="X412" s="41" t="str">
        <f>IFERROR(__xludf.DUMMYFUNCTION("""COMPUTED_VALUE"""),"")</f>
        <v/>
      </c>
      <c r="Y412" s="41" t="str">
        <f>IFERROR(__xludf.DUMMYFUNCTION("""COMPUTED_VALUE"""),"")</f>
        <v/>
      </c>
      <c r="Z412" s="41" t="str">
        <f>IFERROR(__xludf.DUMMYFUNCTION("""COMPUTED_VALUE"""),"")</f>
        <v/>
      </c>
      <c r="AA412" s="41" t="str">
        <f>IFERROR(__xludf.DUMMYFUNCTION("""COMPUTED_VALUE"""),"")</f>
        <v/>
      </c>
      <c r="AB412" s="38" t="str">
        <f>IFERROR(__xludf.DUMMYFUNCTION("""COMPUTED_VALUE"""),"")</f>
        <v/>
      </c>
    </row>
    <row r="413">
      <c r="A413" s="41" t="str">
        <f>IFERROR(__xludf.DUMMYFUNCTION("""COMPUTED_VALUE"""),"PHP, Postgres, MySQL, MongoDB, Vue")</f>
        <v>PHP, Postgres, MySQL, MongoDB, Vue</v>
      </c>
      <c r="B413" s="42" t="s">
        <v>4047</v>
      </c>
      <c r="C413" s="41" t="s">
        <v>4434</v>
      </c>
      <c r="D413" s="41" t="s">
        <v>4435</v>
      </c>
      <c r="E413" s="41" t="s">
        <v>1233</v>
      </c>
      <c r="N413" s="38"/>
      <c r="P413" s="42" t="str">
        <f>IFERROR(__xludf.DUMMYFUNCTION("""COMPUTED_VALUE"""),"java")</f>
        <v>java</v>
      </c>
      <c r="Q413" s="41" t="str">
        <f>IFERROR(__xludf.DUMMYFUNCTION("""COMPUTED_VALUE"""),"")</f>
        <v/>
      </c>
      <c r="R413" s="41" t="str">
        <f>IFERROR(__xludf.DUMMYFUNCTION("""COMPUTED_VALUE"""),"")</f>
        <v/>
      </c>
      <c r="S413" s="41" t="str">
        <f>IFERROR(__xludf.DUMMYFUNCTION("""COMPUTED_VALUE"""),"")</f>
        <v/>
      </c>
      <c r="T413" s="41" t="str">
        <f>IFERROR(__xludf.DUMMYFUNCTION("""COMPUTED_VALUE"""),"")</f>
        <v/>
      </c>
      <c r="U413" s="41" t="str">
        <f>IFERROR(__xludf.DUMMYFUNCTION("""COMPUTED_VALUE"""),"")</f>
        <v/>
      </c>
      <c r="V413" s="41" t="str">
        <f>IFERROR(__xludf.DUMMYFUNCTION("""COMPUTED_VALUE"""),"")</f>
        <v/>
      </c>
      <c r="W413" s="41" t="str">
        <f>IFERROR(__xludf.DUMMYFUNCTION("""COMPUTED_VALUE"""),"")</f>
        <v/>
      </c>
      <c r="X413" s="41" t="str">
        <f>IFERROR(__xludf.DUMMYFUNCTION("""COMPUTED_VALUE"""),"")</f>
        <v/>
      </c>
      <c r="Y413" s="41" t="str">
        <f>IFERROR(__xludf.DUMMYFUNCTION("""COMPUTED_VALUE"""),"")</f>
        <v/>
      </c>
      <c r="Z413" s="41" t="str">
        <f>IFERROR(__xludf.DUMMYFUNCTION("""COMPUTED_VALUE"""),"")</f>
        <v/>
      </c>
      <c r="AA413" s="41" t="str">
        <f>IFERROR(__xludf.DUMMYFUNCTION("""COMPUTED_VALUE"""),"")</f>
        <v/>
      </c>
      <c r="AB413" s="38" t="str">
        <f>IFERROR(__xludf.DUMMYFUNCTION("""COMPUTED_VALUE"""),"")</f>
        <v/>
      </c>
    </row>
    <row r="414">
      <c r="A414" s="41" t="str">
        <f>IFERROR(__xludf.DUMMYFUNCTION("""COMPUTED_VALUE"""),"python, javascript")</f>
        <v>python, javascript</v>
      </c>
      <c r="B414" s="42" t="s">
        <v>457</v>
      </c>
      <c r="C414" s="41" t="s">
        <v>163</v>
      </c>
      <c r="N414" s="38"/>
      <c r="P414" s="42" t="str">
        <f>IFERROR(__xludf.DUMMYFUNCTION("""COMPUTED_VALUE"""),"windows")</f>
        <v>windows</v>
      </c>
      <c r="Q414" s="41" t="str">
        <f>IFERROR(__xludf.DUMMYFUNCTION("""COMPUTED_VALUE"""),"")</f>
        <v/>
      </c>
      <c r="R414" s="41" t="str">
        <f>IFERROR(__xludf.DUMMYFUNCTION("""COMPUTED_VALUE"""),"")</f>
        <v/>
      </c>
      <c r="S414" s="41" t="str">
        <f>IFERROR(__xludf.DUMMYFUNCTION("""COMPUTED_VALUE"""),"")</f>
        <v/>
      </c>
      <c r="T414" s="41" t="str">
        <f>IFERROR(__xludf.DUMMYFUNCTION("""COMPUTED_VALUE"""),"")</f>
        <v/>
      </c>
      <c r="U414" s="41" t="str">
        <f>IFERROR(__xludf.DUMMYFUNCTION("""COMPUTED_VALUE"""),"")</f>
        <v/>
      </c>
      <c r="V414" s="41" t="str">
        <f>IFERROR(__xludf.DUMMYFUNCTION("""COMPUTED_VALUE"""),"")</f>
        <v/>
      </c>
      <c r="W414" s="41" t="str">
        <f>IFERROR(__xludf.DUMMYFUNCTION("""COMPUTED_VALUE"""),"")</f>
        <v/>
      </c>
      <c r="X414" s="41" t="str">
        <f>IFERROR(__xludf.DUMMYFUNCTION("""COMPUTED_VALUE"""),"")</f>
        <v/>
      </c>
      <c r="Y414" s="41" t="str">
        <f>IFERROR(__xludf.DUMMYFUNCTION("""COMPUTED_VALUE"""),"")</f>
        <v/>
      </c>
      <c r="Z414" s="41" t="str">
        <f>IFERROR(__xludf.DUMMYFUNCTION("""COMPUTED_VALUE"""),"")</f>
        <v/>
      </c>
      <c r="AA414" s="41" t="str">
        <f>IFERROR(__xludf.DUMMYFUNCTION("""COMPUTED_VALUE"""),"")</f>
        <v/>
      </c>
      <c r="AB414" s="38" t="str">
        <f>IFERROR(__xludf.DUMMYFUNCTION("""COMPUTED_VALUE"""),"")</f>
        <v/>
      </c>
    </row>
    <row r="415">
      <c r="A415" s="45" t="str">
        <f>IFERROR(__xludf.DUMMYFUNCTION("""COMPUTED_VALUE"""),"asp.net")</f>
        <v>asp.net</v>
      </c>
      <c r="B415" s="42" t="s">
        <v>44</v>
      </c>
      <c r="C415" s="41" t="s">
        <v>4436</v>
      </c>
      <c r="D415" s="41" t="s">
        <v>4244</v>
      </c>
      <c r="E415" s="41" t="s">
        <v>4225</v>
      </c>
      <c r="F415" s="41" t="s">
        <v>4184</v>
      </c>
      <c r="N415" s="38"/>
      <c r="P415" s="42" t="str">
        <f>IFERROR(__xludf.DUMMYFUNCTION("""COMPUTED_VALUE"""),"server")</f>
        <v>server</v>
      </c>
      <c r="Q415" s="41" t="str">
        <f>IFERROR(__xludf.DUMMYFUNCTION("""COMPUTED_VALUE"""),"")</f>
        <v/>
      </c>
      <c r="R415" s="41" t="str">
        <f>IFERROR(__xludf.DUMMYFUNCTION("""COMPUTED_VALUE"""),"")</f>
        <v/>
      </c>
      <c r="S415" s="41" t="str">
        <f>IFERROR(__xludf.DUMMYFUNCTION("""COMPUTED_VALUE"""),"")</f>
        <v/>
      </c>
      <c r="T415" s="41" t="str">
        <f>IFERROR(__xludf.DUMMYFUNCTION("""COMPUTED_VALUE"""),"")</f>
        <v/>
      </c>
      <c r="U415" s="41" t="str">
        <f>IFERROR(__xludf.DUMMYFUNCTION("""COMPUTED_VALUE"""),"")</f>
        <v/>
      </c>
      <c r="V415" s="41" t="str">
        <f>IFERROR(__xludf.DUMMYFUNCTION("""COMPUTED_VALUE"""),"")</f>
        <v/>
      </c>
      <c r="W415" s="41" t="str">
        <f>IFERROR(__xludf.DUMMYFUNCTION("""COMPUTED_VALUE"""),"")</f>
        <v/>
      </c>
      <c r="X415" s="41" t="str">
        <f>IFERROR(__xludf.DUMMYFUNCTION("""COMPUTED_VALUE"""),"")</f>
        <v/>
      </c>
      <c r="Y415" s="41" t="str">
        <f>IFERROR(__xludf.DUMMYFUNCTION("""COMPUTED_VALUE"""),"")</f>
        <v/>
      </c>
      <c r="Z415" s="41" t="str">
        <f>IFERROR(__xludf.DUMMYFUNCTION("""COMPUTED_VALUE"""),"")</f>
        <v/>
      </c>
      <c r="AA415" s="41" t="str">
        <f>IFERROR(__xludf.DUMMYFUNCTION("""COMPUTED_VALUE"""),"")</f>
        <v/>
      </c>
      <c r="AB415" s="38" t="str">
        <f>IFERROR(__xludf.DUMMYFUNCTION("""COMPUTED_VALUE"""),"")</f>
        <v/>
      </c>
    </row>
    <row r="416">
      <c r="A416" s="41" t="str">
        <f>IFERROR(__xludf.DUMMYFUNCTION("""COMPUTED_VALUE"""),"Go, php, javascript")</f>
        <v>Go, php, javascript</v>
      </c>
      <c r="B416" s="42" t="s">
        <v>508</v>
      </c>
      <c r="C416" s="41" t="s">
        <v>740</v>
      </c>
      <c r="N416" s="38"/>
      <c r="P416" s="42" t="str">
        <f>IFERROR(__xludf.DUMMYFUNCTION("""COMPUTED_VALUE"""),"reactjs")</f>
        <v>reactjs</v>
      </c>
      <c r="Q416" s="41" t="str">
        <f>IFERROR(__xludf.DUMMYFUNCTION("""COMPUTED_VALUE"""),"")</f>
        <v/>
      </c>
      <c r="R416" s="41" t="str">
        <f>IFERROR(__xludf.DUMMYFUNCTION("""COMPUTED_VALUE"""),"")</f>
        <v/>
      </c>
      <c r="S416" s="41" t="str">
        <f>IFERROR(__xludf.DUMMYFUNCTION("""COMPUTED_VALUE"""),"")</f>
        <v/>
      </c>
      <c r="T416" s="41" t="str">
        <f>IFERROR(__xludf.DUMMYFUNCTION("""COMPUTED_VALUE"""),"")</f>
        <v/>
      </c>
      <c r="U416" s="41" t="str">
        <f>IFERROR(__xludf.DUMMYFUNCTION("""COMPUTED_VALUE"""),"")</f>
        <v/>
      </c>
      <c r="V416" s="41" t="str">
        <f>IFERROR(__xludf.DUMMYFUNCTION("""COMPUTED_VALUE"""),"")</f>
        <v/>
      </c>
      <c r="W416" s="41" t="str">
        <f>IFERROR(__xludf.DUMMYFUNCTION("""COMPUTED_VALUE"""),"")</f>
        <v/>
      </c>
      <c r="X416" s="41" t="str">
        <f>IFERROR(__xludf.DUMMYFUNCTION("""COMPUTED_VALUE"""),"")</f>
        <v/>
      </c>
      <c r="Y416" s="41" t="str">
        <f>IFERROR(__xludf.DUMMYFUNCTION("""COMPUTED_VALUE"""),"")</f>
        <v/>
      </c>
      <c r="Z416" s="41" t="str">
        <f>IFERROR(__xludf.DUMMYFUNCTION("""COMPUTED_VALUE"""),"")</f>
        <v/>
      </c>
      <c r="AA416" s="41" t="str">
        <f>IFERROR(__xludf.DUMMYFUNCTION("""COMPUTED_VALUE"""),"")</f>
        <v/>
      </c>
      <c r="AB416" s="38" t="str">
        <f>IFERROR(__xludf.DUMMYFUNCTION("""COMPUTED_VALUE"""),"")</f>
        <v/>
      </c>
    </row>
    <row r="417">
      <c r="A417" s="41" t="str">
        <f>IFERROR(__xludf.DUMMYFUNCTION("""COMPUTED_VALUE"""),"Javascript")</f>
        <v>Javascript</v>
      </c>
      <c r="B417" s="42" t="s">
        <v>2345</v>
      </c>
      <c r="N417" s="38"/>
      <c r="P417" s="42" t="str">
        <f>IFERROR(__xludf.DUMMYFUNCTION("""COMPUTED_VALUE"""),"macbook")</f>
        <v>macbook</v>
      </c>
      <c r="Q417" s="41" t="str">
        <f>IFERROR(__xludf.DUMMYFUNCTION("""COMPUTED_VALUE"""),"")</f>
        <v/>
      </c>
      <c r="R417" s="41" t="str">
        <f>IFERROR(__xludf.DUMMYFUNCTION("""COMPUTED_VALUE"""),"")</f>
        <v/>
      </c>
      <c r="S417" s="41" t="str">
        <f>IFERROR(__xludf.DUMMYFUNCTION("""COMPUTED_VALUE"""),"")</f>
        <v/>
      </c>
      <c r="T417" s="41" t="str">
        <f>IFERROR(__xludf.DUMMYFUNCTION("""COMPUTED_VALUE"""),"")</f>
        <v/>
      </c>
      <c r="U417" s="41" t="str">
        <f>IFERROR(__xludf.DUMMYFUNCTION("""COMPUTED_VALUE"""),"")</f>
        <v/>
      </c>
      <c r="V417" s="41" t="str">
        <f>IFERROR(__xludf.DUMMYFUNCTION("""COMPUTED_VALUE"""),"")</f>
        <v/>
      </c>
      <c r="W417" s="41" t="str">
        <f>IFERROR(__xludf.DUMMYFUNCTION("""COMPUTED_VALUE"""),"")</f>
        <v/>
      </c>
      <c r="X417" s="41" t="str">
        <f>IFERROR(__xludf.DUMMYFUNCTION("""COMPUTED_VALUE"""),"")</f>
        <v/>
      </c>
      <c r="Y417" s="41" t="str">
        <f>IFERROR(__xludf.DUMMYFUNCTION("""COMPUTED_VALUE"""),"")</f>
        <v/>
      </c>
      <c r="Z417" s="41" t="str">
        <f>IFERROR(__xludf.DUMMYFUNCTION("""COMPUTED_VALUE"""),"")</f>
        <v/>
      </c>
      <c r="AA417" s="41" t="str">
        <f>IFERROR(__xludf.DUMMYFUNCTION("""COMPUTED_VALUE"""),"")</f>
        <v/>
      </c>
      <c r="AB417" s="38" t="str">
        <f>IFERROR(__xludf.DUMMYFUNCTION("""COMPUTED_VALUE"""),"")</f>
        <v/>
      </c>
    </row>
    <row r="418">
      <c r="A418" s="41" t="str">
        <f>IFERROR(__xludf.DUMMYFUNCTION("""COMPUTED_VALUE"""),"Internal")</f>
        <v>Internal</v>
      </c>
      <c r="B418" s="42" t="s">
        <v>4271</v>
      </c>
      <c r="C418" s="41" t="s">
        <v>196</v>
      </c>
      <c r="D418" s="41" t="s">
        <v>740</v>
      </c>
      <c r="N418" s="38"/>
      <c r="P418" s="42" t="str">
        <f>IFERROR(__xludf.DUMMYFUNCTION("""COMPUTED_VALUE"""),"pro")</f>
        <v>pro</v>
      </c>
      <c r="Q418" s="41" t="str">
        <f>IFERROR(__xludf.DUMMYFUNCTION("""COMPUTED_VALUE"""),"")</f>
        <v/>
      </c>
      <c r="R418" s="41" t="str">
        <f>IFERROR(__xludf.DUMMYFUNCTION("""COMPUTED_VALUE"""),"")</f>
        <v/>
      </c>
      <c r="S418" s="41" t="str">
        <f>IFERROR(__xludf.DUMMYFUNCTION("""COMPUTED_VALUE"""),"")</f>
        <v/>
      </c>
      <c r="T418" s="41" t="str">
        <f>IFERROR(__xludf.DUMMYFUNCTION("""COMPUTED_VALUE"""),"")</f>
        <v/>
      </c>
      <c r="U418" s="41" t="str">
        <f>IFERROR(__xludf.DUMMYFUNCTION("""COMPUTED_VALUE"""),"")</f>
        <v/>
      </c>
      <c r="V418" s="41" t="str">
        <f>IFERROR(__xludf.DUMMYFUNCTION("""COMPUTED_VALUE"""),"")</f>
        <v/>
      </c>
      <c r="W418" s="41" t="str">
        <f>IFERROR(__xludf.DUMMYFUNCTION("""COMPUTED_VALUE"""),"")</f>
        <v/>
      </c>
      <c r="X418" s="41" t="str">
        <f>IFERROR(__xludf.DUMMYFUNCTION("""COMPUTED_VALUE"""),"")</f>
        <v/>
      </c>
      <c r="Y418" s="41" t="str">
        <f>IFERROR(__xludf.DUMMYFUNCTION("""COMPUTED_VALUE"""),"")</f>
        <v/>
      </c>
      <c r="Z418" s="41" t="str">
        <f>IFERROR(__xludf.DUMMYFUNCTION("""COMPUTED_VALUE"""),"")</f>
        <v/>
      </c>
      <c r="AA418" s="41" t="str">
        <f>IFERROR(__xludf.DUMMYFUNCTION("""COMPUTED_VALUE"""),"")</f>
        <v/>
      </c>
      <c r="AB418" s="38" t="str">
        <f>IFERROR(__xludf.DUMMYFUNCTION("""COMPUTED_VALUE"""),"")</f>
        <v/>
      </c>
    </row>
    <row r="419">
      <c r="A419" s="41" t="str">
        <f>IFERROR(__xludf.DUMMYFUNCTION("""COMPUTED_VALUE"""),"Python, JS, Cloud Run, PSQL, HTML, CSS, Futter, Nosql")</f>
        <v>Python, JS, Cloud Run, PSQL, HTML, CSS, Futter, Nosql</v>
      </c>
      <c r="B419" s="42" t="s">
        <v>712</v>
      </c>
      <c r="N419" s="38"/>
      <c r="P419" s="42" t="str">
        <f>IFERROR(__xludf.DUMMYFUNCTION("""COMPUTED_VALUE"""),"16""")</f>
        <v>16"</v>
      </c>
      <c r="Q419" s="41" t="str">
        <f>IFERROR(__xludf.DUMMYFUNCTION("""COMPUTED_VALUE"""),"")</f>
        <v/>
      </c>
      <c r="R419" s="41" t="str">
        <f>IFERROR(__xludf.DUMMYFUNCTION("""COMPUTED_VALUE"""),"")</f>
        <v/>
      </c>
      <c r="S419" s="41" t="str">
        <f>IFERROR(__xludf.DUMMYFUNCTION("""COMPUTED_VALUE"""),"")</f>
        <v/>
      </c>
      <c r="T419" s="41" t="str">
        <f>IFERROR(__xludf.DUMMYFUNCTION("""COMPUTED_VALUE"""),"")</f>
        <v/>
      </c>
      <c r="U419" s="41" t="str">
        <f>IFERROR(__xludf.DUMMYFUNCTION("""COMPUTED_VALUE"""),"")</f>
        <v/>
      </c>
      <c r="V419" s="41" t="str">
        <f>IFERROR(__xludf.DUMMYFUNCTION("""COMPUTED_VALUE"""),"")</f>
        <v/>
      </c>
      <c r="W419" s="41" t="str">
        <f>IFERROR(__xludf.DUMMYFUNCTION("""COMPUTED_VALUE"""),"")</f>
        <v/>
      </c>
      <c r="X419" s="41" t="str">
        <f>IFERROR(__xludf.DUMMYFUNCTION("""COMPUTED_VALUE"""),"")</f>
        <v/>
      </c>
      <c r="Y419" s="41" t="str">
        <f>IFERROR(__xludf.DUMMYFUNCTION("""COMPUTED_VALUE"""),"")</f>
        <v/>
      </c>
      <c r="Z419" s="41" t="str">
        <f>IFERROR(__xludf.DUMMYFUNCTION("""COMPUTED_VALUE"""),"")</f>
        <v/>
      </c>
      <c r="AA419" s="41" t="str">
        <f>IFERROR(__xludf.DUMMYFUNCTION("""COMPUTED_VALUE"""),"")</f>
        <v/>
      </c>
      <c r="AB419" s="38" t="str">
        <f>IFERROR(__xludf.DUMMYFUNCTION("""COMPUTED_VALUE"""),"")</f>
        <v/>
      </c>
    </row>
    <row r="420">
      <c r="A420" s="41" t="str">
        <f>IFERROR(__xludf.DUMMYFUNCTION("""COMPUTED_VALUE"""),"Ruby on Rails, React, GCP")</f>
        <v>Ruby on Rails, React, GCP</v>
      </c>
      <c r="B420" s="42" t="s">
        <v>1081</v>
      </c>
      <c r="N420" s="38"/>
      <c r="P420" s="42" t="str">
        <f>IFERROR(__xludf.DUMMYFUNCTION("""COMPUTED_VALUE"""),"angular")</f>
        <v>angular</v>
      </c>
      <c r="Q420" s="41" t="str">
        <f>IFERROR(__xludf.DUMMYFUNCTION("""COMPUTED_VALUE"""),"")</f>
        <v/>
      </c>
      <c r="R420" s="41" t="str">
        <f>IFERROR(__xludf.DUMMYFUNCTION("""COMPUTED_VALUE"""),"")</f>
        <v/>
      </c>
      <c r="S420" s="41" t="str">
        <f>IFERROR(__xludf.DUMMYFUNCTION("""COMPUTED_VALUE"""),"")</f>
        <v/>
      </c>
      <c r="T420" s="41" t="str">
        <f>IFERROR(__xludf.DUMMYFUNCTION("""COMPUTED_VALUE"""),"")</f>
        <v/>
      </c>
      <c r="U420" s="41" t="str">
        <f>IFERROR(__xludf.DUMMYFUNCTION("""COMPUTED_VALUE"""),"")</f>
        <v/>
      </c>
      <c r="V420" s="41" t="str">
        <f>IFERROR(__xludf.DUMMYFUNCTION("""COMPUTED_VALUE"""),"")</f>
        <v/>
      </c>
      <c r="W420" s="41" t="str">
        <f>IFERROR(__xludf.DUMMYFUNCTION("""COMPUTED_VALUE"""),"")</f>
        <v/>
      </c>
      <c r="X420" s="41" t="str">
        <f>IFERROR(__xludf.DUMMYFUNCTION("""COMPUTED_VALUE"""),"")</f>
        <v/>
      </c>
      <c r="Y420" s="41" t="str">
        <f>IFERROR(__xludf.DUMMYFUNCTION("""COMPUTED_VALUE"""),"")</f>
        <v/>
      </c>
      <c r="Z420" s="41" t="str">
        <f>IFERROR(__xludf.DUMMYFUNCTION("""COMPUTED_VALUE"""),"")</f>
        <v/>
      </c>
      <c r="AA420" s="41" t="str">
        <f>IFERROR(__xludf.DUMMYFUNCTION("""COMPUTED_VALUE"""),"")</f>
        <v/>
      </c>
      <c r="AB420" s="38" t="str">
        <f>IFERROR(__xludf.DUMMYFUNCTION("""COMPUTED_VALUE"""),"")</f>
        <v/>
      </c>
    </row>
    <row r="421">
      <c r="A421" s="41" t="str">
        <f>IFERROR(__xludf.DUMMYFUNCTION("""COMPUTED_VALUE"""),"React, JS/Typescript, CSS-in-JS, SCSS, Websocket, REST API, GraphQL")</f>
        <v>React, JS/Typescript, CSS-in-JS, SCSS, Websocket, REST API, GraphQL</v>
      </c>
      <c r="B421" s="42" t="s">
        <v>78</v>
      </c>
      <c r="C421" s="41" t="s">
        <v>4047</v>
      </c>
      <c r="D421" s="41" t="s">
        <v>4437</v>
      </c>
      <c r="E421" s="41" t="s">
        <v>4438</v>
      </c>
      <c r="F421" s="41" t="s">
        <v>4154</v>
      </c>
      <c r="G421" s="41" t="s">
        <v>4159</v>
      </c>
      <c r="H421" s="41" t="s">
        <v>4439</v>
      </c>
      <c r="I421" s="41" t="s">
        <v>4440</v>
      </c>
      <c r="N421" s="38"/>
      <c r="P421" s="42" t="str">
        <f>IFERROR(__xludf.DUMMYFUNCTION("""COMPUTED_VALUE"""),"jira")</f>
        <v>jira</v>
      </c>
      <c r="Q421" s="41" t="str">
        <f>IFERROR(__xludf.DUMMYFUNCTION("""COMPUTED_VALUE"""),"")</f>
        <v/>
      </c>
      <c r="R421" s="41" t="str">
        <f>IFERROR(__xludf.DUMMYFUNCTION("""COMPUTED_VALUE"""),"")</f>
        <v/>
      </c>
      <c r="S421" s="41" t="str">
        <f>IFERROR(__xludf.DUMMYFUNCTION("""COMPUTED_VALUE"""),"")</f>
        <v/>
      </c>
      <c r="T421" s="41" t="str">
        <f>IFERROR(__xludf.DUMMYFUNCTION("""COMPUTED_VALUE"""),"")</f>
        <v/>
      </c>
      <c r="U421" s="41" t="str">
        <f>IFERROR(__xludf.DUMMYFUNCTION("""COMPUTED_VALUE"""),"")</f>
        <v/>
      </c>
      <c r="V421" s="41" t="str">
        <f>IFERROR(__xludf.DUMMYFUNCTION("""COMPUTED_VALUE"""),"")</f>
        <v/>
      </c>
      <c r="W421" s="41" t="str">
        <f>IFERROR(__xludf.DUMMYFUNCTION("""COMPUTED_VALUE"""),"")</f>
        <v/>
      </c>
      <c r="X421" s="41" t="str">
        <f>IFERROR(__xludf.DUMMYFUNCTION("""COMPUTED_VALUE"""),"")</f>
        <v/>
      </c>
      <c r="Y421" s="41" t="str">
        <f>IFERROR(__xludf.DUMMYFUNCTION("""COMPUTED_VALUE"""),"")</f>
        <v/>
      </c>
      <c r="Z421" s="41" t="str">
        <f>IFERROR(__xludf.DUMMYFUNCTION("""COMPUTED_VALUE"""),"")</f>
        <v/>
      </c>
      <c r="AA421" s="41" t="str">
        <f>IFERROR(__xludf.DUMMYFUNCTION("""COMPUTED_VALUE"""),"")</f>
        <v/>
      </c>
      <c r="AB421" s="38" t="str">
        <f>IFERROR(__xludf.DUMMYFUNCTION("""COMPUTED_VALUE"""),"")</f>
        <v/>
      </c>
    </row>
    <row r="422">
      <c r="A422" s="41" t="str">
        <f>IFERROR(__xludf.DUMMYFUNCTION("""COMPUTED_VALUE"""),"Python, airflow")</f>
        <v>Python, airflow</v>
      </c>
      <c r="B422" s="42" t="s">
        <v>358</v>
      </c>
      <c r="C422" s="41" t="s">
        <v>1979</v>
      </c>
      <c r="D422" s="41" t="s">
        <v>4269</v>
      </c>
      <c r="N422" s="38"/>
      <c r="P422" s="42" t="str">
        <f>IFERROR(__xludf.DUMMYFUNCTION("""COMPUTED_VALUE"""),"gcp")</f>
        <v>gcp</v>
      </c>
      <c r="Q422" s="41" t="str">
        <f>IFERROR(__xludf.DUMMYFUNCTION("""COMPUTED_VALUE"""),"")</f>
        <v/>
      </c>
      <c r="R422" s="41" t="str">
        <f>IFERROR(__xludf.DUMMYFUNCTION("""COMPUTED_VALUE"""),"")</f>
        <v/>
      </c>
      <c r="S422" s="41" t="str">
        <f>IFERROR(__xludf.DUMMYFUNCTION("""COMPUTED_VALUE"""),"")</f>
        <v/>
      </c>
      <c r="T422" s="41" t="str">
        <f>IFERROR(__xludf.DUMMYFUNCTION("""COMPUTED_VALUE"""),"")</f>
        <v/>
      </c>
      <c r="U422" s="41" t="str">
        <f>IFERROR(__xludf.DUMMYFUNCTION("""COMPUTED_VALUE"""),"")</f>
        <v/>
      </c>
      <c r="V422" s="41" t="str">
        <f>IFERROR(__xludf.DUMMYFUNCTION("""COMPUTED_VALUE"""),"")</f>
        <v/>
      </c>
      <c r="W422" s="41" t="str">
        <f>IFERROR(__xludf.DUMMYFUNCTION("""COMPUTED_VALUE"""),"")</f>
        <v/>
      </c>
      <c r="X422" s="41" t="str">
        <f>IFERROR(__xludf.DUMMYFUNCTION("""COMPUTED_VALUE"""),"")</f>
        <v/>
      </c>
      <c r="Y422" s="41" t="str">
        <f>IFERROR(__xludf.DUMMYFUNCTION("""COMPUTED_VALUE"""),"")</f>
        <v/>
      </c>
      <c r="Z422" s="41" t="str">
        <f>IFERROR(__xludf.DUMMYFUNCTION("""COMPUTED_VALUE"""),"")</f>
        <v/>
      </c>
      <c r="AA422" s="41" t="str">
        <f>IFERROR(__xludf.DUMMYFUNCTION("""COMPUTED_VALUE"""),"")</f>
        <v/>
      </c>
      <c r="AB422" s="38" t="str">
        <f>IFERROR(__xludf.DUMMYFUNCTION("""COMPUTED_VALUE"""),"")</f>
        <v/>
      </c>
    </row>
    <row r="423">
      <c r="A423" s="41" t="str">
        <f>IFERROR(__xludf.DUMMYFUNCTION("""COMPUTED_VALUE"""),"AWS, Kubernetes, Vue,React,AI/ML")</f>
        <v>AWS, Kubernetes, Vue,React,AI/ML</v>
      </c>
      <c r="B423" s="42" t="s">
        <v>1979</v>
      </c>
      <c r="C423" s="41" t="s">
        <v>4441</v>
      </c>
      <c r="D423" s="41" t="s">
        <v>4442</v>
      </c>
      <c r="E423" s="41" t="s">
        <v>4404</v>
      </c>
      <c r="F423" s="41" t="s">
        <v>4443</v>
      </c>
      <c r="G423" s="41" t="s">
        <v>4444</v>
      </c>
      <c r="H423" s="41" t="s">
        <v>4350</v>
      </c>
      <c r="N423" s="38"/>
      <c r="P423" s="42" t="str">
        <f>IFERROR(__xludf.DUMMYFUNCTION("""COMPUTED_VALUE"""),"fast")</f>
        <v>fast</v>
      </c>
      <c r="Q423" s="41" t="str">
        <f>IFERROR(__xludf.DUMMYFUNCTION("""COMPUTED_VALUE"""),"")</f>
        <v/>
      </c>
      <c r="R423" s="41" t="str">
        <f>IFERROR(__xludf.DUMMYFUNCTION("""COMPUTED_VALUE"""),"")</f>
        <v/>
      </c>
      <c r="S423" s="41" t="str">
        <f>IFERROR(__xludf.DUMMYFUNCTION("""COMPUTED_VALUE"""),"")</f>
        <v/>
      </c>
      <c r="T423" s="41" t="str">
        <f>IFERROR(__xludf.DUMMYFUNCTION("""COMPUTED_VALUE"""),"")</f>
        <v/>
      </c>
      <c r="U423" s="41" t="str">
        <f>IFERROR(__xludf.DUMMYFUNCTION("""COMPUTED_VALUE"""),"")</f>
        <v/>
      </c>
      <c r="V423" s="41" t="str">
        <f>IFERROR(__xludf.DUMMYFUNCTION("""COMPUTED_VALUE"""),"")</f>
        <v/>
      </c>
      <c r="W423" s="41" t="str">
        <f>IFERROR(__xludf.DUMMYFUNCTION("""COMPUTED_VALUE"""),"")</f>
        <v/>
      </c>
      <c r="X423" s="41" t="str">
        <f>IFERROR(__xludf.DUMMYFUNCTION("""COMPUTED_VALUE"""),"")</f>
        <v/>
      </c>
      <c r="Y423" s="41" t="str">
        <f>IFERROR(__xludf.DUMMYFUNCTION("""COMPUTED_VALUE"""),"")</f>
        <v/>
      </c>
      <c r="Z423" s="41" t="str">
        <f>IFERROR(__xludf.DUMMYFUNCTION("""COMPUTED_VALUE"""),"")</f>
        <v/>
      </c>
      <c r="AA423" s="41" t="str">
        <f>IFERROR(__xludf.DUMMYFUNCTION("""COMPUTED_VALUE"""),"")</f>
        <v/>
      </c>
      <c r="AB423" s="38" t="str">
        <f>IFERROR(__xludf.DUMMYFUNCTION("""COMPUTED_VALUE"""),"")</f>
        <v/>
      </c>
    </row>
    <row r="424">
      <c r="A424" s="41" t="str">
        <f>IFERROR(__xludf.DUMMYFUNCTION("""COMPUTED_VALUE"""),"Web Technologies (Laravel, Node.js)")</f>
        <v>Web Technologies (Laravel, Node.js)</v>
      </c>
      <c r="B424" s="42" t="s">
        <v>78</v>
      </c>
      <c r="C424" s="41" t="s">
        <v>4445</v>
      </c>
      <c r="N424" s="38"/>
      <c r="P424" s="42" t="str">
        <f>IFERROR(__xludf.DUMMYFUNCTION("""COMPUTED_VALUE"""),"api")</f>
        <v>api</v>
      </c>
      <c r="Q424" s="41" t="str">
        <f>IFERROR(__xludf.DUMMYFUNCTION("""COMPUTED_VALUE"""),"")</f>
        <v/>
      </c>
      <c r="R424" s="41" t="str">
        <f>IFERROR(__xludf.DUMMYFUNCTION("""COMPUTED_VALUE"""),"")</f>
        <v/>
      </c>
      <c r="S424" s="41" t="str">
        <f>IFERROR(__xludf.DUMMYFUNCTION("""COMPUTED_VALUE"""),"")</f>
        <v/>
      </c>
      <c r="T424" s="41" t="str">
        <f>IFERROR(__xludf.DUMMYFUNCTION("""COMPUTED_VALUE"""),"")</f>
        <v/>
      </c>
      <c r="U424" s="41" t="str">
        <f>IFERROR(__xludf.DUMMYFUNCTION("""COMPUTED_VALUE"""),"")</f>
        <v/>
      </c>
      <c r="V424" s="41" t="str">
        <f>IFERROR(__xludf.DUMMYFUNCTION("""COMPUTED_VALUE"""),"")</f>
        <v/>
      </c>
      <c r="W424" s="41" t="str">
        <f>IFERROR(__xludf.DUMMYFUNCTION("""COMPUTED_VALUE"""),"")</f>
        <v/>
      </c>
      <c r="X424" s="41" t="str">
        <f>IFERROR(__xludf.DUMMYFUNCTION("""COMPUTED_VALUE"""),"")</f>
        <v/>
      </c>
      <c r="Y424" s="41" t="str">
        <f>IFERROR(__xludf.DUMMYFUNCTION("""COMPUTED_VALUE"""),"")</f>
        <v/>
      </c>
      <c r="Z424" s="41" t="str">
        <f>IFERROR(__xludf.DUMMYFUNCTION("""COMPUTED_VALUE"""),"")</f>
        <v/>
      </c>
      <c r="AA424" s="41" t="str">
        <f>IFERROR(__xludf.DUMMYFUNCTION("""COMPUTED_VALUE"""),"")</f>
        <v/>
      </c>
      <c r="AB424" s="38" t="str">
        <f>IFERROR(__xludf.DUMMYFUNCTION("""COMPUTED_VALUE"""),"")</f>
        <v/>
      </c>
    </row>
    <row r="425">
      <c r="A425" s="41" t="str">
        <f>IFERROR(__xludf.DUMMYFUNCTION("""COMPUTED_VALUE"""),"Kotlin,Android,Java,MVVM")</f>
        <v>Kotlin,Android,Java,MVVM</v>
      </c>
      <c r="B425" s="42" t="s">
        <v>1233</v>
      </c>
      <c r="C425" s="41" t="s">
        <v>3903</v>
      </c>
      <c r="D425" s="41" t="s">
        <v>4184</v>
      </c>
      <c r="E425" s="41" t="s">
        <v>1979</v>
      </c>
      <c r="F425" s="41" t="s">
        <v>4322</v>
      </c>
      <c r="N425" s="38"/>
      <c r="P425" s="42" t="str">
        <f>IFERROR(__xludf.DUMMYFUNCTION("""COMPUTED_VALUE"""),"vuejs")</f>
        <v>vuejs</v>
      </c>
      <c r="Q425" s="41" t="str">
        <f>IFERROR(__xludf.DUMMYFUNCTION("""COMPUTED_VALUE"""),"")</f>
        <v/>
      </c>
      <c r="R425" s="41" t="str">
        <f>IFERROR(__xludf.DUMMYFUNCTION("""COMPUTED_VALUE"""),"")</f>
        <v/>
      </c>
      <c r="S425" s="41" t="str">
        <f>IFERROR(__xludf.DUMMYFUNCTION("""COMPUTED_VALUE"""),"")</f>
        <v/>
      </c>
      <c r="T425" s="41" t="str">
        <f>IFERROR(__xludf.DUMMYFUNCTION("""COMPUTED_VALUE"""),"")</f>
        <v/>
      </c>
      <c r="U425" s="41" t="str">
        <f>IFERROR(__xludf.DUMMYFUNCTION("""COMPUTED_VALUE"""),"")</f>
        <v/>
      </c>
      <c r="V425" s="41" t="str">
        <f>IFERROR(__xludf.DUMMYFUNCTION("""COMPUTED_VALUE"""),"")</f>
        <v/>
      </c>
      <c r="W425" s="41" t="str">
        <f>IFERROR(__xludf.DUMMYFUNCTION("""COMPUTED_VALUE"""),"")</f>
        <v/>
      </c>
      <c r="X425" s="41" t="str">
        <f>IFERROR(__xludf.DUMMYFUNCTION("""COMPUTED_VALUE"""),"")</f>
        <v/>
      </c>
      <c r="Y425" s="41" t="str">
        <f>IFERROR(__xludf.DUMMYFUNCTION("""COMPUTED_VALUE"""),"")</f>
        <v/>
      </c>
      <c r="Z425" s="41" t="str">
        <f>IFERROR(__xludf.DUMMYFUNCTION("""COMPUTED_VALUE"""),"")</f>
        <v/>
      </c>
      <c r="AA425" s="41" t="str">
        <f>IFERROR(__xludf.DUMMYFUNCTION("""COMPUTED_VALUE"""),"")</f>
        <v/>
      </c>
      <c r="AB425" s="38" t="str">
        <f>IFERROR(__xludf.DUMMYFUNCTION("""COMPUTED_VALUE"""),"")</f>
        <v/>
      </c>
    </row>
    <row r="426">
      <c r="A426" s="41" t="str">
        <f>IFERROR(__xludf.DUMMYFUNCTION("""COMPUTED_VALUE"""),".net")</f>
        <v>.net</v>
      </c>
      <c r="B426" s="42" t="s">
        <v>4446</v>
      </c>
      <c r="C426" s="41" t="s">
        <v>4447</v>
      </c>
      <c r="N426" s="38"/>
      <c r="P426" s="42" t="str">
        <f>IFERROR(__xludf.DUMMYFUNCTION("""COMPUTED_VALUE"""),"(nuxt)")</f>
        <v>(nuxt)</v>
      </c>
      <c r="Q426" s="41" t="str">
        <f>IFERROR(__xludf.DUMMYFUNCTION("""COMPUTED_VALUE"""),"")</f>
        <v/>
      </c>
      <c r="R426" s="41" t="str">
        <f>IFERROR(__xludf.DUMMYFUNCTION("""COMPUTED_VALUE"""),"")</f>
        <v/>
      </c>
      <c r="S426" s="41" t="str">
        <f>IFERROR(__xludf.DUMMYFUNCTION("""COMPUTED_VALUE"""),"")</f>
        <v/>
      </c>
      <c r="T426" s="41" t="str">
        <f>IFERROR(__xludf.DUMMYFUNCTION("""COMPUTED_VALUE"""),"")</f>
        <v/>
      </c>
      <c r="U426" s="41" t="str">
        <f>IFERROR(__xludf.DUMMYFUNCTION("""COMPUTED_VALUE"""),"")</f>
        <v/>
      </c>
      <c r="V426" s="41" t="str">
        <f>IFERROR(__xludf.DUMMYFUNCTION("""COMPUTED_VALUE"""),"")</f>
        <v/>
      </c>
      <c r="W426" s="41" t="str">
        <f>IFERROR(__xludf.DUMMYFUNCTION("""COMPUTED_VALUE"""),"")</f>
        <v/>
      </c>
      <c r="X426" s="41" t="str">
        <f>IFERROR(__xludf.DUMMYFUNCTION("""COMPUTED_VALUE"""),"")</f>
        <v/>
      </c>
      <c r="Y426" s="41" t="str">
        <f>IFERROR(__xludf.DUMMYFUNCTION("""COMPUTED_VALUE"""),"")</f>
        <v/>
      </c>
      <c r="Z426" s="41" t="str">
        <f>IFERROR(__xludf.DUMMYFUNCTION("""COMPUTED_VALUE"""),"")</f>
        <v/>
      </c>
      <c r="AA426" s="41" t="str">
        <f>IFERROR(__xludf.DUMMYFUNCTION("""COMPUTED_VALUE"""),"")</f>
        <v/>
      </c>
      <c r="AB426" s="38" t="str">
        <f>IFERROR(__xludf.DUMMYFUNCTION("""COMPUTED_VALUE"""),"")</f>
        <v/>
      </c>
    </row>
    <row r="427">
      <c r="A427" s="41" t="str">
        <f>IFERROR(__xludf.DUMMYFUNCTION("""COMPUTED_VALUE"""),".NET SQLSERVER")</f>
        <v>.NET SQLSERVER</v>
      </c>
      <c r="B427" s="42" t="s">
        <v>170</v>
      </c>
      <c r="C427" s="41" t="s">
        <v>865</v>
      </c>
      <c r="D427" s="41" t="s">
        <v>224</v>
      </c>
      <c r="E427" s="41" t="s">
        <v>4448</v>
      </c>
      <c r="N427" s="38"/>
      <c r="P427" s="42" t="str">
        <f>IFERROR(__xludf.DUMMYFUNCTION("""COMPUTED_VALUE"""),"express")</f>
        <v>express</v>
      </c>
      <c r="Q427" s="41" t="str">
        <f>IFERROR(__xludf.DUMMYFUNCTION("""COMPUTED_VALUE"""),"")</f>
        <v/>
      </c>
      <c r="R427" s="41" t="str">
        <f>IFERROR(__xludf.DUMMYFUNCTION("""COMPUTED_VALUE"""),"")</f>
        <v/>
      </c>
      <c r="S427" s="41" t="str">
        <f>IFERROR(__xludf.DUMMYFUNCTION("""COMPUTED_VALUE"""),"")</f>
        <v/>
      </c>
      <c r="T427" s="41" t="str">
        <f>IFERROR(__xludf.DUMMYFUNCTION("""COMPUTED_VALUE"""),"")</f>
        <v/>
      </c>
      <c r="U427" s="41" t="str">
        <f>IFERROR(__xludf.DUMMYFUNCTION("""COMPUTED_VALUE"""),"")</f>
        <v/>
      </c>
      <c r="V427" s="41" t="str">
        <f>IFERROR(__xludf.DUMMYFUNCTION("""COMPUTED_VALUE"""),"")</f>
        <v/>
      </c>
      <c r="W427" s="41" t="str">
        <f>IFERROR(__xludf.DUMMYFUNCTION("""COMPUTED_VALUE"""),"")</f>
        <v/>
      </c>
      <c r="X427" s="41" t="str">
        <f>IFERROR(__xludf.DUMMYFUNCTION("""COMPUTED_VALUE"""),"")</f>
        <v/>
      </c>
      <c r="Y427" s="41" t="str">
        <f>IFERROR(__xludf.DUMMYFUNCTION("""COMPUTED_VALUE"""),"")</f>
        <v/>
      </c>
      <c r="Z427" s="41" t="str">
        <f>IFERROR(__xludf.DUMMYFUNCTION("""COMPUTED_VALUE"""),"")</f>
        <v/>
      </c>
      <c r="AA427" s="41" t="str">
        <f>IFERROR(__xludf.DUMMYFUNCTION("""COMPUTED_VALUE"""),"")</f>
        <v/>
      </c>
      <c r="AB427" s="38" t="str">
        <f>IFERROR(__xludf.DUMMYFUNCTION("""COMPUTED_VALUE"""),"")</f>
        <v/>
      </c>
    </row>
    <row r="428">
      <c r="A428" s="41" t="str">
        <f>IFERROR(__xludf.DUMMYFUNCTION("""COMPUTED_VALUE"""),"php, python, js, django, laravel, raspberrypi, machine learning, opencv, mysql and more")</f>
        <v>php, python, js, django, laravel, raspberrypi, machine learning, opencv, mysql and more</v>
      </c>
      <c r="B428" s="42" t="s">
        <v>384</v>
      </c>
      <c r="N428" s="38"/>
      <c r="P428" s="42" t="str">
        <f>IFERROR(__xludf.DUMMYFUNCTION("""COMPUTED_VALUE"""),"android")</f>
        <v>android</v>
      </c>
      <c r="Q428" s="41" t="str">
        <f>IFERROR(__xludf.DUMMYFUNCTION("""COMPUTED_VALUE"""),"")</f>
        <v/>
      </c>
      <c r="R428" s="41" t="str">
        <f>IFERROR(__xludf.DUMMYFUNCTION("""COMPUTED_VALUE"""),"")</f>
        <v/>
      </c>
      <c r="S428" s="41" t="str">
        <f>IFERROR(__xludf.DUMMYFUNCTION("""COMPUTED_VALUE"""),"")</f>
        <v/>
      </c>
      <c r="T428" s="41" t="str">
        <f>IFERROR(__xludf.DUMMYFUNCTION("""COMPUTED_VALUE"""),"")</f>
        <v/>
      </c>
      <c r="U428" s="41" t="str">
        <f>IFERROR(__xludf.DUMMYFUNCTION("""COMPUTED_VALUE"""),"")</f>
        <v/>
      </c>
      <c r="V428" s="41" t="str">
        <f>IFERROR(__xludf.DUMMYFUNCTION("""COMPUTED_VALUE"""),"")</f>
        <v/>
      </c>
      <c r="W428" s="41" t="str">
        <f>IFERROR(__xludf.DUMMYFUNCTION("""COMPUTED_VALUE"""),"")</f>
        <v/>
      </c>
      <c r="X428" s="41" t="str">
        <f>IFERROR(__xludf.DUMMYFUNCTION("""COMPUTED_VALUE"""),"")</f>
        <v/>
      </c>
      <c r="Y428" s="41" t="str">
        <f>IFERROR(__xludf.DUMMYFUNCTION("""COMPUTED_VALUE"""),"")</f>
        <v/>
      </c>
      <c r="Z428" s="41" t="str">
        <f>IFERROR(__xludf.DUMMYFUNCTION("""COMPUTED_VALUE"""),"")</f>
        <v/>
      </c>
      <c r="AA428" s="41" t="str">
        <f>IFERROR(__xludf.DUMMYFUNCTION("""COMPUTED_VALUE"""),"")</f>
        <v/>
      </c>
      <c r="AB428" s="38" t="str">
        <f>IFERROR(__xludf.DUMMYFUNCTION("""COMPUTED_VALUE"""),"")</f>
        <v/>
      </c>
    </row>
    <row r="429">
      <c r="A429" s="41" t="str">
        <f>IFERROR(__xludf.DUMMYFUNCTION("""COMPUTED_VALUE"""),"PHP, Laravel, Vuejs ")</f>
        <v>PHP, Laravel, Vuejs </v>
      </c>
      <c r="B429" s="42" t="s">
        <v>1593</v>
      </c>
      <c r="N429" s="38"/>
      <c r="P429" s="42" t="str">
        <f>IFERROR(__xludf.DUMMYFUNCTION("""COMPUTED_VALUE"""),"lamp")</f>
        <v>lamp</v>
      </c>
      <c r="Q429" s="41" t="str">
        <f>IFERROR(__xludf.DUMMYFUNCTION("""COMPUTED_VALUE"""),"")</f>
        <v/>
      </c>
      <c r="R429" s="41" t="str">
        <f>IFERROR(__xludf.DUMMYFUNCTION("""COMPUTED_VALUE"""),"")</f>
        <v/>
      </c>
      <c r="S429" s="41" t="str">
        <f>IFERROR(__xludf.DUMMYFUNCTION("""COMPUTED_VALUE"""),"")</f>
        <v/>
      </c>
      <c r="T429" s="41" t="str">
        <f>IFERROR(__xludf.DUMMYFUNCTION("""COMPUTED_VALUE"""),"")</f>
        <v/>
      </c>
      <c r="U429" s="41" t="str">
        <f>IFERROR(__xludf.DUMMYFUNCTION("""COMPUTED_VALUE"""),"")</f>
        <v/>
      </c>
      <c r="V429" s="41" t="str">
        <f>IFERROR(__xludf.DUMMYFUNCTION("""COMPUTED_VALUE"""),"")</f>
        <v/>
      </c>
      <c r="W429" s="41" t="str">
        <f>IFERROR(__xludf.DUMMYFUNCTION("""COMPUTED_VALUE"""),"")</f>
        <v/>
      </c>
      <c r="X429" s="41" t="str">
        <f>IFERROR(__xludf.DUMMYFUNCTION("""COMPUTED_VALUE"""),"")</f>
        <v/>
      </c>
      <c r="Y429" s="41" t="str">
        <f>IFERROR(__xludf.DUMMYFUNCTION("""COMPUTED_VALUE"""),"")</f>
        <v/>
      </c>
      <c r="Z429" s="41" t="str">
        <f>IFERROR(__xludf.DUMMYFUNCTION("""COMPUTED_VALUE"""),"")</f>
        <v/>
      </c>
      <c r="AA429" s="41" t="str">
        <f>IFERROR(__xludf.DUMMYFUNCTION("""COMPUTED_VALUE"""),"")</f>
        <v/>
      </c>
      <c r="AB429" s="38" t="str">
        <f>IFERROR(__xludf.DUMMYFUNCTION("""COMPUTED_VALUE"""),"")</f>
        <v/>
      </c>
    </row>
    <row r="430">
      <c r="A430" s="41" t="str">
        <f>IFERROR(__xludf.DUMMYFUNCTION("""COMPUTED_VALUE"""),"React Native, Node JS")</f>
        <v>React Native, Node JS</v>
      </c>
      <c r="B430" s="42" t="s">
        <v>196</v>
      </c>
      <c r="C430" s="41" t="s">
        <v>508</v>
      </c>
      <c r="D430" s="41" t="s">
        <v>4300</v>
      </c>
      <c r="E430" s="41" t="s">
        <v>4242</v>
      </c>
      <c r="F430" s="41" t="s">
        <v>1436</v>
      </c>
      <c r="G430" s="41" t="s">
        <v>4449</v>
      </c>
      <c r="H430" s="41" t="s">
        <v>4450</v>
      </c>
      <c r="I430" s="41" t="s">
        <v>4451</v>
      </c>
      <c r="J430" s="41" t="s">
        <v>4452</v>
      </c>
      <c r="N430" s="38"/>
      <c r="P430" s="42" t="str">
        <f>IFERROR(__xludf.DUMMYFUNCTION("""COMPUTED_VALUE"""),"python")</f>
        <v>python</v>
      </c>
      <c r="Q430" s="41" t="str">
        <f>IFERROR(__xludf.DUMMYFUNCTION("""COMPUTED_VALUE"""),"")</f>
        <v/>
      </c>
      <c r="R430" s="41" t="str">
        <f>IFERROR(__xludf.DUMMYFUNCTION("""COMPUTED_VALUE"""),"")</f>
        <v/>
      </c>
      <c r="S430" s="41" t="str">
        <f>IFERROR(__xludf.DUMMYFUNCTION("""COMPUTED_VALUE"""),"")</f>
        <v/>
      </c>
      <c r="T430" s="41" t="str">
        <f>IFERROR(__xludf.DUMMYFUNCTION("""COMPUTED_VALUE"""),"")</f>
        <v/>
      </c>
      <c r="U430" s="41" t="str">
        <f>IFERROR(__xludf.DUMMYFUNCTION("""COMPUTED_VALUE"""),"")</f>
        <v/>
      </c>
      <c r="V430" s="41" t="str">
        <f>IFERROR(__xludf.DUMMYFUNCTION("""COMPUTED_VALUE"""),"")</f>
        <v/>
      </c>
      <c r="W430" s="41" t="str">
        <f>IFERROR(__xludf.DUMMYFUNCTION("""COMPUTED_VALUE"""),"")</f>
        <v/>
      </c>
      <c r="X430" s="41" t="str">
        <f>IFERROR(__xludf.DUMMYFUNCTION("""COMPUTED_VALUE"""),"")</f>
        <v/>
      </c>
      <c r="Y430" s="41" t="str">
        <f>IFERROR(__xludf.DUMMYFUNCTION("""COMPUTED_VALUE"""),"")</f>
        <v/>
      </c>
      <c r="Z430" s="41" t="str">
        <f>IFERROR(__xludf.DUMMYFUNCTION("""COMPUTED_VALUE"""),"")</f>
        <v/>
      </c>
      <c r="AA430" s="41" t="str">
        <f>IFERROR(__xludf.DUMMYFUNCTION("""COMPUTED_VALUE"""),"")</f>
        <v/>
      </c>
      <c r="AB430" s="38" t="str">
        <f>IFERROR(__xludf.DUMMYFUNCTION("""COMPUTED_VALUE"""),"")</f>
        <v/>
      </c>
    </row>
    <row r="431">
      <c r="A431" s="41" t="str">
        <f>IFERROR(__xludf.DUMMYFUNCTION("""COMPUTED_VALUE"""),"Javascript")</f>
        <v>Javascript</v>
      </c>
      <c r="B431" s="42" t="s">
        <v>44</v>
      </c>
      <c r="C431" s="41" t="s">
        <v>103</v>
      </c>
      <c r="D431" s="41" t="s">
        <v>3717</v>
      </c>
      <c r="N431" s="38"/>
      <c r="P431" s="42" t="str">
        <f>IFERROR(__xludf.DUMMYFUNCTION("""COMPUTED_VALUE"""),"swift")</f>
        <v>swift</v>
      </c>
      <c r="Q431" s="41" t="str">
        <f>IFERROR(__xludf.DUMMYFUNCTION("""COMPUTED_VALUE"""),"")</f>
        <v/>
      </c>
      <c r="R431" s="41" t="str">
        <f>IFERROR(__xludf.DUMMYFUNCTION("""COMPUTED_VALUE"""),"")</f>
        <v/>
      </c>
      <c r="S431" s="41" t="str">
        <f>IFERROR(__xludf.DUMMYFUNCTION("""COMPUTED_VALUE"""),"")</f>
        <v/>
      </c>
      <c r="T431" s="41" t="str">
        <f>IFERROR(__xludf.DUMMYFUNCTION("""COMPUTED_VALUE"""),"")</f>
        <v/>
      </c>
      <c r="U431" s="41" t="str">
        <f>IFERROR(__xludf.DUMMYFUNCTION("""COMPUTED_VALUE"""),"")</f>
        <v/>
      </c>
      <c r="V431" s="41" t="str">
        <f>IFERROR(__xludf.DUMMYFUNCTION("""COMPUTED_VALUE"""),"")</f>
        <v/>
      </c>
      <c r="W431" s="41" t="str">
        <f>IFERROR(__xludf.DUMMYFUNCTION("""COMPUTED_VALUE"""),"")</f>
        <v/>
      </c>
      <c r="X431" s="41" t="str">
        <f>IFERROR(__xludf.DUMMYFUNCTION("""COMPUTED_VALUE"""),"")</f>
        <v/>
      </c>
      <c r="Y431" s="41" t="str">
        <f>IFERROR(__xludf.DUMMYFUNCTION("""COMPUTED_VALUE"""),"")</f>
        <v/>
      </c>
      <c r="Z431" s="41" t="str">
        <f>IFERROR(__xludf.DUMMYFUNCTION("""COMPUTED_VALUE"""),"")</f>
        <v/>
      </c>
      <c r="AA431" s="41" t="str">
        <f>IFERROR(__xludf.DUMMYFUNCTION("""COMPUTED_VALUE"""),"")</f>
        <v/>
      </c>
      <c r="AB431" s="38" t="str">
        <f>IFERROR(__xludf.DUMMYFUNCTION("""COMPUTED_VALUE"""),"")</f>
        <v/>
      </c>
    </row>
    <row r="432">
      <c r="A432" s="41" t="str">
        <f>IFERROR(__xludf.DUMMYFUNCTION("""COMPUTED_VALUE"""),"Flutter")</f>
        <v>Flutter</v>
      </c>
      <c r="B432" s="42" t="s">
        <v>549</v>
      </c>
      <c r="C432" s="41" t="s">
        <v>4453</v>
      </c>
      <c r="N432" s="38"/>
      <c r="P432" s="42" t="str">
        <f>IFERROR(__xludf.DUMMYFUNCTION("""COMPUTED_VALUE"""),"java")</f>
        <v>java</v>
      </c>
      <c r="Q432" s="41" t="str">
        <f>IFERROR(__xludf.DUMMYFUNCTION("""COMPUTED_VALUE"""),"")</f>
        <v/>
      </c>
      <c r="R432" s="41" t="str">
        <f>IFERROR(__xludf.DUMMYFUNCTION("""COMPUTED_VALUE"""),"")</f>
        <v/>
      </c>
      <c r="S432" s="41" t="str">
        <f>IFERROR(__xludf.DUMMYFUNCTION("""COMPUTED_VALUE"""),"")</f>
        <v/>
      </c>
      <c r="T432" s="41" t="str">
        <f>IFERROR(__xludf.DUMMYFUNCTION("""COMPUTED_VALUE"""),"")</f>
        <v/>
      </c>
      <c r="U432" s="41" t="str">
        <f>IFERROR(__xludf.DUMMYFUNCTION("""COMPUTED_VALUE"""),"")</f>
        <v/>
      </c>
      <c r="V432" s="41" t="str">
        <f>IFERROR(__xludf.DUMMYFUNCTION("""COMPUTED_VALUE"""),"")</f>
        <v/>
      </c>
      <c r="W432" s="41" t="str">
        <f>IFERROR(__xludf.DUMMYFUNCTION("""COMPUTED_VALUE"""),"")</f>
        <v/>
      </c>
      <c r="X432" s="41" t="str">
        <f>IFERROR(__xludf.DUMMYFUNCTION("""COMPUTED_VALUE"""),"")</f>
        <v/>
      </c>
      <c r="Y432" s="41" t="str">
        <f>IFERROR(__xludf.DUMMYFUNCTION("""COMPUTED_VALUE"""),"")</f>
        <v/>
      </c>
      <c r="Z432" s="41" t="str">
        <f>IFERROR(__xludf.DUMMYFUNCTION("""COMPUTED_VALUE"""),"")</f>
        <v/>
      </c>
      <c r="AA432" s="41" t="str">
        <f>IFERROR(__xludf.DUMMYFUNCTION("""COMPUTED_VALUE"""),"")</f>
        <v/>
      </c>
      <c r="AB432" s="38" t="str">
        <f>IFERROR(__xludf.DUMMYFUNCTION("""COMPUTED_VALUE"""),"")</f>
        <v/>
      </c>
    </row>
    <row r="433">
      <c r="A433" s="41" t="str">
        <f>IFERROR(__xludf.DUMMYFUNCTION("""COMPUTED_VALUE"""),"Java")</f>
        <v>Java</v>
      </c>
      <c r="B433" s="42" t="s">
        <v>712</v>
      </c>
      <c r="N433" s="38"/>
      <c r="P433" s="42" t="str">
        <f>IFERROR(__xludf.DUMMYFUNCTION("""COMPUTED_VALUE"""),"android")</f>
        <v>android</v>
      </c>
      <c r="Q433" s="41" t="str">
        <f>IFERROR(__xludf.DUMMYFUNCTION("""COMPUTED_VALUE"""),"")</f>
        <v/>
      </c>
      <c r="R433" s="41" t="str">
        <f>IFERROR(__xludf.DUMMYFUNCTION("""COMPUTED_VALUE"""),"")</f>
        <v/>
      </c>
      <c r="S433" s="41" t="str">
        <f>IFERROR(__xludf.DUMMYFUNCTION("""COMPUTED_VALUE"""),"")</f>
        <v/>
      </c>
      <c r="T433" s="41" t="str">
        <f>IFERROR(__xludf.DUMMYFUNCTION("""COMPUTED_VALUE"""),"")</f>
        <v/>
      </c>
      <c r="U433" s="41" t="str">
        <f>IFERROR(__xludf.DUMMYFUNCTION("""COMPUTED_VALUE"""),"")</f>
        <v/>
      </c>
      <c r="V433" s="41" t="str">
        <f>IFERROR(__xludf.DUMMYFUNCTION("""COMPUTED_VALUE"""),"")</f>
        <v/>
      </c>
      <c r="W433" s="41" t="str">
        <f>IFERROR(__xludf.DUMMYFUNCTION("""COMPUTED_VALUE"""),"")</f>
        <v/>
      </c>
      <c r="X433" s="41" t="str">
        <f>IFERROR(__xludf.DUMMYFUNCTION("""COMPUTED_VALUE"""),"")</f>
        <v/>
      </c>
      <c r="Y433" s="41" t="str">
        <f>IFERROR(__xludf.DUMMYFUNCTION("""COMPUTED_VALUE"""),"")</f>
        <v/>
      </c>
      <c r="Z433" s="41" t="str">
        <f>IFERROR(__xludf.DUMMYFUNCTION("""COMPUTED_VALUE"""),"")</f>
        <v/>
      </c>
      <c r="AA433" s="41" t="str">
        <f>IFERROR(__xludf.DUMMYFUNCTION("""COMPUTED_VALUE"""),"")</f>
        <v/>
      </c>
      <c r="AB433" s="38" t="str">
        <f>IFERROR(__xludf.DUMMYFUNCTION("""COMPUTED_VALUE"""),"")</f>
        <v/>
      </c>
    </row>
    <row r="434">
      <c r="A434" s="41" t="str">
        <f>IFERROR(__xludf.DUMMYFUNCTION("""COMPUTED_VALUE"""),"MERN STACK")</f>
        <v>MERN STACK</v>
      </c>
      <c r="B434" s="42" t="s">
        <v>457</v>
      </c>
      <c r="N434" s="38"/>
      <c r="P434" s="42" t="str">
        <f>IFERROR(__xludf.DUMMYFUNCTION("""COMPUTED_VALUE"""),"php")</f>
        <v>php</v>
      </c>
      <c r="Q434" s="41" t="str">
        <f>IFERROR(__xludf.DUMMYFUNCTION("""COMPUTED_VALUE"""),"")</f>
        <v/>
      </c>
      <c r="R434" s="41" t="str">
        <f>IFERROR(__xludf.DUMMYFUNCTION("""COMPUTED_VALUE"""),"")</f>
        <v/>
      </c>
      <c r="S434" s="41" t="str">
        <f>IFERROR(__xludf.DUMMYFUNCTION("""COMPUTED_VALUE"""),"")</f>
        <v/>
      </c>
      <c r="T434" s="41" t="str">
        <f>IFERROR(__xludf.DUMMYFUNCTION("""COMPUTED_VALUE"""),"")</f>
        <v/>
      </c>
      <c r="U434" s="41" t="str">
        <f>IFERROR(__xludf.DUMMYFUNCTION("""COMPUTED_VALUE"""),"")</f>
        <v/>
      </c>
      <c r="V434" s="41" t="str">
        <f>IFERROR(__xludf.DUMMYFUNCTION("""COMPUTED_VALUE"""),"")</f>
        <v/>
      </c>
      <c r="W434" s="41" t="str">
        <f>IFERROR(__xludf.DUMMYFUNCTION("""COMPUTED_VALUE"""),"")</f>
        <v/>
      </c>
      <c r="X434" s="41" t="str">
        <f>IFERROR(__xludf.DUMMYFUNCTION("""COMPUTED_VALUE"""),"")</f>
        <v/>
      </c>
      <c r="Y434" s="41" t="str">
        <f>IFERROR(__xludf.DUMMYFUNCTION("""COMPUTED_VALUE"""),"")</f>
        <v/>
      </c>
      <c r="Z434" s="41" t="str">
        <f>IFERROR(__xludf.DUMMYFUNCTION("""COMPUTED_VALUE"""),"")</f>
        <v/>
      </c>
      <c r="AA434" s="41" t="str">
        <f>IFERROR(__xludf.DUMMYFUNCTION("""COMPUTED_VALUE"""),"")</f>
        <v/>
      </c>
      <c r="AB434" s="38" t="str">
        <f>IFERROR(__xludf.DUMMYFUNCTION("""COMPUTED_VALUE"""),"")</f>
        <v/>
      </c>
    </row>
    <row r="435">
      <c r="A435" s="41" t="str">
        <f>IFERROR(__xludf.DUMMYFUNCTION("""COMPUTED_VALUE"""),"html,css,JS")</f>
        <v>html,css,JS</v>
      </c>
      <c r="B435" s="42" t="s">
        <v>224</v>
      </c>
      <c r="N435" s="38"/>
      <c r="P435" s="42" t="str">
        <f>IFERROR(__xludf.DUMMYFUNCTION("""COMPUTED_VALUE"""),".net")</f>
        <v>.net</v>
      </c>
      <c r="Q435" s="41" t="str">
        <f>IFERROR(__xludf.DUMMYFUNCTION("""COMPUTED_VALUE"""),"")</f>
        <v/>
      </c>
      <c r="R435" s="41" t="str">
        <f>IFERROR(__xludf.DUMMYFUNCTION("""COMPUTED_VALUE"""),"")</f>
        <v/>
      </c>
      <c r="S435" s="41" t="str">
        <f>IFERROR(__xludf.DUMMYFUNCTION("""COMPUTED_VALUE"""),"")</f>
        <v/>
      </c>
      <c r="T435" s="41" t="str">
        <f>IFERROR(__xludf.DUMMYFUNCTION("""COMPUTED_VALUE"""),"")</f>
        <v/>
      </c>
      <c r="U435" s="41" t="str">
        <f>IFERROR(__xludf.DUMMYFUNCTION("""COMPUTED_VALUE"""),"")</f>
        <v/>
      </c>
      <c r="V435" s="41" t="str">
        <f>IFERROR(__xludf.DUMMYFUNCTION("""COMPUTED_VALUE"""),"")</f>
        <v/>
      </c>
      <c r="W435" s="41" t="str">
        <f>IFERROR(__xludf.DUMMYFUNCTION("""COMPUTED_VALUE"""),"")</f>
        <v/>
      </c>
      <c r="X435" s="41" t="str">
        <f>IFERROR(__xludf.DUMMYFUNCTION("""COMPUTED_VALUE"""),"")</f>
        <v/>
      </c>
      <c r="Y435" s="41" t="str">
        <f>IFERROR(__xludf.DUMMYFUNCTION("""COMPUTED_VALUE"""),"")</f>
        <v/>
      </c>
      <c r="Z435" s="41" t="str">
        <f>IFERROR(__xludf.DUMMYFUNCTION("""COMPUTED_VALUE"""),"")</f>
        <v/>
      </c>
      <c r="AA435" s="41" t="str">
        <f>IFERROR(__xludf.DUMMYFUNCTION("""COMPUTED_VALUE"""),"")</f>
        <v/>
      </c>
      <c r="AB435" s="38" t="str">
        <f>IFERROR(__xludf.DUMMYFUNCTION("""COMPUTED_VALUE"""),"")</f>
        <v/>
      </c>
    </row>
    <row r="436">
      <c r="A436" s="41" t="str">
        <f>IFERROR(__xludf.DUMMYFUNCTION("""COMPUTED_VALUE"""),"React Native, Azure, Node")</f>
        <v>React Native, Azure, Node</v>
      </c>
      <c r="B436" s="42" t="s">
        <v>2289</v>
      </c>
      <c r="N436" s="38"/>
      <c r="P436" s="42" t="str">
        <f>IFERROR(__xludf.DUMMYFUNCTION("""COMPUTED_VALUE"""),"java")</f>
        <v>java</v>
      </c>
      <c r="Q436" s="41" t="str">
        <f>IFERROR(__xludf.DUMMYFUNCTION("""COMPUTED_VALUE"""),"")</f>
        <v/>
      </c>
      <c r="R436" s="41" t="str">
        <f>IFERROR(__xludf.DUMMYFUNCTION("""COMPUTED_VALUE"""),"")</f>
        <v/>
      </c>
      <c r="S436" s="41" t="str">
        <f>IFERROR(__xludf.DUMMYFUNCTION("""COMPUTED_VALUE"""),"")</f>
        <v/>
      </c>
      <c r="T436" s="41" t="str">
        <f>IFERROR(__xludf.DUMMYFUNCTION("""COMPUTED_VALUE"""),"")</f>
        <v/>
      </c>
      <c r="U436" s="41" t="str">
        <f>IFERROR(__xludf.DUMMYFUNCTION("""COMPUTED_VALUE"""),"")</f>
        <v/>
      </c>
      <c r="V436" s="41" t="str">
        <f>IFERROR(__xludf.DUMMYFUNCTION("""COMPUTED_VALUE"""),"")</f>
        <v/>
      </c>
      <c r="W436" s="41" t="str">
        <f>IFERROR(__xludf.DUMMYFUNCTION("""COMPUTED_VALUE"""),"")</f>
        <v/>
      </c>
      <c r="X436" s="41" t="str">
        <f>IFERROR(__xludf.DUMMYFUNCTION("""COMPUTED_VALUE"""),"")</f>
        <v/>
      </c>
      <c r="Y436" s="41" t="str">
        <f>IFERROR(__xludf.DUMMYFUNCTION("""COMPUTED_VALUE"""),"")</f>
        <v/>
      </c>
      <c r="Z436" s="41" t="str">
        <f>IFERROR(__xludf.DUMMYFUNCTION("""COMPUTED_VALUE"""),"")</f>
        <v/>
      </c>
      <c r="AA436" s="41" t="str">
        <f>IFERROR(__xludf.DUMMYFUNCTION("""COMPUTED_VALUE"""),"")</f>
        <v/>
      </c>
      <c r="AB436" s="38" t="str">
        <f>IFERROR(__xludf.DUMMYFUNCTION("""COMPUTED_VALUE"""),"")</f>
        <v/>
      </c>
    </row>
    <row r="437">
      <c r="A437" s="41" t="str">
        <f>IFERROR(__xludf.DUMMYFUNCTION("""COMPUTED_VALUE"""),"Java Struts, Sybase, Git, Maven")</f>
        <v>Java Struts, Sybase, Git, Maven</v>
      </c>
      <c r="B437" s="42"/>
      <c r="N437" s="38"/>
      <c r="P437" s="42" t="str">
        <f>IFERROR(__xludf.DUMMYFUNCTION("""COMPUTED_VALUE"""),"kubernetes")</f>
        <v>kubernetes</v>
      </c>
      <c r="Q437" s="41" t="str">
        <f>IFERROR(__xludf.DUMMYFUNCTION("""COMPUTED_VALUE"""),"")</f>
        <v/>
      </c>
      <c r="R437" s="41" t="str">
        <f>IFERROR(__xludf.DUMMYFUNCTION("""COMPUTED_VALUE"""),"")</f>
        <v/>
      </c>
      <c r="S437" s="41" t="str">
        <f>IFERROR(__xludf.DUMMYFUNCTION("""COMPUTED_VALUE"""),"")</f>
        <v/>
      </c>
      <c r="T437" s="41" t="str">
        <f>IFERROR(__xludf.DUMMYFUNCTION("""COMPUTED_VALUE"""),"")</f>
        <v/>
      </c>
      <c r="U437" s="41" t="str">
        <f>IFERROR(__xludf.DUMMYFUNCTION("""COMPUTED_VALUE"""),"")</f>
        <v/>
      </c>
      <c r="V437" s="41" t="str">
        <f>IFERROR(__xludf.DUMMYFUNCTION("""COMPUTED_VALUE"""),"")</f>
        <v/>
      </c>
      <c r="W437" s="41" t="str">
        <f>IFERROR(__xludf.DUMMYFUNCTION("""COMPUTED_VALUE"""),"")</f>
        <v/>
      </c>
      <c r="X437" s="41" t="str">
        <f>IFERROR(__xludf.DUMMYFUNCTION("""COMPUTED_VALUE"""),"")</f>
        <v/>
      </c>
      <c r="Y437" s="41" t="str">
        <f>IFERROR(__xludf.DUMMYFUNCTION("""COMPUTED_VALUE"""),"")</f>
        <v/>
      </c>
      <c r="Z437" s="41" t="str">
        <f>IFERROR(__xludf.DUMMYFUNCTION("""COMPUTED_VALUE"""),"")</f>
        <v/>
      </c>
      <c r="AA437" s="41" t="str">
        <f>IFERROR(__xludf.DUMMYFUNCTION("""COMPUTED_VALUE"""),"")</f>
        <v/>
      </c>
      <c r="AB437" s="38" t="str">
        <f>IFERROR(__xludf.DUMMYFUNCTION("""COMPUTED_VALUE"""),"")</f>
        <v/>
      </c>
    </row>
    <row r="438">
      <c r="A438" s="41" t="str">
        <f>IFERROR(__xludf.DUMMYFUNCTION("""COMPUTED_VALUE"""),"java javascript react")</f>
        <v>java javascript react</v>
      </c>
      <c r="B438" s="42"/>
      <c r="N438" s="38"/>
      <c r="P438" s="46" t="str">
        <f>IFERROR(__xludf.DUMMYFUNCTION("""COMPUTED_VALUE"""),"vb.net")</f>
        <v>vb.net</v>
      </c>
      <c r="Q438" s="41" t="str">
        <f>IFERROR(__xludf.DUMMYFUNCTION("""COMPUTED_VALUE"""),"")</f>
        <v/>
      </c>
      <c r="R438" s="41" t="str">
        <f>IFERROR(__xludf.DUMMYFUNCTION("""COMPUTED_VALUE"""),"")</f>
        <v/>
      </c>
      <c r="S438" s="41" t="str">
        <f>IFERROR(__xludf.DUMMYFUNCTION("""COMPUTED_VALUE"""),"")</f>
        <v/>
      </c>
      <c r="T438" s="41" t="str">
        <f>IFERROR(__xludf.DUMMYFUNCTION("""COMPUTED_VALUE"""),"")</f>
        <v/>
      </c>
      <c r="U438" s="41" t="str">
        <f>IFERROR(__xludf.DUMMYFUNCTION("""COMPUTED_VALUE"""),"")</f>
        <v/>
      </c>
      <c r="V438" s="41" t="str">
        <f>IFERROR(__xludf.DUMMYFUNCTION("""COMPUTED_VALUE"""),"")</f>
        <v/>
      </c>
      <c r="W438" s="41" t="str">
        <f>IFERROR(__xludf.DUMMYFUNCTION("""COMPUTED_VALUE"""),"")</f>
        <v/>
      </c>
      <c r="X438" s="41" t="str">
        <f>IFERROR(__xludf.DUMMYFUNCTION("""COMPUTED_VALUE"""),"")</f>
        <v/>
      </c>
      <c r="Y438" s="41" t="str">
        <f>IFERROR(__xludf.DUMMYFUNCTION("""COMPUTED_VALUE"""),"")</f>
        <v/>
      </c>
      <c r="Z438" s="41" t="str">
        <f>IFERROR(__xludf.DUMMYFUNCTION("""COMPUTED_VALUE"""),"")</f>
        <v/>
      </c>
      <c r="AA438" s="41" t="str">
        <f>IFERROR(__xludf.DUMMYFUNCTION("""COMPUTED_VALUE"""),"")</f>
        <v/>
      </c>
      <c r="AB438" s="38" t="str">
        <f>IFERROR(__xludf.DUMMYFUNCTION("""COMPUTED_VALUE"""),"")</f>
        <v/>
      </c>
    </row>
    <row r="439">
      <c r="A439" s="41" t="str">
        <f>IFERROR(__xludf.DUMMYFUNCTION("""COMPUTED_VALUE"""),"React native")</f>
        <v>React native</v>
      </c>
      <c r="B439" s="42"/>
      <c r="N439" s="38"/>
      <c r="P439" s="42" t="str">
        <f>IFERROR(__xludf.DUMMYFUNCTION("""COMPUTED_VALUE"""),"react")</f>
        <v>react</v>
      </c>
      <c r="Q439" s="41" t="str">
        <f>IFERROR(__xludf.DUMMYFUNCTION("""COMPUTED_VALUE"""),"")</f>
        <v/>
      </c>
      <c r="R439" s="41" t="str">
        <f>IFERROR(__xludf.DUMMYFUNCTION("""COMPUTED_VALUE"""),"")</f>
        <v/>
      </c>
      <c r="S439" s="41" t="str">
        <f>IFERROR(__xludf.DUMMYFUNCTION("""COMPUTED_VALUE"""),"")</f>
        <v/>
      </c>
      <c r="T439" s="41" t="str">
        <f>IFERROR(__xludf.DUMMYFUNCTION("""COMPUTED_VALUE"""),"")</f>
        <v/>
      </c>
      <c r="U439" s="41" t="str">
        <f>IFERROR(__xludf.DUMMYFUNCTION("""COMPUTED_VALUE"""),"")</f>
        <v/>
      </c>
      <c r="V439" s="41" t="str">
        <f>IFERROR(__xludf.DUMMYFUNCTION("""COMPUTED_VALUE"""),"")</f>
        <v/>
      </c>
      <c r="W439" s="41" t="str">
        <f>IFERROR(__xludf.DUMMYFUNCTION("""COMPUTED_VALUE"""),"")</f>
        <v/>
      </c>
      <c r="X439" s="41" t="str">
        <f>IFERROR(__xludf.DUMMYFUNCTION("""COMPUTED_VALUE"""),"")</f>
        <v/>
      </c>
      <c r="Y439" s="41" t="str">
        <f>IFERROR(__xludf.DUMMYFUNCTION("""COMPUTED_VALUE"""),"")</f>
        <v/>
      </c>
      <c r="Z439" s="41" t="str">
        <f>IFERROR(__xludf.DUMMYFUNCTION("""COMPUTED_VALUE"""),"")</f>
        <v/>
      </c>
      <c r="AA439" s="41" t="str">
        <f>IFERROR(__xludf.DUMMYFUNCTION("""COMPUTED_VALUE"""),"")</f>
        <v/>
      </c>
      <c r="AB439" s="38" t="str">
        <f>IFERROR(__xludf.DUMMYFUNCTION("""COMPUTED_VALUE"""),"")</f>
        <v/>
      </c>
    </row>
    <row r="440">
      <c r="A440" s="41" t="str">
        <f>IFERROR(__xludf.DUMMYFUNCTION("""COMPUTED_VALUE"""),"Golang, AWS")</f>
        <v>Golang, AWS</v>
      </c>
      <c r="B440" s="42"/>
      <c r="N440" s="38"/>
      <c r="P440" s="42" t="str">
        <f>IFERROR(__xludf.DUMMYFUNCTION("""COMPUTED_VALUE"""),"native")</f>
        <v>native</v>
      </c>
      <c r="Q440" s="41" t="str">
        <f>IFERROR(__xludf.DUMMYFUNCTION("""COMPUTED_VALUE"""),"")</f>
        <v/>
      </c>
      <c r="R440" s="41" t="str">
        <f>IFERROR(__xludf.DUMMYFUNCTION("""COMPUTED_VALUE"""),"")</f>
        <v/>
      </c>
      <c r="S440" s="41" t="str">
        <f>IFERROR(__xludf.DUMMYFUNCTION("""COMPUTED_VALUE"""),"")</f>
        <v/>
      </c>
      <c r="T440" s="41" t="str">
        <f>IFERROR(__xludf.DUMMYFUNCTION("""COMPUTED_VALUE"""),"")</f>
        <v/>
      </c>
      <c r="U440" s="41" t="str">
        <f>IFERROR(__xludf.DUMMYFUNCTION("""COMPUTED_VALUE"""),"")</f>
        <v/>
      </c>
      <c r="V440" s="41" t="str">
        <f>IFERROR(__xludf.DUMMYFUNCTION("""COMPUTED_VALUE"""),"")</f>
        <v/>
      </c>
      <c r="W440" s="41" t="str">
        <f>IFERROR(__xludf.DUMMYFUNCTION("""COMPUTED_VALUE"""),"")</f>
        <v/>
      </c>
      <c r="X440" s="41" t="str">
        <f>IFERROR(__xludf.DUMMYFUNCTION("""COMPUTED_VALUE"""),"")</f>
        <v/>
      </c>
      <c r="Y440" s="41" t="str">
        <f>IFERROR(__xludf.DUMMYFUNCTION("""COMPUTED_VALUE"""),"")</f>
        <v/>
      </c>
      <c r="Z440" s="41" t="str">
        <f>IFERROR(__xludf.DUMMYFUNCTION("""COMPUTED_VALUE"""),"")</f>
        <v/>
      </c>
      <c r="AA440" s="41" t="str">
        <f>IFERROR(__xludf.DUMMYFUNCTION("""COMPUTED_VALUE"""),"")</f>
        <v/>
      </c>
      <c r="AB440" s="38" t="str">
        <f>IFERROR(__xludf.DUMMYFUNCTION("""COMPUTED_VALUE"""),"")</f>
        <v/>
      </c>
    </row>
    <row r="441">
      <c r="A441" s="41" t="str">
        <f>IFERROR(__xludf.DUMMYFUNCTION("""COMPUTED_VALUE"""),"PHP, Python")</f>
        <v>PHP, Python</v>
      </c>
      <c r="B441" s="42"/>
      <c r="N441" s="38"/>
      <c r="P441" s="42" t="str">
        <f>IFERROR(__xludf.DUMMYFUNCTION("""COMPUTED_VALUE"""),"aws")</f>
        <v>aws</v>
      </c>
      <c r="Q441" s="41" t="str">
        <f>IFERROR(__xludf.DUMMYFUNCTION("""COMPUTED_VALUE"""),"")</f>
        <v/>
      </c>
      <c r="R441" s="41" t="str">
        <f>IFERROR(__xludf.DUMMYFUNCTION("""COMPUTED_VALUE"""),"")</f>
        <v/>
      </c>
      <c r="S441" s="41" t="str">
        <f>IFERROR(__xludf.DUMMYFUNCTION("""COMPUTED_VALUE"""),"")</f>
        <v/>
      </c>
      <c r="T441" s="41" t="str">
        <f>IFERROR(__xludf.DUMMYFUNCTION("""COMPUTED_VALUE"""),"")</f>
        <v/>
      </c>
      <c r="U441" s="41" t="str">
        <f>IFERROR(__xludf.DUMMYFUNCTION("""COMPUTED_VALUE"""),"")</f>
        <v/>
      </c>
      <c r="V441" s="41" t="str">
        <f>IFERROR(__xludf.DUMMYFUNCTION("""COMPUTED_VALUE"""),"")</f>
        <v/>
      </c>
      <c r="W441" s="41" t="str">
        <f>IFERROR(__xludf.DUMMYFUNCTION("""COMPUTED_VALUE"""),"")</f>
        <v/>
      </c>
      <c r="X441" s="41" t="str">
        <f>IFERROR(__xludf.DUMMYFUNCTION("""COMPUTED_VALUE"""),"")</f>
        <v/>
      </c>
      <c r="Y441" s="41" t="str">
        <f>IFERROR(__xludf.DUMMYFUNCTION("""COMPUTED_VALUE"""),"")</f>
        <v/>
      </c>
      <c r="Z441" s="41" t="str">
        <f>IFERROR(__xludf.DUMMYFUNCTION("""COMPUTED_VALUE"""),"")</f>
        <v/>
      </c>
      <c r="AA441" s="41" t="str">
        <f>IFERROR(__xludf.DUMMYFUNCTION("""COMPUTED_VALUE"""),"")</f>
        <v/>
      </c>
      <c r="AB441" s="38" t="str">
        <f>IFERROR(__xludf.DUMMYFUNCTION("""COMPUTED_VALUE"""),"")</f>
        <v/>
      </c>
    </row>
    <row r="442">
      <c r="A442" s="41" t="str">
        <f>IFERROR(__xludf.DUMMYFUNCTION("""COMPUTED_VALUE"""),"python,C#,java,mssql")</f>
        <v>python,C#,java,mssql</v>
      </c>
      <c r="B442" s="42"/>
      <c r="N442" s="38"/>
      <c r="P442" s="42" t="str">
        <f>IFERROR(__xludf.DUMMYFUNCTION("""COMPUTED_VALUE"""),"c#")</f>
        <v>c#</v>
      </c>
      <c r="Q442" s="41" t="str">
        <f>IFERROR(__xludf.DUMMYFUNCTION("""COMPUTED_VALUE"""),"")</f>
        <v/>
      </c>
      <c r="R442" s="41" t="str">
        <f>IFERROR(__xludf.DUMMYFUNCTION("""COMPUTED_VALUE"""),"")</f>
        <v/>
      </c>
      <c r="S442" s="41" t="str">
        <f>IFERROR(__xludf.DUMMYFUNCTION("""COMPUTED_VALUE"""),"")</f>
        <v/>
      </c>
      <c r="T442" s="41" t="str">
        <f>IFERROR(__xludf.DUMMYFUNCTION("""COMPUTED_VALUE"""),"")</f>
        <v/>
      </c>
      <c r="U442" s="41" t="str">
        <f>IFERROR(__xludf.DUMMYFUNCTION("""COMPUTED_VALUE"""),"")</f>
        <v/>
      </c>
      <c r="V442" s="41" t="str">
        <f>IFERROR(__xludf.DUMMYFUNCTION("""COMPUTED_VALUE"""),"")</f>
        <v/>
      </c>
      <c r="W442" s="41" t="str">
        <f>IFERROR(__xludf.DUMMYFUNCTION("""COMPUTED_VALUE"""),"")</f>
        <v/>
      </c>
      <c r="X442" s="41" t="str">
        <f>IFERROR(__xludf.DUMMYFUNCTION("""COMPUTED_VALUE"""),"")</f>
        <v/>
      </c>
      <c r="Y442" s="41" t="str">
        <f>IFERROR(__xludf.DUMMYFUNCTION("""COMPUTED_VALUE"""),"")</f>
        <v/>
      </c>
      <c r="Z442" s="41" t="str">
        <f>IFERROR(__xludf.DUMMYFUNCTION("""COMPUTED_VALUE"""),"")</f>
        <v/>
      </c>
      <c r="AA442" s="41" t="str">
        <f>IFERROR(__xludf.DUMMYFUNCTION("""COMPUTED_VALUE"""),"")</f>
        <v/>
      </c>
      <c r="AB442" s="38" t="str">
        <f>IFERROR(__xludf.DUMMYFUNCTION("""COMPUTED_VALUE"""),"")</f>
        <v/>
      </c>
    </row>
    <row r="443">
      <c r="A443" s="41" t="str">
        <f>IFERROR(__xludf.DUMMYFUNCTION("""COMPUTED_VALUE"""),"Telco infra, networking infra, CMS architecture, IIoT Solution")</f>
        <v>Telco infra, networking infra, CMS architecture, IIoT Solution</v>
      </c>
      <c r="B443" s="42"/>
      <c r="N443" s="38"/>
      <c r="P443" s="42" t="str">
        <f>IFERROR(__xludf.DUMMYFUNCTION("""COMPUTED_VALUE"""),"react")</f>
        <v>react</v>
      </c>
      <c r="Q443" s="41" t="str">
        <f>IFERROR(__xludf.DUMMYFUNCTION("""COMPUTED_VALUE"""),"")</f>
        <v/>
      </c>
      <c r="R443" s="41" t="str">
        <f>IFERROR(__xludf.DUMMYFUNCTION("""COMPUTED_VALUE"""),"")</f>
        <v/>
      </c>
      <c r="S443" s="41" t="str">
        <f>IFERROR(__xludf.DUMMYFUNCTION("""COMPUTED_VALUE"""),"")</f>
        <v/>
      </c>
      <c r="T443" s="41" t="str">
        <f>IFERROR(__xludf.DUMMYFUNCTION("""COMPUTED_VALUE"""),"")</f>
        <v/>
      </c>
      <c r="U443" s="41" t="str">
        <f>IFERROR(__xludf.DUMMYFUNCTION("""COMPUTED_VALUE"""),"")</f>
        <v/>
      </c>
      <c r="V443" s="41" t="str">
        <f>IFERROR(__xludf.DUMMYFUNCTION("""COMPUTED_VALUE"""),"")</f>
        <v/>
      </c>
      <c r="W443" s="41" t="str">
        <f>IFERROR(__xludf.DUMMYFUNCTION("""COMPUTED_VALUE"""),"")</f>
        <v/>
      </c>
      <c r="X443" s="41" t="str">
        <f>IFERROR(__xludf.DUMMYFUNCTION("""COMPUTED_VALUE"""),"")</f>
        <v/>
      </c>
      <c r="Y443" s="41" t="str">
        <f>IFERROR(__xludf.DUMMYFUNCTION("""COMPUTED_VALUE"""),"")</f>
        <v/>
      </c>
      <c r="Z443" s="41" t="str">
        <f>IFERROR(__xludf.DUMMYFUNCTION("""COMPUTED_VALUE"""),"")</f>
        <v/>
      </c>
      <c r="AA443" s="41" t="str">
        <f>IFERROR(__xludf.DUMMYFUNCTION("""COMPUTED_VALUE"""),"")</f>
        <v/>
      </c>
      <c r="AB443" s="38" t="str">
        <f>IFERROR(__xludf.DUMMYFUNCTION("""COMPUTED_VALUE"""),"")</f>
        <v/>
      </c>
    </row>
    <row r="444">
      <c r="A444" s="41" t="str">
        <f>IFERROR(__xludf.DUMMYFUNCTION("""COMPUTED_VALUE"""),"Robotic Process Automation")</f>
        <v>Robotic Process Automation</v>
      </c>
      <c r="B444" s="42"/>
      <c r="N444" s="38"/>
      <c r="P444" s="42" t="str">
        <f>IFERROR(__xludf.DUMMYFUNCTION("""COMPUTED_VALUE"""),"c#")</f>
        <v>c#</v>
      </c>
      <c r="Q444" s="41" t="str">
        <f>IFERROR(__xludf.DUMMYFUNCTION("""COMPUTED_VALUE"""),"")</f>
        <v/>
      </c>
      <c r="R444" s="41" t="str">
        <f>IFERROR(__xludf.DUMMYFUNCTION("""COMPUTED_VALUE"""),"")</f>
        <v/>
      </c>
      <c r="S444" s="41" t="str">
        <f>IFERROR(__xludf.DUMMYFUNCTION("""COMPUTED_VALUE"""),"")</f>
        <v/>
      </c>
      <c r="T444" s="41" t="str">
        <f>IFERROR(__xludf.DUMMYFUNCTION("""COMPUTED_VALUE"""),"")</f>
        <v/>
      </c>
      <c r="U444" s="41" t="str">
        <f>IFERROR(__xludf.DUMMYFUNCTION("""COMPUTED_VALUE"""),"")</f>
        <v/>
      </c>
      <c r="V444" s="41" t="str">
        <f>IFERROR(__xludf.DUMMYFUNCTION("""COMPUTED_VALUE"""),"")</f>
        <v/>
      </c>
      <c r="W444" s="41" t="str">
        <f>IFERROR(__xludf.DUMMYFUNCTION("""COMPUTED_VALUE"""),"")</f>
        <v/>
      </c>
      <c r="X444" s="41" t="str">
        <f>IFERROR(__xludf.DUMMYFUNCTION("""COMPUTED_VALUE"""),"")</f>
        <v/>
      </c>
      <c r="Y444" s="41" t="str">
        <f>IFERROR(__xludf.DUMMYFUNCTION("""COMPUTED_VALUE"""),"")</f>
        <v/>
      </c>
      <c r="Z444" s="41" t="str">
        <f>IFERROR(__xludf.DUMMYFUNCTION("""COMPUTED_VALUE"""),"")</f>
        <v/>
      </c>
      <c r="AA444" s="41" t="str">
        <f>IFERROR(__xludf.DUMMYFUNCTION("""COMPUTED_VALUE"""),"")</f>
        <v/>
      </c>
      <c r="AB444" s="38" t="str">
        <f>IFERROR(__xludf.DUMMYFUNCTION("""COMPUTED_VALUE"""),"")</f>
        <v/>
      </c>
    </row>
    <row r="445">
      <c r="A445" s="41" t="str">
        <f>IFERROR(__xludf.DUMMYFUNCTION("""COMPUTED_VALUE"""),"Swift, Objective C, Java, Jira, Bitbucket")</f>
        <v>Swift, Objective C, Java, Jira, Bitbucket</v>
      </c>
      <c r="B445" s="42"/>
      <c r="N445" s="38"/>
      <c r="P445" s="42" t="str">
        <f>IFERROR(__xludf.DUMMYFUNCTION("""COMPUTED_VALUE"""),"talend")</f>
        <v>talend</v>
      </c>
      <c r="Q445" s="41" t="str">
        <f>IFERROR(__xludf.DUMMYFUNCTION("""COMPUTED_VALUE"""),"")</f>
        <v/>
      </c>
      <c r="R445" s="41" t="str">
        <f>IFERROR(__xludf.DUMMYFUNCTION("""COMPUTED_VALUE"""),"")</f>
        <v/>
      </c>
      <c r="S445" s="41" t="str">
        <f>IFERROR(__xludf.DUMMYFUNCTION("""COMPUTED_VALUE"""),"")</f>
        <v/>
      </c>
      <c r="T445" s="41" t="str">
        <f>IFERROR(__xludf.DUMMYFUNCTION("""COMPUTED_VALUE"""),"")</f>
        <v/>
      </c>
      <c r="U445" s="41" t="str">
        <f>IFERROR(__xludf.DUMMYFUNCTION("""COMPUTED_VALUE"""),"")</f>
        <v/>
      </c>
      <c r="V445" s="41" t="str">
        <f>IFERROR(__xludf.DUMMYFUNCTION("""COMPUTED_VALUE"""),"")</f>
        <v/>
      </c>
      <c r="W445" s="41" t="str">
        <f>IFERROR(__xludf.DUMMYFUNCTION("""COMPUTED_VALUE"""),"")</f>
        <v/>
      </c>
      <c r="X445" s="41" t="str">
        <f>IFERROR(__xludf.DUMMYFUNCTION("""COMPUTED_VALUE"""),"")</f>
        <v/>
      </c>
      <c r="Y445" s="41" t="str">
        <f>IFERROR(__xludf.DUMMYFUNCTION("""COMPUTED_VALUE"""),"")</f>
        <v/>
      </c>
      <c r="Z445" s="41" t="str">
        <f>IFERROR(__xludf.DUMMYFUNCTION("""COMPUTED_VALUE"""),"")</f>
        <v/>
      </c>
      <c r="AA445" s="41" t="str">
        <f>IFERROR(__xludf.DUMMYFUNCTION("""COMPUTED_VALUE"""),"")</f>
        <v/>
      </c>
      <c r="AB445" s="38" t="str">
        <f>IFERROR(__xludf.DUMMYFUNCTION("""COMPUTED_VALUE"""),"")</f>
        <v/>
      </c>
    </row>
    <row r="446">
      <c r="A446" s="41" t="str">
        <f>IFERROR(__xludf.DUMMYFUNCTION("""COMPUTED_VALUE"""),"Typescript, PHP")</f>
        <v>Typescript, PHP</v>
      </c>
      <c r="B446" s="42"/>
      <c r="N446" s="38"/>
      <c r="P446" s="42" t="str">
        <f>IFERROR(__xludf.DUMMYFUNCTION("""COMPUTED_VALUE"""),"angular")</f>
        <v>angular</v>
      </c>
      <c r="Q446" s="41" t="str">
        <f>IFERROR(__xludf.DUMMYFUNCTION("""COMPUTED_VALUE"""),"")</f>
        <v/>
      </c>
      <c r="R446" s="41" t="str">
        <f>IFERROR(__xludf.DUMMYFUNCTION("""COMPUTED_VALUE"""),"")</f>
        <v/>
      </c>
      <c r="S446" s="41" t="str">
        <f>IFERROR(__xludf.DUMMYFUNCTION("""COMPUTED_VALUE"""),"")</f>
        <v/>
      </c>
      <c r="T446" s="41" t="str">
        <f>IFERROR(__xludf.DUMMYFUNCTION("""COMPUTED_VALUE"""),"")</f>
        <v/>
      </c>
      <c r="U446" s="41" t="str">
        <f>IFERROR(__xludf.DUMMYFUNCTION("""COMPUTED_VALUE"""),"")</f>
        <v/>
      </c>
      <c r="V446" s="41" t="str">
        <f>IFERROR(__xludf.DUMMYFUNCTION("""COMPUTED_VALUE"""),"")</f>
        <v/>
      </c>
      <c r="W446" s="41" t="str">
        <f>IFERROR(__xludf.DUMMYFUNCTION("""COMPUTED_VALUE"""),"")</f>
        <v/>
      </c>
      <c r="X446" s="41" t="str">
        <f>IFERROR(__xludf.DUMMYFUNCTION("""COMPUTED_VALUE"""),"")</f>
        <v/>
      </c>
      <c r="Y446" s="41" t="str">
        <f>IFERROR(__xludf.DUMMYFUNCTION("""COMPUTED_VALUE"""),"")</f>
        <v/>
      </c>
      <c r="Z446" s="41" t="str">
        <f>IFERROR(__xludf.DUMMYFUNCTION("""COMPUTED_VALUE"""),"")</f>
        <v/>
      </c>
      <c r="AA446" s="41" t="str">
        <f>IFERROR(__xludf.DUMMYFUNCTION("""COMPUTED_VALUE"""),"")</f>
        <v/>
      </c>
      <c r="AB446" s="38" t="str">
        <f>IFERROR(__xludf.DUMMYFUNCTION("""COMPUTED_VALUE"""),"")</f>
        <v/>
      </c>
    </row>
    <row r="447">
      <c r="A447" s="41" t="str">
        <f>IFERROR(__xludf.DUMMYFUNCTION("""COMPUTED_VALUE"""),"AWS, NextJS, typescript, javascript, python")</f>
        <v>AWS, NextJS, typescript, javascript, python</v>
      </c>
      <c r="B447" s="42"/>
      <c r="N447" s="38"/>
      <c r="P447" s="42" t="str">
        <f>IFERROR(__xludf.DUMMYFUNCTION("""COMPUTED_VALUE"""),"flutter")</f>
        <v>flutter</v>
      </c>
      <c r="Q447" s="41" t="str">
        <f>IFERROR(__xludf.DUMMYFUNCTION("""COMPUTED_VALUE"""),"")</f>
        <v/>
      </c>
      <c r="R447" s="41" t="str">
        <f>IFERROR(__xludf.DUMMYFUNCTION("""COMPUTED_VALUE"""),"")</f>
        <v/>
      </c>
      <c r="S447" s="41" t="str">
        <f>IFERROR(__xludf.DUMMYFUNCTION("""COMPUTED_VALUE"""),"")</f>
        <v/>
      </c>
      <c r="T447" s="41" t="str">
        <f>IFERROR(__xludf.DUMMYFUNCTION("""COMPUTED_VALUE"""),"")</f>
        <v/>
      </c>
      <c r="U447" s="41" t="str">
        <f>IFERROR(__xludf.DUMMYFUNCTION("""COMPUTED_VALUE"""),"")</f>
        <v/>
      </c>
      <c r="V447" s="41" t="str">
        <f>IFERROR(__xludf.DUMMYFUNCTION("""COMPUTED_VALUE"""),"")</f>
        <v/>
      </c>
      <c r="W447" s="41" t="str">
        <f>IFERROR(__xludf.DUMMYFUNCTION("""COMPUTED_VALUE"""),"")</f>
        <v/>
      </c>
      <c r="X447" s="41" t="str">
        <f>IFERROR(__xludf.DUMMYFUNCTION("""COMPUTED_VALUE"""),"")</f>
        <v/>
      </c>
      <c r="Y447" s="41" t="str">
        <f>IFERROR(__xludf.DUMMYFUNCTION("""COMPUTED_VALUE"""),"")</f>
        <v/>
      </c>
      <c r="Z447" s="41" t="str">
        <f>IFERROR(__xludf.DUMMYFUNCTION("""COMPUTED_VALUE"""),"")</f>
        <v/>
      </c>
      <c r="AA447" s="41" t="str">
        <f>IFERROR(__xludf.DUMMYFUNCTION("""COMPUTED_VALUE"""),"")</f>
        <v/>
      </c>
      <c r="AB447" s="38" t="str">
        <f>IFERROR(__xludf.DUMMYFUNCTION("""COMPUTED_VALUE"""),"")</f>
        <v/>
      </c>
    </row>
    <row r="448">
      <c r="A448" s="41" t="str">
        <f>IFERROR(__xludf.DUMMYFUNCTION("""COMPUTED_VALUE"""),"C++,Java,Angular,Python")</f>
        <v>C++,Java,Angular,Python</v>
      </c>
      <c r="B448" s="42"/>
      <c r="N448" s="38"/>
      <c r="P448" s="42" t="str">
        <f>IFERROR(__xludf.DUMMYFUNCTION("""COMPUTED_VALUE"""),"flutter")</f>
        <v>flutter</v>
      </c>
      <c r="Q448" s="41" t="str">
        <f>IFERROR(__xludf.DUMMYFUNCTION("""COMPUTED_VALUE"""),"")</f>
        <v/>
      </c>
      <c r="R448" s="41" t="str">
        <f>IFERROR(__xludf.DUMMYFUNCTION("""COMPUTED_VALUE"""),"")</f>
        <v/>
      </c>
      <c r="S448" s="41" t="str">
        <f>IFERROR(__xludf.DUMMYFUNCTION("""COMPUTED_VALUE"""),"")</f>
        <v/>
      </c>
      <c r="T448" s="41" t="str">
        <f>IFERROR(__xludf.DUMMYFUNCTION("""COMPUTED_VALUE"""),"")</f>
        <v/>
      </c>
      <c r="U448" s="41" t="str">
        <f>IFERROR(__xludf.DUMMYFUNCTION("""COMPUTED_VALUE"""),"")</f>
        <v/>
      </c>
      <c r="V448" s="41" t="str">
        <f>IFERROR(__xludf.DUMMYFUNCTION("""COMPUTED_VALUE"""),"")</f>
        <v/>
      </c>
      <c r="W448" s="41" t="str">
        <f>IFERROR(__xludf.DUMMYFUNCTION("""COMPUTED_VALUE"""),"")</f>
        <v/>
      </c>
      <c r="X448" s="41" t="str">
        <f>IFERROR(__xludf.DUMMYFUNCTION("""COMPUTED_VALUE"""),"")</f>
        <v/>
      </c>
      <c r="Y448" s="41" t="str">
        <f>IFERROR(__xludf.DUMMYFUNCTION("""COMPUTED_VALUE"""),"")</f>
        <v/>
      </c>
      <c r="Z448" s="41" t="str">
        <f>IFERROR(__xludf.DUMMYFUNCTION("""COMPUTED_VALUE"""),"")</f>
        <v/>
      </c>
      <c r="AA448" s="41" t="str">
        <f>IFERROR(__xludf.DUMMYFUNCTION("""COMPUTED_VALUE"""),"")</f>
        <v/>
      </c>
      <c r="AB448" s="38" t="str">
        <f>IFERROR(__xludf.DUMMYFUNCTION("""COMPUTED_VALUE"""),"")</f>
        <v/>
      </c>
    </row>
    <row r="449">
      <c r="A449" s="41" t="str">
        <f>IFERROR(__xludf.DUMMYFUNCTION("""COMPUTED_VALUE"""),"Vue, Azure, AWS, Bit")</f>
        <v>Vue, Azure, AWS, Bit</v>
      </c>
      <c r="B449" s="42"/>
      <c r="N449" s="38"/>
      <c r="P449" s="42" t="str">
        <f>IFERROR(__xludf.DUMMYFUNCTION("""COMPUTED_VALUE"""),"flutter")</f>
        <v>flutter</v>
      </c>
      <c r="Q449" s="41" t="str">
        <f>IFERROR(__xludf.DUMMYFUNCTION("""COMPUTED_VALUE"""),"")</f>
        <v/>
      </c>
      <c r="R449" s="41" t="str">
        <f>IFERROR(__xludf.DUMMYFUNCTION("""COMPUTED_VALUE"""),"")</f>
        <v/>
      </c>
      <c r="S449" s="41" t="str">
        <f>IFERROR(__xludf.DUMMYFUNCTION("""COMPUTED_VALUE"""),"")</f>
        <v/>
      </c>
      <c r="T449" s="41" t="str">
        <f>IFERROR(__xludf.DUMMYFUNCTION("""COMPUTED_VALUE"""),"")</f>
        <v/>
      </c>
      <c r="U449" s="41" t="str">
        <f>IFERROR(__xludf.DUMMYFUNCTION("""COMPUTED_VALUE"""),"")</f>
        <v/>
      </c>
      <c r="V449" s="41" t="str">
        <f>IFERROR(__xludf.DUMMYFUNCTION("""COMPUTED_VALUE"""),"")</f>
        <v/>
      </c>
      <c r="W449" s="41" t="str">
        <f>IFERROR(__xludf.DUMMYFUNCTION("""COMPUTED_VALUE"""),"")</f>
        <v/>
      </c>
      <c r="X449" s="41" t="str">
        <f>IFERROR(__xludf.DUMMYFUNCTION("""COMPUTED_VALUE"""),"")</f>
        <v/>
      </c>
      <c r="Y449" s="41" t="str">
        <f>IFERROR(__xludf.DUMMYFUNCTION("""COMPUTED_VALUE"""),"")</f>
        <v/>
      </c>
      <c r="Z449" s="41" t="str">
        <f>IFERROR(__xludf.DUMMYFUNCTION("""COMPUTED_VALUE"""),"")</f>
        <v/>
      </c>
      <c r="AA449" s="41" t="str">
        <f>IFERROR(__xludf.DUMMYFUNCTION("""COMPUTED_VALUE"""),"")</f>
        <v/>
      </c>
      <c r="AB449" s="38" t="str">
        <f>IFERROR(__xludf.DUMMYFUNCTION("""COMPUTED_VALUE"""),"")</f>
        <v/>
      </c>
    </row>
    <row r="450">
      <c r="A450" s="41" t="str">
        <f>IFERROR(__xludf.DUMMYFUNCTION("""COMPUTED_VALUE"""),"Python")</f>
        <v>Python</v>
      </c>
      <c r="B450" s="42"/>
      <c r="N450" s="38"/>
      <c r="P450" s="42" t="str">
        <f>IFERROR(__xludf.DUMMYFUNCTION("""COMPUTED_VALUE"""),"ruby")</f>
        <v>ruby</v>
      </c>
      <c r="Q450" s="41" t="str">
        <f>IFERROR(__xludf.DUMMYFUNCTION("""COMPUTED_VALUE"""),"")</f>
        <v/>
      </c>
      <c r="R450" s="41" t="str">
        <f>IFERROR(__xludf.DUMMYFUNCTION("""COMPUTED_VALUE"""),"")</f>
        <v/>
      </c>
      <c r="S450" s="41" t="str">
        <f>IFERROR(__xludf.DUMMYFUNCTION("""COMPUTED_VALUE"""),"")</f>
        <v/>
      </c>
      <c r="T450" s="41" t="str">
        <f>IFERROR(__xludf.DUMMYFUNCTION("""COMPUTED_VALUE"""),"")</f>
        <v/>
      </c>
      <c r="U450" s="41" t="str">
        <f>IFERROR(__xludf.DUMMYFUNCTION("""COMPUTED_VALUE"""),"")</f>
        <v/>
      </c>
      <c r="V450" s="41" t="str">
        <f>IFERROR(__xludf.DUMMYFUNCTION("""COMPUTED_VALUE"""),"")</f>
        <v/>
      </c>
      <c r="W450" s="41" t="str">
        <f>IFERROR(__xludf.DUMMYFUNCTION("""COMPUTED_VALUE"""),"")</f>
        <v/>
      </c>
      <c r="X450" s="41" t="str">
        <f>IFERROR(__xludf.DUMMYFUNCTION("""COMPUTED_VALUE"""),"")</f>
        <v/>
      </c>
      <c r="Y450" s="41" t="str">
        <f>IFERROR(__xludf.DUMMYFUNCTION("""COMPUTED_VALUE"""),"")</f>
        <v/>
      </c>
      <c r="Z450" s="41" t="str">
        <f>IFERROR(__xludf.DUMMYFUNCTION("""COMPUTED_VALUE"""),"")</f>
        <v/>
      </c>
      <c r="AA450" s="41" t="str">
        <f>IFERROR(__xludf.DUMMYFUNCTION("""COMPUTED_VALUE"""),"")</f>
        <v/>
      </c>
      <c r="AB450" s="38" t="str">
        <f>IFERROR(__xludf.DUMMYFUNCTION("""COMPUTED_VALUE"""),"")</f>
        <v/>
      </c>
    </row>
    <row r="451">
      <c r="A451" s="41" t="str">
        <f>IFERROR(__xludf.DUMMYFUNCTION("""COMPUTED_VALUE"""),".NET, .NET Core, C#, MySQL, VueJs, Quasar, Typescript, Git")</f>
        <v>.NET, .NET Core, C#, MySQL, VueJs, Quasar, Typescript, Git</v>
      </c>
      <c r="B451" s="42"/>
      <c r="N451" s="38"/>
      <c r="P451" s="42" t="str">
        <f>IFERROR(__xludf.DUMMYFUNCTION("""COMPUTED_VALUE"""),"on")</f>
        <v>on</v>
      </c>
      <c r="Q451" s="41" t="str">
        <f>IFERROR(__xludf.DUMMYFUNCTION("""COMPUTED_VALUE"""),"")</f>
        <v/>
      </c>
      <c r="R451" s="41" t="str">
        <f>IFERROR(__xludf.DUMMYFUNCTION("""COMPUTED_VALUE"""),"")</f>
        <v/>
      </c>
      <c r="S451" s="41" t="str">
        <f>IFERROR(__xludf.DUMMYFUNCTION("""COMPUTED_VALUE"""),"")</f>
        <v/>
      </c>
      <c r="T451" s="41" t="str">
        <f>IFERROR(__xludf.DUMMYFUNCTION("""COMPUTED_VALUE"""),"")</f>
        <v/>
      </c>
      <c r="U451" s="41" t="str">
        <f>IFERROR(__xludf.DUMMYFUNCTION("""COMPUTED_VALUE"""),"")</f>
        <v/>
      </c>
      <c r="V451" s="41" t="str">
        <f>IFERROR(__xludf.DUMMYFUNCTION("""COMPUTED_VALUE"""),"")</f>
        <v/>
      </c>
      <c r="W451" s="41" t="str">
        <f>IFERROR(__xludf.DUMMYFUNCTION("""COMPUTED_VALUE"""),"")</f>
        <v/>
      </c>
      <c r="X451" s="41" t="str">
        <f>IFERROR(__xludf.DUMMYFUNCTION("""COMPUTED_VALUE"""),"")</f>
        <v/>
      </c>
      <c r="Y451" s="41" t="str">
        <f>IFERROR(__xludf.DUMMYFUNCTION("""COMPUTED_VALUE"""),"")</f>
        <v/>
      </c>
      <c r="Z451" s="41" t="str">
        <f>IFERROR(__xludf.DUMMYFUNCTION("""COMPUTED_VALUE"""),"")</f>
        <v/>
      </c>
      <c r="AA451" s="41" t="str">
        <f>IFERROR(__xludf.DUMMYFUNCTION("""COMPUTED_VALUE"""),"")</f>
        <v/>
      </c>
      <c r="AB451" s="38" t="str">
        <f>IFERROR(__xludf.DUMMYFUNCTION("""COMPUTED_VALUE"""),"")</f>
        <v/>
      </c>
    </row>
    <row r="452">
      <c r="A452" s="41" t="str">
        <f>IFERROR(__xludf.DUMMYFUNCTION("""COMPUTED_VALUE"""),"Web, Apps")</f>
        <v>Web, Apps</v>
      </c>
      <c r="B452" s="42"/>
      <c r="N452" s="38"/>
      <c r="P452" s="42" t="str">
        <f>IFERROR(__xludf.DUMMYFUNCTION("""COMPUTED_VALUE"""),"rails")</f>
        <v>rails</v>
      </c>
      <c r="Q452" s="41" t="str">
        <f>IFERROR(__xludf.DUMMYFUNCTION("""COMPUTED_VALUE"""),"")</f>
        <v/>
      </c>
      <c r="R452" s="41" t="str">
        <f>IFERROR(__xludf.DUMMYFUNCTION("""COMPUTED_VALUE"""),"")</f>
        <v/>
      </c>
      <c r="S452" s="41" t="str">
        <f>IFERROR(__xludf.DUMMYFUNCTION("""COMPUTED_VALUE"""),"")</f>
        <v/>
      </c>
      <c r="T452" s="41" t="str">
        <f>IFERROR(__xludf.DUMMYFUNCTION("""COMPUTED_VALUE"""),"")</f>
        <v/>
      </c>
      <c r="U452" s="41" t="str">
        <f>IFERROR(__xludf.DUMMYFUNCTION("""COMPUTED_VALUE"""),"")</f>
        <v/>
      </c>
      <c r="V452" s="41" t="str">
        <f>IFERROR(__xludf.DUMMYFUNCTION("""COMPUTED_VALUE"""),"")</f>
        <v/>
      </c>
      <c r="W452" s="41" t="str">
        <f>IFERROR(__xludf.DUMMYFUNCTION("""COMPUTED_VALUE"""),"")</f>
        <v/>
      </c>
      <c r="X452" s="41" t="str">
        <f>IFERROR(__xludf.DUMMYFUNCTION("""COMPUTED_VALUE"""),"")</f>
        <v/>
      </c>
      <c r="Y452" s="41" t="str">
        <f>IFERROR(__xludf.DUMMYFUNCTION("""COMPUTED_VALUE"""),"")</f>
        <v/>
      </c>
      <c r="Z452" s="41" t="str">
        <f>IFERROR(__xludf.DUMMYFUNCTION("""COMPUTED_VALUE"""),"")</f>
        <v/>
      </c>
      <c r="AA452" s="41" t="str">
        <f>IFERROR(__xludf.DUMMYFUNCTION("""COMPUTED_VALUE"""),"")</f>
        <v/>
      </c>
      <c r="AB452" s="38" t="str">
        <f>IFERROR(__xludf.DUMMYFUNCTION("""COMPUTED_VALUE"""),"")</f>
        <v/>
      </c>
    </row>
    <row r="453">
      <c r="A453" s="41" t="str">
        <f>IFERROR(__xludf.DUMMYFUNCTION("""COMPUTED_VALUE"""),"Angular, C#, Azure Web Services")</f>
        <v>Angular, C#, Azure Web Services</v>
      </c>
      <c r="B453" s="42"/>
      <c r="N453" s="38"/>
      <c r="P453" s="42" t="str">
        <f>IFERROR(__xludf.DUMMYFUNCTION("""COMPUTED_VALUE"""),"android")</f>
        <v>android</v>
      </c>
      <c r="Q453" s="41" t="str">
        <f>IFERROR(__xludf.DUMMYFUNCTION("""COMPUTED_VALUE"""),"")</f>
        <v/>
      </c>
      <c r="R453" s="41" t="str">
        <f>IFERROR(__xludf.DUMMYFUNCTION("""COMPUTED_VALUE"""),"")</f>
        <v/>
      </c>
      <c r="S453" s="41" t="str">
        <f>IFERROR(__xludf.DUMMYFUNCTION("""COMPUTED_VALUE"""),"")</f>
        <v/>
      </c>
      <c r="T453" s="41" t="str">
        <f>IFERROR(__xludf.DUMMYFUNCTION("""COMPUTED_VALUE"""),"")</f>
        <v/>
      </c>
      <c r="U453" s="41" t="str">
        <f>IFERROR(__xludf.DUMMYFUNCTION("""COMPUTED_VALUE"""),"")</f>
        <v/>
      </c>
      <c r="V453" s="41" t="str">
        <f>IFERROR(__xludf.DUMMYFUNCTION("""COMPUTED_VALUE"""),"")</f>
        <v/>
      </c>
      <c r="W453" s="41" t="str">
        <f>IFERROR(__xludf.DUMMYFUNCTION("""COMPUTED_VALUE"""),"")</f>
        <v/>
      </c>
      <c r="X453" s="41" t="str">
        <f>IFERROR(__xludf.DUMMYFUNCTION("""COMPUTED_VALUE"""),"")</f>
        <v/>
      </c>
      <c r="Y453" s="41" t="str">
        <f>IFERROR(__xludf.DUMMYFUNCTION("""COMPUTED_VALUE"""),"")</f>
        <v/>
      </c>
      <c r="Z453" s="41" t="str">
        <f>IFERROR(__xludf.DUMMYFUNCTION("""COMPUTED_VALUE"""),"")</f>
        <v/>
      </c>
      <c r="AA453" s="41" t="str">
        <f>IFERROR(__xludf.DUMMYFUNCTION("""COMPUTED_VALUE"""),"")</f>
        <v/>
      </c>
      <c r="AB453" s="38" t="str">
        <f>IFERROR(__xludf.DUMMYFUNCTION("""COMPUTED_VALUE"""),"")</f>
        <v/>
      </c>
    </row>
    <row r="454">
      <c r="A454" s="41" t="str">
        <f>IFERROR(__xludf.DUMMYFUNCTION("""COMPUTED_VALUE"""),"C#, Angular")</f>
        <v>C#, Angular</v>
      </c>
      <c r="B454" s="42"/>
      <c r="N454" s="38"/>
      <c r="P454" s="42" t="str">
        <f>IFERROR(__xludf.DUMMYFUNCTION("""COMPUTED_VALUE"""),"studio")</f>
        <v>studio</v>
      </c>
      <c r="Q454" s="41" t="str">
        <f>IFERROR(__xludf.DUMMYFUNCTION("""COMPUTED_VALUE"""),"")</f>
        <v/>
      </c>
      <c r="R454" s="41" t="str">
        <f>IFERROR(__xludf.DUMMYFUNCTION("""COMPUTED_VALUE"""),"")</f>
        <v/>
      </c>
      <c r="S454" s="41" t="str">
        <f>IFERROR(__xludf.DUMMYFUNCTION("""COMPUTED_VALUE"""),"")</f>
        <v/>
      </c>
      <c r="T454" s="41" t="str">
        <f>IFERROR(__xludf.DUMMYFUNCTION("""COMPUTED_VALUE"""),"")</f>
        <v/>
      </c>
      <c r="U454" s="41" t="str">
        <f>IFERROR(__xludf.DUMMYFUNCTION("""COMPUTED_VALUE"""),"")</f>
        <v/>
      </c>
      <c r="V454" s="41" t="str">
        <f>IFERROR(__xludf.DUMMYFUNCTION("""COMPUTED_VALUE"""),"")</f>
        <v/>
      </c>
      <c r="W454" s="41" t="str">
        <f>IFERROR(__xludf.DUMMYFUNCTION("""COMPUTED_VALUE"""),"")</f>
        <v/>
      </c>
      <c r="X454" s="41" t="str">
        <f>IFERROR(__xludf.DUMMYFUNCTION("""COMPUTED_VALUE"""),"")</f>
        <v/>
      </c>
      <c r="Y454" s="41" t="str">
        <f>IFERROR(__xludf.DUMMYFUNCTION("""COMPUTED_VALUE"""),"")</f>
        <v/>
      </c>
      <c r="Z454" s="41" t="str">
        <f>IFERROR(__xludf.DUMMYFUNCTION("""COMPUTED_VALUE"""),"")</f>
        <v/>
      </c>
      <c r="AA454" s="41" t="str">
        <f>IFERROR(__xludf.DUMMYFUNCTION("""COMPUTED_VALUE"""),"")</f>
        <v/>
      </c>
      <c r="AB454" s="38" t="str">
        <f>IFERROR(__xludf.DUMMYFUNCTION("""COMPUTED_VALUE"""),"")</f>
        <v/>
      </c>
    </row>
    <row r="455">
      <c r="A455" s="41" t="str">
        <f>IFERROR(__xludf.DUMMYFUNCTION("""COMPUTED_VALUE"""),"Laptop")</f>
        <v>Laptop</v>
      </c>
      <c r="B455" s="42"/>
      <c r="N455" s="38"/>
      <c r="P455" s="42" t="str">
        <f>IFERROR(__xludf.DUMMYFUNCTION("""COMPUTED_VALUE"""),"react")</f>
        <v>react</v>
      </c>
      <c r="Q455" s="41" t="str">
        <f>IFERROR(__xludf.DUMMYFUNCTION("""COMPUTED_VALUE"""),"")</f>
        <v/>
      </c>
      <c r="R455" s="41" t="str">
        <f>IFERROR(__xludf.DUMMYFUNCTION("""COMPUTED_VALUE"""),"")</f>
        <v/>
      </c>
      <c r="S455" s="41" t="str">
        <f>IFERROR(__xludf.DUMMYFUNCTION("""COMPUTED_VALUE"""),"")</f>
        <v/>
      </c>
      <c r="T455" s="41" t="str">
        <f>IFERROR(__xludf.DUMMYFUNCTION("""COMPUTED_VALUE"""),"")</f>
        <v/>
      </c>
      <c r="U455" s="41" t="str">
        <f>IFERROR(__xludf.DUMMYFUNCTION("""COMPUTED_VALUE"""),"")</f>
        <v/>
      </c>
      <c r="V455" s="41" t="str">
        <f>IFERROR(__xludf.DUMMYFUNCTION("""COMPUTED_VALUE"""),"")</f>
        <v/>
      </c>
      <c r="W455" s="41" t="str">
        <f>IFERROR(__xludf.DUMMYFUNCTION("""COMPUTED_VALUE"""),"")</f>
        <v/>
      </c>
      <c r="X455" s="41" t="str">
        <f>IFERROR(__xludf.DUMMYFUNCTION("""COMPUTED_VALUE"""),"")</f>
        <v/>
      </c>
      <c r="Y455" s="41" t="str">
        <f>IFERROR(__xludf.DUMMYFUNCTION("""COMPUTED_VALUE"""),"")</f>
        <v/>
      </c>
      <c r="Z455" s="41" t="str">
        <f>IFERROR(__xludf.DUMMYFUNCTION("""COMPUTED_VALUE"""),"")</f>
        <v/>
      </c>
      <c r="AA455" s="41" t="str">
        <f>IFERROR(__xludf.DUMMYFUNCTION("""COMPUTED_VALUE"""),"")</f>
        <v/>
      </c>
      <c r="AB455" s="38" t="str">
        <f>IFERROR(__xludf.DUMMYFUNCTION("""COMPUTED_VALUE"""),"")</f>
        <v/>
      </c>
    </row>
    <row r="456">
      <c r="A456" s="41" t="str">
        <f>IFERROR(__xludf.DUMMYFUNCTION("""COMPUTED_VALUE"""),"javascript framework, SasS, loopback4,")</f>
        <v>javascript framework, SasS, loopback4,</v>
      </c>
      <c r="B456" s="42"/>
      <c r="N456" s="38"/>
      <c r="P456" s="42" t="str">
        <f>IFERROR(__xludf.DUMMYFUNCTION("""COMPUTED_VALUE"""),"js")</f>
        <v>js</v>
      </c>
      <c r="Q456" s="41" t="str">
        <f>IFERROR(__xludf.DUMMYFUNCTION("""COMPUTED_VALUE"""),"")</f>
        <v/>
      </c>
      <c r="R456" s="41" t="str">
        <f>IFERROR(__xludf.DUMMYFUNCTION("""COMPUTED_VALUE"""),"")</f>
        <v/>
      </c>
      <c r="S456" s="41" t="str">
        <f>IFERROR(__xludf.DUMMYFUNCTION("""COMPUTED_VALUE"""),"")</f>
        <v/>
      </c>
      <c r="T456" s="41" t="str">
        <f>IFERROR(__xludf.DUMMYFUNCTION("""COMPUTED_VALUE"""),"")</f>
        <v/>
      </c>
      <c r="U456" s="41" t="str">
        <f>IFERROR(__xludf.DUMMYFUNCTION("""COMPUTED_VALUE"""),"")</f>
        <v/>
      </c>
      <c r="V456" s="41" t="str">
        <f>IFERROR(__xludf.DUMMYFUNCTION("""COMPUTED_VALUE"""),"")</f>
        <v/>
      </c>
      <c r="W456" s="41" t="str">
        <f>IFERROR(__xludf.DUMMYFUNCTION("""COMPUTED_VALUE"""),"")</f>
        <v/>
      </c>
      <c r="X456" s="41" t="str">
        <f>IFERROR(__xludf.DUMMYFUNCTION("""COMPUTED_VALUE"""),"")</f>
        <v/>
      </c>
      <c r="Y456" s="41" t="str">
        <f>IFERROR(__xludf.DUMMYFUNCTION("""COMPUTED_VALUE"""),"")</f>
        <v/>
      </c>
      <c r="Z456" s="41" t="str">
        <f>IFERROR(__xludf.DUMMYFUNCTION("""COMPUTED_VALUE"""),"")</f>
        <v/>
      </c>
      <c r="AA456" s="41" t="str">
        <f>IFERROR(__xludf.DUMMYFUNCTION("""COMPUTED_VALUE"""),"")</f>
        <v/>
      </c>
      <c r="AB456" s="38" t="str">
        <f>IFERROR(__xludf.DUMMYFUNCTION("""COMPUTED_VALUE"""),"")</f>
        <v/>
      </c>
    </row>
    <row r="457">
      <c r="A457" s="41" t="str">
        <f>IFERROR(__xludf.DUMMYFUNCTION("""COMPUTED_VALUE"""),"Azure, Python")</f>
        <v>Azure, Python</v>
      </c>
      <c r="B457" s="42"/>
      <c r="N457" s="38"/>
      <c r="P457" s="42" t="str">
        <f>IFERROR(__xludf.DUMMYFUNCTION("""COMPUTED_VALUE"""),"react")</f>
        <v>react</v>
      </c>
      <c r="Q457" s="41" t="str">
        <f>IFERROR(__xludf.DUMMYFUNCTION("""COMPUTED_VALUE"""),"")</f>
        <v/>
      </c>
      <c r="R457" s="41" t="str">
        <f>IFERROR(__xludf.DUMMYFUNCTION("""COMPUTED_VALUE"""),"")</f>
        <v/>
      </c>
      <c r="S457" s="41" t="str">
        <f>IFERROR(__xludf.DUMMYFUNCTION("""COMPUTED_VALUE"""),"")</f>
        <v/>
      </c>
      <c r="T457" s="41" t="str">
        <f>IFERROR(__xludf.DUMMYFUNCTION("""COMPUTED_VALUE"""),"")</f>
        <v/>
      </c>
      <c r="U457" s="41" t="str">
        <f>IFERROR(__xludf.DUMMYFUNCTION("""COMPUTED_VALUE"""),"")</f>
        <v/>
      </c>
      <c r="V457" s="41" t="str">
        <f>IFERROR(__xludf.DUMMYFUNCTION("""COMPUTED_VALUE"""),"")</f>
        <v/>
      </c>
      <c r="W457" s="41" t="str">
        <f>IFERROR(__xludf.DUMMYFUNCTION("""COMPUTED_VALUE"""),"")</f>
        <v/>
      </c>
      <c r="X457" s="41" t="str">
        <f>IFERROR(__xludf.DUMMYFUNCTION("""COMPUTED_VALUE"""),"")</f>
        <v/>
      </c>
      <c r="Y457" s="41" t="str">
        <f>IFERROR(__xludf.DUMMYFUNCTION("""COMPUTED_VALUE"""),"")</f>
        <v/>
      </c>
      <c r="Z457" s="41" t="str">
        <f>IFERROR(__xludf.DUMMYFUNCTION("""COMPUTED_VALUE"""),"")</f>
        <v/>
      </c>
      <c r="AA457" s="41" t="str">
        <f>IFERROR(__xludf.DUMMYFUNCTION("""COMPUTED_VALUE"""),"")</f>
        <v/>
      </c>
      <c r="AB457" s="38" t="str">
        <f>IFERROR(__xludf.DUMMYFUNCTION("""COMPUTED_VALUE"""),"")</f>
        <v/>
      </c>
    </row>
    <row r="458">
      <c r="A458" s="41" t="str">
        <f>IFERROR(__xludf.DUMMYFUNCTION("""COMPUTED_VALUE"""),"aws")</f>
        <v>aws</v>
      </c>
      <c r="B458" s="42"/>
      <c r="N458" s="38"/>
      <c r="P458" s="42" t="str">
        <f>IFERROR(__xludf.DUMMYFUNCTION("""COMPUTED_VALUE"""),"python")</f>
        <v>python</v>
      </c>
      <c r="Q458" s="41" t="str">
        <f>IFERROR(__xludf.DUMMYFUNCTION("""COMPUTED_VALUE"""),"")</f>
        <v/>
      </c>
      <c r="R458" s="41" t="str">
        <f>IFERROR(__xludf.DUMMYFUNCTION("""COMPUTED_VALUE"""),"")</f>
        <v/>
      </c>
      <c r="S458" s="41" t="str">
        <f>IFERROR(__xludf.DUMMYFUNCTION("""COMPUTED_VALUE"""),"")</f>
        <v/>
      </c>
      <c r="T458" s="41" t="str">
        <f>IFERROR(__xludf.DUMMYFUNCTION("""COMPUTED_VALUE"""),"")</f>
        <v/>
      </c>
      <c r="U458" s="41" t="str">
        <f>IFERROR(__xludf.DUMMYFUNCTION("""COMPUTED_VALUE"""),"")</f>
        <v/>
      </c>
      <c r="V458" s="41" t="str">
        <f>IFERROR(__xludf.DUMMYFUNCTION("""COMPUTED_VALUE"""),"")</f>
        <v/>
      </c>
      <c r="W458" s="41" t="str">
        <f>IFERROR(__xludf.DUMMYFUNCTION("""COMPUTED_VALUE"""),"")</f>
        <v/>
      </c>
      <c r="X458" s="41" t="str">
        <f>IFERROR(__xludf.DUMMYFUNCTION("""COMPUTED_VALUE"""),"")</f>
        <v/>
      </c>
      <c r="Y458" s="41" t="str">
        <f>IFERROR(__xludf.DUMMYFUNCTION("""COMPUTED_VALUE"""),"")</f>
        <v/>
      </c>
      <c r="Z458" s="41" t="str">
        <f>IFERROR(__xludf.DUMMYFUNCTION("""COMPUTED_VALUE"""),"")</f>
        <v/>
      </c>
      <c r="AA458" s="41" t="str">
        <f>IFERROR(__xludf.DUMMYFUNCTION("""COMPUTED_VALUE"""),"")</f>
        <v/>
      </c>
      <c r="AB458" s="38" t="str">
        <f>IFERROR(__xludf.DUMMYFUNCTION("""COMPUTED_VALUE"""),"")</f>
        <v/>
      </c>
    </row>
    <row r="459">
      <c r="A459" s="41" t="str">
        <f>IFERROR(__xludf.DUMMYFUNCTION("""COMPUTED_VALUE"""),"Angular, C#, Api")</f>
        <v>Angular, C#, Api</v>
      </c>
      <c r="B459" s="42"/>
      <c r="N459" s="38"/>
      <c r="P459" s="42" t="str">
        <f>IFERROR(__xludf.DUMMYFUNCTION("""COMPUTED_VALUE"""),"ruby")</f>
        <v>ruby</v>
      </c>
      <c r="Q459" s="41" t="str">
        <f>IFERROR(__xludf.DUMMYFUNCTION("""COMPUTED_VALUE"""),"")</f>
        <v/>
      </c>
      <c r="R459" s="41" t="str">
        <f>IFERROR(__xludf.DUMMYFUNCTION("""COMPUTED_VALUE"""),"")</f>
        <v/>
      </c>
      <c r="S459" s="41" t="str">
        <f>IFERROR(__xludf.DUMMYFUNCTION("""COMPUTED_VALUE"""),"")</f>
        <v/>
      </c>
      <c r="T459" s="41" t="str">
        <f>IFERROR(__xludf.DUMMYFUNCTION("""COMPUTED_VALUE"""),"")</f>
        <v/>
      </c>
      <c r="U459" s="41" t="str">
        <f>IFERROR(__xludf.DUMMYFUNCTION("""COMPUTED_VALUE"""),"")</f>
        <v/>
      </c>
      <c r="V459" s="41" t="str">
        <f>IFERROR(__xludf.DUMMYFUNCTION("""COMPUTED_VALUE"""),"")</f>
        <v/>
      </c>
      <c r="W459" s="41" t="str">
        <f>IFERROR(__xludf.DUMMYFUNCTION("""COMPUTED_VALUE"""),"")</f>
        <v/>
      </c>
      <c r="X459" s="41" t="str">
        <f>IFERROR(__xludf.DUMMYFUNCTION("""COMPUTED_VALUE"""),"")</f>
        <v/>
      </c>
      <c r="Y459" s="41" t="str">
        <f>IFERROR(__xludf.DUMMYFUNCTION("""COMPUTED_VALUE"""),"")</f>
        <v/>
      </c>
      <c r="Z459" s="41" t="str">
        <f>IFERROR(__xludf.DUMMYFUNCTION("""COMPUTED_VALUE"""),"")</f>
        <v/>
      </c>
      <c r="AA459" s="41" t="str">
        <f>IFERROR(__xludf.DUMMYFUNCTION("""COMPUTED_VALUE"""),"")</f>
        <v/>
      </c>
      <c r="AB459" s="38" t="str">
        <f>IFERROR(__xludf.DUMMYFUNCTION("""COMPUTED_VALUE"""),"")</f>
        <v/>
      </c>
    </row>
    <row r="460">
      <c r="A460" s="41" t="str">
        <f>IFERROR(__xludf.DUMMYFUNCTION("""COMPUTED_VALUE"""),"php")</f>
        <v>php</v>
      </c>
      <c r="B460" s="42"/>
      <c r="N460" s="38"/>
      <c r="P460" s="42" t="str">
        <f>IFERROR(__xludf.DUMMYFUNCTION("""COMPUTED_VALUE"""),"python")</f>
        <v>python</v>
      </c>
      <c r="Q460" s="41" t="str">
        <f>IFERROR(__xludf.DUMMYFUNCTION("""COMPUTED_VALUE"""),"")</f>
        <v/>
      </c>
      <c r="R460" s="41" t="str">
        <f>IFERROR(__xludf.DUMMYFUNCTION("""COMPUTED_VALUE"""),"")</f>
        <v/>
      </c>
      <c r="S460" s="41" t="str">
        <f>IFERROR(__xludf.DUMMYFUNCTION("""COMPUTED_VALUE"""),"")</f>
        <v/>
      </c>
      <c r="T460" s="41" t="str">
        <f>IFERROR(__xludf.DUMMYFUNCTION("""COMPUTED_VALUE"""),"")</f>
        <v/>
      </c>
      <c r="U460" s="41" t="str">
        <f>IFERROR(__xludf.DUMMYFUNCTION("""COMPUTED_VALUE"""),"")</f>
        <v/>
      </c>
      <c r="V460" s="41" t="str">
        <f>IFERROR(__xludf.DUMMYFUNCTION("""COMPUTED_VALUE"""),"")</f>
        <v/>
      </c>
      <c r="W460" s="41" t="str">
        <f>IFERROR(__xludf.DUMMYFUNCTION("""COMPUTED_VALUE"""),"")</f>
        <v/>
      </c>
      <c r="X460" s="41" t="str">
        <f>IFERROR(__xludf.DUMMYFUNCTION("""COMPUTED_VALUE"""),"")</f>
        <v/>
      </c>
      <c r="Y460" s="41" t="str">
        <f>IFERROR(__xludf.DUMMYFUNCTION("""COMPUTED_VALUE"""),"")</f>
        <v/>
      </c>
      <c r="Z460" s="41" t="str">
        <f>IFERROR(__xludf.DUMMYFUNCTION("""COMPUTED_VALUE"""),"")</f>
        <v/>
      </c>
      <c r="AA460" s="41" t="str">
        <f>IFERROR(__xludf.DUMMYFUNCTION("""COMPUTED_VALUE"""),"")</f>
        <v/>
      </c>
      <c r="AB460" s="38" t="str">
        <f>IFERROR(__xludf.DUMMYFUNCTION("""COMPUTED_VALUE"""),"")</f>
        <v/>
      </c>
    </row>
    <row r="461">
      <c r="A461" s="41" t="str">
        <f>IFERROR(__xludf.DUMMYFUNCTION("""COMPUTED_VALUE"""),"Ruby, Ruby on Rails, Javascript")</f>
        <v>Ruby, Ruby on Rails, Javascript</v>
      </c>
      <c r="B461" s="42"/>
      <c r="N461" s="38"/>
      <c r="P461" s="42" t="str">
        <f>IFERROR(__xludf.DUMMYFUNCTION("""COMPUTED_VALUE"""),"python")</f>
        <v>python</v>
      </c>
      <c r="Q461" s="41" t="str">
        <f>IFERROR(__xludf.DUMMYFUNCTION("""COMPUTED_VALUE"""),"")</f>
        <v/>
      </c>
      <c r="R461" s="41" t="str">
        <f>IFERROR(__xludf.DUMMYFUNCTION("""COMPUTED_VALUE"""),"")</f>
        <v/>
      </c>
      <c r="S461" s="41" t="str">
        <f>IFERROR(__xludf.DUMMYFUNCTION("""COMPUTED_VALUE"""),"")</f>
        <v/>
      </c>
      <c r="T461" s="41" t="str">
        <f>IFERROR(__xludf.DUMMYFUNCTION("""COMPUTED_VALUE"""),"")</f>
        <v/>
      </c>
      <c r="U461" s="41" t="str">
        <f>IFERROR(__xludf.DUMMYFUNCTION("""COMPUTED_VALUE"""),"")</f>
        <v/>
      </c>
      <c r="V461" s="41" t="str">
        <f>IFERROR(__xludf.DUMMYFUNCTION("""COMPUTED_VALUE"""),"")</f>
        <v/>
      </c>
      <c r="W461" s="41" t="str">
        <f>IFERROR(__xludf.DUMMYFUNCTION("""COMPUTED_VALUE"""),"")</f>
        <v/>
      </c>
      <c r="X461" s="41" t="str">
        <f>IFERROR(__xludf.DUMMYFUNCTION("""COMPUTED_VALUE"""),"")</f>
        <v/>
      </c>
      <c r="Y461" s="41" t="str">
        <f>IFERROR(__xludf.DUMMYFUNCTION("""COMPUTED_VALUE"""),"")</f>
        <v/>
      </c>
      <c r="Z461" s="41" t="str">
        <f>IFERROR(__xludf.DUMMYFUNCTION("""COMPUTED_VALUE"""),"")</f>
        <v/>
      </c>
      <c r="AA461" s="41" t="str">
        <f>IFERROR(__xludf.DUMMYFUNCTION("""COMPUTED_VALUE"""),"")</f>
        <v/>
      </c>
      <c r="AB461" s="38" t="str">
        <f>IFERROR(__xludf.DUMMYFUNCTION("""COMPUTED_VALUE"""),"")</f>
        <v/>
      </c>
    </row>
    <row r="462">
      <c r="A462" s="41" t="str">
        <f>IFERROR(__xludf.DUMMYFUNCTION("""COMPUTED_VALUE"""),"Angular, Java, Bash Script, Node Js")</f>
        <v>Angular, Java, Bash Script, Node Js</v>
      </c>
      <c r="B462" s="42"/>
      <c r="N462" s="38"/>
      <c r="P462" s="42" t="str">
        <f>IFERROR(__xludf.DUMMYFUNCTION("""COMPUTED_VALUE"""),"python")</f>
        <v>python</v>
      </c>
      <c r="Q462" s="41" t="str">
        <f>IFERROR(__xludf.DUMMYFUNCTION("""COMPUTED_VALUE"""),"")</f>
        <v/>
      </c>
      <c r="R462" s="41" t="str">
        <f>IFERROR(__xludf.DUMMYFUNCTION("""COMPUTED_VALUE"""),"")</f>
        <v/>
      </c>
      <c r="S462" s="41" t="str">
        <f>IFERROR(__xludf.DUMMYFUNCTION("""COMPUTED_VALUE"""),"")</f>
        <v/>
      </c>
      <c r="T462" s="41" t="str">
        <f>IFERROR(__xludf.DUMMYFUNCTION("""COMPUTED_VALUE"""),"")</f>
        <v/>
      </c>
      <c r="U462" s="41" t="str">
        <f>IFERROR(__xludf.DUMMYFUNCTION("""COMPUTED_VALUE"""),"")</f>
        <v/>
      </c>
      <c r="V462" s="41" t="str">
        <f>IFERROR(__xludf.DUMMYFUNCTION("""COMPUTED_VALUE"""),"")</f>
        <v/>
      </c>
      <c r="W462" s="41" t="str">
        <f>IFERROR(__xludf.DUMMYFUNCTION("""COMPUTED_VALUE"""),"")</f>
        <v/>
      </c>
      <c r="X462" s="41" t="str">
        <f>IFERROR(__xludf.DUMMYFUNCTION("""COMPUTED_VALUE"""),"")</f>
        <v/>
      </c>
      <c r="Y462" s="41" t="str">
        <f>IFERROR(__xludf.DUMMYFUNCTION("""COMPUTED_VALUE"""),"")</f>
        <v/>
      </c>
      <c r="Z462" s="41" t="str">
        <f>IFERROR(__xludf.DUMMYFUNCTION("""COMPUTED_VALUE"""),"")</f>
        <v/>
      </c>
      <c r="AA462" s="41" t="str">
        <f>IFERROR(__xludf.DUMMYFUNCTION("""COMPUTED_VALUE"""),"")</f>
        <v/>
      </c>
      <c r="AB462" s="38" t="str">
        <f>IFERROR(__xludf.DUMMYFUNCTION("""COMPUTED_VALUE"""),"")</f>
        <v/>
      </c>
    </row>
    <row r="463">
      <c r="A463" s="41" t="str">
        <f>IFERROR(__xludf.DUMMYFUNCTION("""COMPUTED_VALUE"""),"Python, Bash")</f>
        <v>Python, Bash</v>
      </c>
      <c r="B463" s="42"/>
      <c r="N463" s="38"/>
      <c r="P463" s="42" t="str">
        <f>IFERROR(__xludf.DUMMYFUNCTION("""COMPUTED_VALUE"""),"c#")</f>
        <v>c#</v>
      </c>
      <c r="Q463" s="41" t="str">
        <f>IFERROR(__xludf.DUMMYFUNCTION("""COMPUTED_VALUE"""),"")</f>
        <v/>
      </c>
      <c r="R463" s="41" t="str">
        <f>IFERROR(__xludf.DUMMYFUNCTION("""COMPUTED_VALUE"""),"")</f>
        <v/>
      </c>
      <c r="S463" s="41" t="str">
        <f>IFERROR(__xludf.DUMMYFUNCTION("""COMPUTED_VALUE"""),"")</f>
        <v/>
      </c>
      <c r="T463" s="41" t="str">
        <f>IFERROR(__xludf.DUMMYFUNCTION("""COMPUTED_VALUE"""),"")</f>
        <v/>
      </c>
      <c r="U463" s="41" t="str">
        <f>IFERROR(__xludf.DUMMYFUNCTION("""COMPUTED_VALUE"""),"")</f>
        <v/>
      </c>
      <c r="V463" s="41" t="str">
        <f>IFERROR(__xludf.DUMMYFUNCTION("""COMPUTED_VALUE"""),"")</f>
        <v/>
      </c>
      <c r="W463" s="41" t="str">
        <f>IFERROR(__xludf.DUMMYFUNCTION("""COMPUTED_VALUE"""),"")</f>
        <v/>
      </c>
      <c r="X463" s="41" t="str">
        <f>IFERROR(__xludf.DUMMYFUNCTION("""COMPUTED_VALUE"""),"")</f>
        <v/>
      </c>
      <c r="Y463" s="41" t="str">
        <f>IFERROR(__xludf.DUMMYFUNCTION("""COMPUTED_VALUE"""),"")</f>
        <v/>
      </c>
      <c r="Z463" s="41" t="str">
        <f>IFERROR(__xludf.DUMMYFUNCTION("""COMPUTED_VALUE"""),"")</f>
        <v/>
      </c>
      <c r="AA463" s="41" t="str">
        <f>IFERROR(__xludf.DUMMYFUNCTION("""COMPUTED_VALUE"""),"")</f>
        <v/>
      </c>
      <c r="AB463" s="38" t="str">
        <f>IFERROR(__xludf.DUMMYFUNCTION("""COMPUTED_VALUE"""),"")</f>
        <v/>
      </c>
    </row>
    <row r="464">
      <c r="A464" s="41" t="str">
        <f>IFERROR(__xludf.DUMMYFUNCTION("""COMPUTED_VALUE"""),".NET")</f>
        <v>.NET</v>
      </c>
      <c r="B464" s="42"/>
      <c r="N464" s="38"/>
      <c r="P464" s="42" t="str">
        <f>IFERROR(__xludf.DUMMYFUNCTION("""COMPUTED_VALUE"""),"javascript")</f>
        <v>javascript</v>
      </c>
      <c r="Q464" s="41" t="str">
        <f>IFERROR(__xludf.DUMMYFUNCTION("""COMPUTED_VALUE"""),"")</f>
        <v/>
      </c>
      <c r="R464" s="41" t="str">
        <f>IFERROR(__xludf.DUMMYFUNCTION("""COMPUTED_VALUE"""),"")</f>
        <v/>
      </c>
      <c r="S464" s="41" t="str">
        <f>IFERROR(__xludf.DUMMYFUNCTION("""COMPUTED_VALUE"""),"")</f>
        <v/>
      </c>
      <c r="T464" s="41" t="str">
        <f>IFERROR(__xludf.DUMMYFUNCTION("""COMPUTED_VALUE"""),"")</f>
        <v/>
      </c>
      <c r="U464" s="41" t="str">
        <f>IFERROR(__xludf.DUMMYFUNCTION("""COMPUTED_VALUE"""),"")</f>
        <v/>
      </c>
      <c r="V464" s="41" t="str">
        <f>IFERROR(__xludf.DUMMYFUNCTION("""COMPUTED_VALUE"""),"")</f>
        <v/>
      </c>
      <c r="W464" s="41" t="str">
        <f>IFERROR(__xludf.DUMMYFUNCTION("""COMPUTED_VALUE"""),"")</f>
        <v/>
      </c>
      <c r="X464" s="41" t="str">
        <f>IFERROR(__xludf.DUMMYFUNCTION("""COMPUTED_VALUE"""),"")</f>
        <v/>
      </c>
      <c r="Y464" s="41" t="str">
        <f>IFERROR(__xludf.DUMMYFUNCTION("""COMPUTED_VALUE"""),"")</f>
        <v/>
      </c>
      <c r="Z464" s="41" t="str">
        <f>IFERROR(__xludf.DUMMYFUNCTION("""COMPUTED_VALUE"""),"")</f>
        <v/>
      </c>
      <c r="AA464" s="41" t="str">
        <f>IFERROR(__xludf.DUMMYFUNCTION("""COMPUTED_VALUE"""),"")</f>
        <v/>
      </c>
      <c r="AB464" s="38" t="str">
        <f>IFERROR(__xludf.DUMMYFUNCTION("""COMPUTED_VALUE"""),"")</f>
        <v/>
      </c>
    </row>
    <row r="465">
      <c r="A465" s="41" t="str">
        <f>IFERROR(__xludf.DUMMYFUNCTION("""COMPUTED_VALUE"""),"Python, SQL, google cloud, git, docker")</f>
        <v>Python, SQL, google cloud, git, docker</v>
      </c>
      <c r="B465" s="42"/>
      <c r="N465" s="38"/>
      <c r="P465" s="42" t="str">
        <f>IFERROR(__xludf.DUMMYFUNCTION("""COMPUTED_VALUE"""),"sql")</f>
        <v>sql</v>
      </c>
      <c r="Q465" s="41" t="str">
        <f>IFERROR(__xludf.DUMMYFUNCTION("""COMPUTED_VALUE"""),"")</f>
        <v/>
      </c>
      <c r="R465" s="41" t="str">
        <f>IFERROR(__xludf.DUMMYFUNCTION("""COMPUTED_VALUE"""),"")</f>
        <v/>
      </c>
      <c r="S465" s="41" t="str">
        <f>IFERROR(__xludf.DUMMYFUNCTION("""COMPUTED_VALUE"""),"")</f>
        <v/>
      </c>
      <c r="T465" s="41" t="str">
        <f>IFERROR(__xludf.DUMMYFUNCTION("""COMPUTED_VALUE"""),"")</f>
        <v/>
      </c>
      <c r="U465" s="41" t="str">
        <f>IFERROR(__xludf.DUMMYFUNCTION("""COMPUTED_VALUE"""),"")</f>
        <v/>
      </c>
      <c r="V465" s="41" t="str">
        <f>IFERROR(__xludf.DUMMYFUNCTION("""COMPUTED_VALUE"""),"")</f>
        <v/>
      </c>
      <c r="W465" s="41" t="str">
        <f>IFERROR(__xludf.DUMMYFUNCTION("""COMPUTED_VALUE"""),"")</f>
        <v/>
      </c>
      <c r="X465" s="41" t="str">
        <f>IFERROR(__xludf.DUMMYFUNCTION("""COMPUTED_VALUE"""),"")</f>
        <v/>
      </c>
      <c r="Y465" s="41" t="str">
        <f>IFERROR(__xludf.DUMMYFUNCTION("""COMPUTED_VALUE"""),"")</f>
        <v/>
      </c>
      <c r="Z465" s="41" t="str">
        <f>IFERROR(__xludf.DUMMYFUNCTION("""COMPUTED_VALUE"""),"")</f>
        <v/>
      </c>
      <c r="AA465" s="41" t="str">
        <f>IFERROR(__xludf.DUMMYFUNCTION("""COMPUTED_VALUE"""),"")</f>
        <v/>
      </c>
      <c r="AB465" s="38" t="str">
        <f>IFERROR(__xludf.DUMMYFUNCTION("""COMPUTED_VALUE"""),"")</f>
        <v/>
      </c>
    </row>
    <row r="466">
      <c r="A466" s="41" t="str">
        <f>IFERROR(__xludf.DUMMYFUNCTION("""COMPUTED_VALUE"""),"Java, Angular 8")</f>
        <v>Java, Angular 8</v>
      </c>
      <c r="B466" s="42"/>
      <c r="N466" s="38"/>
      <c r="P466" s="42" t="str">
        <f>IFERROR(__xludf.DUMMYFUNCTION("""COMPUTED_VALUE"""),"python")</f>
        <v>python</v>
      </c>
      <c r="Q466" s="41" t="str">
        <f>IFERROR(__xludf.DUMMYFUNCTION("""COMPUTED_VALUE"""),"")</f>
        <v/>
      </c>
      <c r="R466" s="41" t="str">
        <f>IFERROR(__xludf.DUMMYFUNCTION("""COMPUTED_VALUE"""),"")</f>
        <v/>
      </c>
      <c r="S466" s="41" t="str">
        <f>IFERROR(__xludf.DUMMYFUNCTION("""COMPUTED_VALUE"""),"")</f>
        <v/>
      </c>
      <c r="T466" s="41" t="str">
        <f>IFERROR(__xludf.DUMMYFUNCTION("""COMPUTED_VALUE"""),"")</f>
        <v/>
      </c>
      <c r="U466" s="41" t="str">
        <f>IFERROR(__xludf.DUMMYFUNCTION("""COMPUTED_VALUE"""),"")</f>
        <v/>
      </c>
      <c r="V466" s="41" t="str">
        <f>IFERROR(__xludf.DUMMYFUNCTION("""COMPUTED_VALUE"""),"")</f>
        <v/>
      </c>
      <c r="W466" s="41" t="str">
        <f>IFERROR(__xludf.DUMMYFUNCTION("""COMPUTED_VALUE"""),"")</f>
        <v/>
      </c>
      <c r="X466" s="41" t="str">
        <f>IFERROR(__xludf.DUMMYFUNCTION("""COMPUTED_VALUE"""),"")</f>
        <v/>
      </c>
      <c r="Y466" s="41" t="str">
        <f>IFERROR(__xludf.DUMMYFUNCTION("""COMPUTED_VALUE"""),"")</f>
        <v/>
      </c>
      <c r="Z466" s="41" t="str">
        <f>IFERROR(__xludf.DUMMYFUNCTION("""COMPUTED_VALUE"""),"")</f>
        <v/>
      </c>
      <c r="AA466" s="41" t="str">
        <f>IFERROR(__xludf.DUMMYFUNCTION("""COMPUTED_VALUE"""),"")</f>
        <v/>
      </c>
      <c r="AB466" s="38" t="str">
        <f>IFERROR(__xludf.DUMMYFUNCTION("""COMPUTED_VALUE"""),"")</f>
        <v/>
      </c>
    </row>
    <row r="467">
      <c r="A467" s="41" t="str">
        <f>IFERROR(__xludf.DUMMYFUNCTION("""COMPUTED_VALUE"""),"Akamai, AWS, TIBCO, Jira, Bitbucket")</f>
        <v>Akamai, AWS, TIBCO, Jira, Bitbucket</v>
      </c>
      <c r="B467" s="42"/>
      <c r="N467" s="38"/>
      <c r="P467" s="42" t="str">
        <f>IFERROR(__xludf.DUMMYFUNCTION("""COMPUTED_VALUE"""),"sql")</f>
        <v>sql</v>
      </c>
      <c r="Q467" s="41" t="str">
        <f>IFERROR(__xludf.DUMMYFUNCTION("""COMPUTED_VALUE"""),"")</f>
        <v/>
      </c>
      <c r="R467" s="41" t="str">
        <f>IFERROR(__xludf.DUMMYFUNCTION("""COMPUTED_VALUE"""),"")</f>
        <v/>
      </c>
      <c r="S467" s="41" t="str">
        <f>IFERROR(__xludf.DUMMYFUNCTION("""COMPUTED_VALUE"""),"")</f>
        <v/>
      </c>
      <c r="T467" s="41" t="str">
        <f>IFERROR(__xludf.DUMMYFUNCTION("""COMPUTED_VALUE"""),"")</f>
        <v/>
      </c>
      <c r="U467" s="41" t="str">
        <f>IFERROR(__xludf.DUMMYFUNCTION("""COMPUTED_VALUE"""),"")</f>
        <v/>
      </c>
      <c r="V467" s="41" t="str">
        <f>IFERROR(__xludf.DUMMYFUNCTION("""COMPUTED_VALUE"""),"")</f>
        <v/>
      </c>
      <c r="W467" s="41" t="str">
        <f>IFERROR(__xludf.DUMMYFUNCTION("""COMPUTED_VALUE"""),"")</f>
        <v/>
      </c>
      <c r="X467" s="41" t="str">
        <f>IFERROR(__xludf.DUMMYFUNCTION("""COMPUTED_VALUE"""),"")</f>
        <v/>
      </c>
      <c r="Y467" s="41" t="str">
        <f>IFERROR(__xludf.DUMMYFUNCTION("""COMPUTED_VALUE"""),"")</f>
        <v/>
      </c>
      <c r="Z467" s="41" t="str">
        <f>IFERROR(__xludf.DUMMYFUNCTION("""COMPUTED_VALUE"""),"")</f>
        <v/>
      </c>
      <c r="AA467" s="41" t="str">
        <f>IFERROR(__xludf.DUMMYFUNCTION("""COMPUTED_VALUE"""),"")</f>
        <v/>
      </c>
      <c r="AB467" s="38" t="str">
        <f>IFERROR(__xludf.DUMMYFUNCTION("""COMPUTED_VALUE"""),"")</f>
        <v/>
      </c>
    </row>
    <row r="468">
      <c r="A468" s="41" t="str">
        <f>IFERROR(__xludf.DUMMYFUNCTION("""COMPUTED_VALUE"""),"C#, Python, AWS")</f>
        <v>C#, Python, AWS</v>
      </c>
      <c r="B468" s="42"/>
      <c r="N468" s="38"/>
      <c r="P468" s="42" t="str">
        <f>IFERROR(__xludf.DUMMYFUNCTION("""COMPUTED_VALUE"""),"kotlin")</f>
        <v>kotlin</v>
      </c>
      <c r="Q468" s="41" t="str">
        <f>IFERROR(__xludf.DUMMYFUNCTION("""COMPUTED_VALUE"""),"")</f>
        <v/>
      </c>
      <c r="R468" s="41" t="str">
        <f>IFERROR(__xludf.DUMMYFUNCTION("""COMPUTED_VALUE"""),"")</f>
        <v/>
      </c>
      <c r="S468" s="41" t="str">
        <f>IFERROR(__xludf.DUMMYFUNCTION("""COMPUTED_VALUE"""),"")</f>
        <v/>
      </c>
      <c r="T468" s="41" t="str">
        <f>IFERROR(__xludf.DUMMYFUNCTION("""COMPUTED_VALUE"""),"")</f>
        <v/>
      </c>
      <c r="U468" s="41" t="str">
        <f>IFERROR(__xludf.DUMMYFUNCTION("""COMPUTED_VALUE"""),"")</f>
        <v/>
      </c>
      <c r="V468" s="41" t="str">
        <f>IFERROR(__xludf.DUMMYFUNCTION("""COMPUTED_VALUE"""),"")</f>
        <v/>
      </c>
      <c r="W468" s="41" t="str">
        <f>IFERROR(__xludf.DUMMYFUNCTION("""COMPUTED_VALUE"""),"")</f>
        <v/>
      </c>
      <c r="X468" s="41" t="str">
        <f>IFERROR(__xludf.DUMMYFUNCTION("""COMPUTED_VALUE"""),"")</f>
        <v/>
      </c>
      <c r="Y468" s="41" t="str">
        <f>IFERROR(__xludf.DUMMYFUNCTION("""COMPUTED_VALUE"""),"")</f>
        <v/>
      </c>
      <c r="Z468" s="41" t="str">
        <f>IFERROR(__xludf.DUMMYFUNCTION("""COMPUTED_VALUE"""),"")</f>
        <v/>
      </c>
      <c r="AA468" s="41" t="str">
        <f>IFERROR(__xludf.DUMMYFUNCTION("""COMPUTED_VALUE"""),"")</f>
        <v/>
      </c>
      <c r="AB468" s="38" t="str">
        <f>IFERROR(__xludf.DUMMYFUNCTION("""COMPUTED_VALUE"""),"")</f>
        <v/>
      </c>
    </row>
    <row r="469">
      <c r="A469" s="41" t="str">
        <f>IFERROR(__xludf.DUMMYFUNCTION("""COMPUTED_VALUE"""),"Go,rabbitmq,nodejs,kafka,docker,python,typescript")</f>
        <v>Go,rabbitmq,nodejs,kafka,docker,python,typescript</v>
      </c>
      <c r="B469" s="42"/>
      <c r="N469" s="38"/>
      <c r="P469" s="42" t="str">
        <f>IFERROR(__xludf.DUMMYFUNCTION("""COMPUTED_VALUE"""),"jmp")</f>
        <v>jmp</v>
      </c>
      <c r="Q469" s="41" t="str">
        <f>IFERROR(__xludf.DUMMYFUNCTION("""COMPUTED_VALUE"""),"")</f>
        <v/>
      </c>
      <c r="R469" s="41" t="str">
        <f>IFERROR(__xludf.DUMMYFUNCTION("""COMPUTED_VALUE"""),"")</f>
        <v/>
      </c>
      <c r="S469" s="41" t="str">
        <f>IFERROR(__xludf.DUMMYFUNCTION("""COMPUTED_VALUE"""),"")</f>
        <v/>
      </c>
      <c r="T469" s="41" t="str">
        <f>IFERROR(__xludf.DUMMYFUNCTION("""COMPUTED_VALUE"""),"")</f>
        <v/>
      </c>
      <c r="U469" s="41" t="str">
        <f>IFERROR(__xludf.DUMMYFUNCTION("""COMPUTED_VALUE"""),"")</f>
        <v/>
      </c>
      <c r="V469" s="41" t="str">
        <f>IFERROR(__xludf.DUMMYFUNCTION("""COMPUTED_VALUE"""),"")</f>
        <v/>
      </c>
      <c r="W469" s="41" t="str">
        <f>IFERROR(__xludf.DUMMYFUNCTION("""COMPUTED_VALUE"""),"")</f>
        <v/>
      </c>
      <c r="X469" s="41" t="str">
        <f>IFERROR(__xludf.DUMMYFUNCTION("""COMPUTED_VALUE"""),"")</f>
        <v/>
      </c>
      <c r="Y469" s="41" t="str">
        <f>IFERROR(__xludf.DUMMYFUNCTION("""COMPUTED_VALUE"""),"")</f>
        <v/>
      </c>
      <c r="Z469" s="41" t="str">
        <f>IFERROR(__xludf.DUMMYFUNCTION("""COMPUTED_VALUE"""),"")</f>
        <v/>
      </c>
      <c r="AA469" s="41" t="str">
        <f>IFERROR(__xludf.DUMMYFUNCTION("""COMPUTED_VALUE"""),"")</f>
        <v/>
      </c>
      <c r="AB469" s="38" t="str">
        <f>IFERROR(__xludf.DUMMYFUNCTION("""COMPUTED_VALUE"""),"")</f>
        <v/>
      </c>
    </row>
    <row r="470">
      <c r="A470" s="41" t="str">
        <f>IFERROR(__xludf.DUMMYFUNCTION("""COMPUTED_VALUE"""),".Net, Mssql, Jquery")</f>
        <v>.Net, Mssql, Jquery</v>
      </c>
      <c r="B470" s="42"/>
      <c r="N470" s="38"/>
      <c r="P470" s="42" t="str">
        <f>IFERROR(__xludf.DUMMYFUNCTION("""COMPUTED_VALUE"""),"react")</f>
        <v>react</v>
      </c>
      <c r="Q470" s="41" t="str">
        <f>IFERROR(__xludf.DUMMYFUNCTION("""COMPUTED_VALUE"""),"")</f>
        <v/>
      </c>
      <c r="R470" s="41" t="str">
        <f>IFERROR(__xludf.DUMMYFUNCTION("""COMPUTED_VALUE"""),"")</f>
        <v/>
      </c>
      <c r="S470" s="41" t="str">
        <f>IFERROR(__xludf.DUMMYFUNCTION("""COMPUTED_VALUE"""),"")</f>
        <v/>
      </c>
      <c r="T470" s="41" t="str">
        <f>IFERROR(__xludf.DUMMYFUNCTION("""COMPUTED_VALUE"""),"")</f>
        <v/>
      </c>
      <c r="U470" s="41" t="str">
        <f>IFERROR(__xludf.DUMMYFUNCTION("""COMPUTED_VALUE"""),"")</f>
        <v/>
      </c>
      <c r="V470" s="41" t="str">
        <f>IFERROR(__xludf.DUMMYFUNCTION("""COMPUTED_VALUE"""),"")</f>
        <v/>
      </c>
      <c r="W470" s="41" t="str">
        <f>IFERROR(__xludf.DUMMYFUNCTION("""COMPUTED_VALUE"""),"")</f>
        <v/>
      </c>
      <c r="X470" s="41" t="str">
        <f>IFERROR(__xludf.DUMMYFUNCTION("""COMPUTED_VALUE"""),"")</f>
        <v/>
      </c>
      <c r="Y470" s="41" t="str">
        <f>IFERROR(__xludf.DUMMYFUNCTION("""COMPUTED_VALUE"""),"")</f>
        <v/>
      </c>
      <c r="Z470" s="41" t="str">
        <f>IFERROR(__xludf.DUMMYFUNCTION("""COMPUTED_VALUE"""),"")</f>
        <v/>
      </c>
      <c r="AA470" s="41" t="str">
        <f>IFERROR(__xludf.DUMMYFUNCTION("""COMPUTED_VALUE"""),"")</f>
        <v/>
      </c>
      <c r="AB470" s="38" t="str">
        <f>IFERROR(__xludf.DUMMYFUNCTION("""COMPUTED_VALUE"""),"")</f>
        <v/>
      </c>
    </row>
    <row r="471">
      <c r="A471" s="41" t="str">
        <f>IFERROR(__xludf.DUMMYFUNCTION("""COMPUTED_VALUE"""),"SQL, Python")</f>
        <v>SQL, Python</v>
      </c>
      <c r="B471" s="42"/>
      <c r="N471" s="38"/>
      <c r="P471" s="42" t="str">
        <f>IFERROR(__xludf.DUMMYFUNCTION("""COMPUTED_VALUE"""),"js")</f>
        <v>js</v>
      </c>
      <c r="Q471" s="41" t="str">
        <f>IFERROR(__xludf.DUMMYFUNCTION("""COMPUTED_VALUE"""),"")</f>
        <v/>
      </c>
      <c r="R471" s="41" t="str">
        <f>IFERROR(__xludf.DUMMYFUNCTION("""COMPUTED_VALUE"""),"")</f>
        <v/>
      </c>
      <c r="S471" s="41" t="str">
        <f>IFERROR(__xludf.DUMMYFUNCTION("""COMPUTED_VALUE"""),"")</f>
        <v/>
      </c>
      <c r="T471" s="41" t="str">
        <f>IFERROR(__xludf.DUMMYFUNCTION("""COMPUTED_VALUE"""),"")</f>
        <v/>
      </c>
      <c r="U471" s="41" t="str">
        <f>IFERROR(__xludf.DUMMYFUNCTION("""COMPUTED_VALUE"""),"")</f>
        <v/>
      </c>
      <c r="V471" s="41" t="str">
        <f>IFERROR(__xludf.DUMMYFUNCTION("""COMPUTED_VALUE"""),"")</f>
        <v/>
      </c>
      <c r="W471" s="41" t="str">
        <f>IFERROR(__xludf.DUMMYFUNCTION("""COMPUTED_VALUE"""),"")</f>
        <v/>
      </c>
      <c r="X471" s="41" t="str">
        <f>IFERROR(__xludf.DUMMYFUNCTION("""COMPUTED_VALUE"""),"")</f>
        <v/>
      </c>
      <c r="Y471" s="41" t="str">
        <f>IFERROR(__xludf.DUMMYFUNCTION("""COMPUTED_VALUE"""),"")</f>
        <v/>
      </c>
      <c r="Z471" s="41" t="str">
        <f>IFERROR(__xludf.DUMMYFUNCTION("""COMPUTED_VALUE"""),"")</f>
        <v/>
      </c>
      <c r="AA471" s="41" t="str">
        <f>IFERROR(__xludf.DUMMYFUNCTION("""COMPUTED_VALUE"""),"")</f>
        <v/>
      </c>
      <c r="AB471" s="38" t="str">
        <f>IFERROR(__xludf.DUMMYFUNCTION("""COMPUTED_VALUE"""),"")</f>
        <v/>
      </c>
    </row>
    <row r="472">
      <c r="A472" s="41" t="str">
        <f>IFERROR(__xludf.DUMMYFUNCTION("""COMPUTED_VALUE"""),"-")</f>
        <v>-</v>
      </c>
      <c r="B472" s="42"/>
      <c r="N472" s="38"/>
      <c r="P472" s="42" t="str">
        <f>IFERROR(__xludf.DUMMYFUNCTION("""COMPUTED_VALUE"""),"ruby")</f>
        <v>ruby</v>
      </c>
      <c r="Q472" s="41" t="str">
        <f>IFERROR(__xludf.DUMMYFUNCTION("""COMPUTED_VALUE"""),"")</f>
        <v/>
      </c>
      <c r="R472" s="41" t="str">
        <f>IFERROR(__xludf.DUMMYFUNCTION("""COMPUTED_VALUE"""),"")</f>
        <v/>
      </c>
      <c r="S472" s="41" t="str">
        <f>IFERROR(__xludf.DUMMYFUNCTION("""COMPUTED_VALUE"""),"")</f>
        <v/>
      </c>
      <c r="T472" s="41" t="str">
        <f>IFERROR(__xludf.DUMMYFUNCTION("""COMPUTED_VALUE"""),"")</f>
        <v/>
      </c>
      <c r="U472" s="41" t="str">
        <f>IFERROR(__xludf.DUMMYFUNCTION("""COMPUTED_VALUE"""),"")</f>
        <v/>
      </c>
      <c r="V472" s="41" t="str">
        <f>IFERROR(__xludf.DUMMYFUNCTION("""COMPUTED_VALUE"""),"")</f>
        <v/>
      </c>
      <c r="W472" s="41" t="str">
        <f>IFERROR(__xludf.DUMMYFUNCTION("""COMPUTED_VALUE"""),"")</f>
        <v/>
      </c>
      <c r="X472" s="41" t="str">
        <f>IFERROR(__xludf.DUMMYFUNCTION("""COMPUTED_VALUE"""),"")</f>
        <v/>
      </c>
      <c r="Y472" s="41" t="str">
        <f>IFERROR(__xludf.DUMMYFUNCTION("""COMPUTED_VALUE"""),"")</f>
        <v/>
      </c>
      <c r="Z472" s="41" t="str">
        <f>IFERROR(__xludf.DUMMYFUNCTION("""COMPUTED_VALUE"""),"")</f>
        <v/>
      </c>
      <c r="AA472" s="41" t="str">
        <f>IFERROR(__xludf.DUMMYFUNCTION("""COMPUTED_VALUE"""),"")</f>
        <v/>
      </c>
      <c r="AB472" s="38" t="str">
        <f>IFERROR(__xludf.DUMMYFUNCTION("""COMPUTED_VALUE"""),"")</f>
        <v/>
      </c>
    </row>
    <row r="473">
      <c r="A473" s="41" t="str">
        <f>IFERROR(__xludf.DUMMYFUNCTION("""COMPUTED_VALUE"""),"Ruby on Rails, javascript, Jquery")</f>
        <v>Ruby on Rails, javascript, Jquery</v>
      </c>
      <c r="B473" s="42"/>
      <c r="N473" s="38"/>
      <c r="P473" s="42" t="str">
        <f>IFERROR(__xludf.DUMMYFUNCTION("""COMPUTED_VALUE"""),"on")</f>
        <v>on</v>
      </c>
      <c r="Q473" s="41" t="str">
        <f>IFERROR(__xludf.DUMMYFUNCTION("""COMPUTED_VALUE"""),"")</f>
        <v/>
      </c>
      <c r="R473" s="41" t="str">
        <f>IFERROR(__xludf.DUMMYFUNCTION("""COMPUTED_VALUE"""),"")</f>
        <v/>
      </c>
      <c r="S473" s="41" t="str">
        <f>IFERROR(__xludf.DUMMYFUNCTION("""COMPUTED_VALUE"""),"")</f>
        <v/>
      </c>
      <c r="T473" s="41" t="str">
        <f>IFERROR(__xludf.DUMMYFUNCTION("""COMPUTED_VALUE"""),"")</f>
        <v/>
      </c>
      <c r="U473" s="41" t="str">
        <f>IFERROR(__xludf.DUMMYFUNCTION("""COMPUTED_VALUE"""),"")</f>
        <v/>
      </c>
      <c r="V473" s="41" t="str">
        <f>IFERROR(__xludf.DUMMYFUNCTION("""COMPUTED_VALUE"""),"")</f>
        <v/>
      </c>
      <c r="W473" s="41" t="str">
        <f>IFERROR(__xludf.DUMMYFUNCTION("""COMPUTED_VALUE"""),"")</f>
        <v/>
      </c>
      <c r="X473" s="41" t="str">
        <f>IFERROR(__xludf.DUMMYFUNCTION("""COMPUTED_VALUE"""),"")</f>
        <v/>
      </c>
      <c r="Y473" s="41" t="str">
        <f>IFERROR(__xludf.DUMMYFUNCTION("""COMPUTED_VALUE"""),"")</f>
        <v/>
      </c>
      <c r="Z473" s="41" t="str">
        <f>IFERROR(__xludf.DUMMYFUNCTION("""COMPUTED_VALUE"""),"")</f>
        <v/>
      </c>
      <c r="AA473" s="41" t="str">
        <f>IFERROR(__xludf.DUMMYFUNCTION("""COMPUTED_VALUE"""),"")</f>
        <v/>
      </c>
      <c r="AB473" s="38" t="str">
        <f>IFERROR(__xludf.DUMMYFUNCTION("""COMPUTED_VALUE"""),"")</f>
        <v/>
      </c>
    </row>
    <row r="474">
      <c r="A474" s="41" t="str">
        <f>IFERROR(__xludf.DUMMYFUNCTION("""COMPUTED_VALUE"""),"Objc, Swift, Java, Kotlin")</f>
        <v>Objc, Swift, Java, Kotlin</v>
      </c>
      <c r="B474" s="42"/>
      <c r="N474" s="38"/>
      <c r="P474" s="42" t="str">
        <f>IFERROR(__xludf.DUMMYFUNCTION("""COMPUTED_VALUE"""),"rails")</f>
        <v>rails</v>
      </c>
      <c r="Q474" s="41" t="str">
        <f>IFERROR(__xludf.DUMMYFUNCTION("""COMPUTED_VALUE"""),"")</f>
        <v/>
      </c>
      <c r="R474" s="41" t="str">
        <f>IFERROR(__xludf.DUMMYFUNCTION("""COMPUTED_VALUE"""),"")</f>
        <v/>
      </c>
      <c r="S474" s="41" t="str">
        <f>IFERROR(__xludf.DUMMYFUNCTION("""COMPUTED_VALUE"""),"")</f>
        <v/>
      </c>
      <c r="T474" s="41" t="str">
        <f>IFERROR(__xludf.DUMMYFUNCTION("""COMPUTED_VALUE"""),"")</f>
        <v/>
      </c>
      <c r="U474" s="41" t="str">
        <f>IFERROR(__xludf.DUMMYFUNCTION("""COMPUTED_VALUE"""),"")</f>
        <v/>
      </c>
      <c r="V474" s="41" t="str">
        <f>IFERROR(__xludf.DUMMYFUNCTION("""COMPUTED_VALUE"""),"")</f>
        <v/>
      </c>
      <c r="W474" s="41" t="str">
        <f>IFERROR(__xludf.DUMMYFUNCTION("""COMPUTED_VALUE"""),"")</f>
        <v/>
      </c>
      <c r="X474" s="41" t="str">
        <f>IFERROR(__xludf.DUMMYFUNCTION("""COMPUTED_VALUE"""),"")</f>
        <v/>
      </c>
      <c r="Y474" s="41" t="str">
        <f>IFERROR(__xludf.DUMMYFUNCTION("""COMPUTED_VALUE"""),"")</f>
        <v/>
      </c>
      <c r="Z474" s="41" t="str">
        <f>IFERROR(__xludf.DUMMYFUNCTION("""COMPUTED_VALUE"""),"")</f>
        <v/>
      </c>
      <c r="AA474" s="41" t="str">
        <f>IFERROR(__xludf.DUMMYFUNCTION("""COMPUTED_VALUE"""),"")</f>
        <v/>
      </c>
      <c r="AB474" s="38" t="str">
        <f>IFERROR(__xludf.DUMMYFUNCTION("""COMPUTED_VALUE"""),"")</f>
        <v/>
      </c>
    </row>
    <row r="475">
      <c r="A475" s="41" t="str">
        <f>IFERROR(__xludf.DUMMYFUNCTION("""COMPUTED_VALUE"""),"Node js")</f>
        <v>Node js</v>
      </c>
      <c r="B475" s="42"/>
      <c r="N475" s="38"/>
      <c r="P475" s="42" t="str">
        <f>IFERROR(__xludf.DUMMYFUNCTION("""COMPUTED_VALUE"""),"c#")</f>
        <v>c#</v>
      </c>
      <c r="Q475" s="41" t="str">
        <f>IFERROR(__xludf.DUMMYFUNCTION("""COMPUTED_VALUE"""),"")</f>
        <v/>
      </c>
      <c r="R475" s="41" t="str">
        <f>IFERROR(__xludf.DUMMYFUNCTION("""COMPUTED_VALUE"""),"")</f>
        <v/>
      </c>
      <c r="S475" s="41" t="str">
        <f>IFERROR(__xludf.DUMMYFUNCTION("""COMPUTED_VALUE"""),"")</f>
        <v/>
      </c>
      <c r="T475" s="41" t="str">
        <f>IFERROR(__xludf.DUMMYFUNCTION("""COMPUTED_VALUE"""),"")</f>
        <v/>
      </c>
      <c r="U475" s="41" t="str">
        <f>IFERROR(__xludf.DUMMYFUNCTION("""COMPUTED_VALUE"""),"")</f>
        <v/>
      </c>
      <c r="V475" s="41" t="str">
        <f>IFERROR(__xludf.DUMMYFUNCTION("""COMPUTED_VALUE"""),"")</f>
        <v/>
      </c>
      <c r="W475" s="41" t="str">
        <f>IFERROR(__xludf.DUMMYFUNCTION("""COMPUTED_VALUE"""),"")</f>
        <v/>
      </c>
      <c r="X475" s="41" t="str">
        <f>IFERROR(__xludf.DUMMYFUNCTION("""COMPUTED_VALUE"""),"")</f>
        <v/>
      </c>
      <c r="Y475" s="41" t="str">
        <f>IFERROR(__xludf.DUMMYFUNCTION("""COMPUTED_VALUE"""),"")</f>
        <v/>
      </c>
      <c r="Z475" s="41" t="str">
        <f>IFERROR(__xludf.DUMMYFUNCTION("""COMPUTED_VALUE"""),"")</f>
        <v/>
      </c>
      <c r="AA475" s="41" t="str">
        <f>IFERROR(__xludf.DUMMYFUNCTION("""COMPUTED_VALUE"""),"")</f>
        <v/>
      </c>
      <c r="AB475" s="38" t="str">
        <f>IFERROR(__xludf.DUMMYFUNCTION("""COMPUTED_VALUE"""),"")</f>
        <v/>
      </c>
    </row>
    <row r="476">
      <c r="A476" s="41" t="str">
        <f>IFERROR(__xludf.DUMMYFUNCTION("""COMPUTED_VALUE"""),"Cypress, Typescript, Graph QL, Jmeter, Taurus, Docker")</f>
        <v>Cypress, Typescript, Graph QL, Jmeter, Taurus, Docker</v>
      </c>
      <c r="B476" s="42"/>
      <c r="N476" s="38"/>
      <c r="P476" s="42" t="str">
        <f>IFERROR(__xludf.DUMMYFUNCTION("""COMPUTED_VALUE"""),"gcp")</f>
        <v>gcp</v>
      </c>
      <c r="Q476" s="41" t="str">
        <f>IFERROR(__xludf.DUMMYFUNCTION("""COMPUTED_VALUE"""),"")</f>
        <v/>
      </c>
      <c r="R476" s="41" t="str">
        <f>IFERROR(__xludf.DUMMYFUNCTION("""COMPUTED_VALUE"""),"")</f>
        <v/>
      </c>
      <c r="S476" s="41" t="str">
        <f>IFERROR(__xludf.DUMMYFUNCTION("""COMPUTED_VALUE"""),"")</f>
        <v/>
      </c>
      <c r="T476" s="41" t="str">
        <f>IFERROR(__xludf.DUMMYFUNCTION("""COMPUTED_VALUE"""),"")</f>
        <v/>
      </c>
      <c r="U476" s="41" t="str">
        <f>IFERROR(__xludf.DUMMYFUNCTION("""COMPUTED_VALUE"""),"")</f>
        <v/>
      </c>
      <c r="V476" s="41" t="str">
        <f>IFERROR(__xludf.DUMMYFUNCTION("""COMPUTED_VALUE"""),"")</f>
        <v/>
      </c>
      <c r="W476" s="41" t="str">
        <f>IFERROR(__xludf.DUMMYFUNCTION("""COMPUTED_VALUE"""),"")</f>
        <v/>
      </c>
      <c r="X476" s="41" t="str">
        <f>IFERROR(__xludf.DUMMYFUNCTION("""COMPUTED_VALUE"""),"")</f>
        <v/>
      </c>
      <c r="Y476" s="41" t="str">
        <f>IFERROR(__xludf.DUMMYFUNCTION("""COMPUTED_VALUE"""),"")</f>
        <v/>
      </c>
      <c r="Z476" s="41" t="str">
        <f>IFERROR(__xludf.DUMMYFUNCTION("""COMPUTED_VALUE"""),"")</f>
        <v/>
      </c>
      <c r="AA476" s="41" t="str">
        <f>IFERROR(__xludf.DUMMYFUNCTION("""COMPUTED_VALUE"""),"")</f>
        <v/>
      </c>
      <c r="AB476" s="38" t="str">
        <f>IFERROR(__xludf.DUMMYFUNCTION("""COMPUTED_VALUE"""),"")</f>
        <v/>
      </c>
    </row>
    <row r="477">
      <c r="A477" s="41" t="str">
        <f>IFERROR(__xludf.DUMMYFUNCTION("""COMPUTED_VALUE"""),"Computer, R, Google Suite")</f>
        <v>Computer, R, Google Suite</v>
      </c>
      <c r="B477" s="42"/>
      <c r="N477" s="38"/>
      <c r="P477" s="42" t="str">
        <f>IFERROR(__xludf.DUMMYFUNCTION("""COMPUTED_VALUE"""),"php")</f>
        <v>php</v>
      </c>
      <c r="Q477" s="41" t="str">
        <f>IFERROR(__xludf.DUMMYFUNCTION("""COMPUTED_VALUE"""),"")</f>
        <v/>
      </c>
      <c r="R477" s="41" t="str">
        <f>IFERROR(__xludf.DUMMYFUNCTION("""COMPUTED_VALUE"""),"")</f>
        <v/>
      </c>
      <c r="S477" s="41" t="str">
        <f>IFERROR(__xludf.DUMMYFUNCTION("""COMPUTED_VALUE"""),"")</f>
        <v/>
      </c>
      <c r="T477" s="41" t="str">
        <f>IFERROR(__xludf.DUMMYFUNCTION("""COMPUTED_VALUE"""),"")</f>
        <v/>
      </c>
      <c r="U477" s="41" t="str">
        <f>IFERROR(__xludf.DUMMYFUNCTION("""COMPUTED_VALUE"""),"")</f>
        <v/>
      </c>
      <c r="V477" s="41" t="str">
        <f>IFERROR(__xludf.DUMMYFUNCTION("""COMPUTED_VALUE"""),"")</f>
        <v/>
      </c>
      <c r="W477" s="41" t="str">
        <f>IFERROR(__xludf.DUMMYFUNCTION("""COMPUTED_VALUE"""),"")</f>
        <v/>
      </c>
      <c r="X477" s="41" t="str">
        <f>IFERROR(__xludf.DUMMYFUNCTION("""COMPUTED_VALUE"""),"")</f>
        <v/>
      </c>
      <c r="Y477" s="41" t="str">
        <f>IFERROR(__xludf.DUMMYFUNCTION("""COMPUTED_VALUE"""),"")</f>
        <v/>
      </c>
      <c r="Z477" s="41" t="str">
        <f>IFERROR(__xludf.DUMMYFUNCTION("""COMPUTED_VALUE"""),"")</f>
        <v/>
      </c>
      <c r="AA477" s="41" t="str">
        <f>IFERROR(__xludf.DUMMYFUNCTION("""COMPUTED_VALUE"""),"")</f>
        <v/>
      </c>
      <c r="AB477" s="38" t="str">
        <f>IFERROR(__xludf.DUMMYFUNCTION("""COMPUTED_VALUE"""),"")</f>
        <v/>
      </c>
    </row>
    <row r="478">
      <c r="A478" s="41" t="str">
        <f>IFERROR(__xludf.DUMMYFUNCTION("""COMPUTED_VALUE"""),"React.js")</f>
        <v>React.js</v>
      </c>
      <c r="B478" s="42"/>
      <c r="N478" s="38"/>
      <c r="P478" s="42" t="str">
        <f>IFERROR(__xludf.DUMMYFUNCTION("""COMPUTED_VALUE"""),"jira")</f>
        <v>jira</v>
      </c>
      <c r="Q478" s="41" t="str">
        <f>IFERROR(__xludf.DUMMYFUNCTION("""COMPUTED_VALUE"""),"")</f>
        <v/>
      </c>
      <c r="R478" s="41" t="str">
        <f>IFERROR(__xludf.DUMMYFUNCTION("""COMPUTED_VALUE"""),"")</f>
        <v/>
      </c>
      <c r="S478" s="41" t="str">
        <f>IFERROR(__xludf.DUMMYFUNCTION("""COMPUTED_VALUE"""),"")</f>
        <v/>
      </c>
      <c r="T478" s="41" t="str">
        <f>IFERROR(__xludf.DUMMYFUNCTION("""COMPUTED_VALUE"""),"")</f>
        <v/>
      </c>
      <c r="U478" s="41" t="str">
        <f>IFERROR(__xludf.DUMMYFUNCTION("""COMPUTED_VALUE"""),"")</f>
        <v/>
      </c>
      <c r="V478" s="41" t="str">
        <f>IFERROR(__xludf.DUMMYFUNCTION("""COMPUTED_VALUE"""),"")</f>
        <v/>
      </c>
      <c r="W478" s="41" t="str">
        <f>IFERROR(__xludf.DUMMYFUNCTION("""COMPUTED_VALUE"""),"")</f>
        <v/>
      </c>
      <c r="X478" s="41" t="str">
        <f>IFERROR(__xludf.DUMMYFUNCTION("""COMPUTED_VALUE"""),"")</f>
        <v/>
      </c>
      <c r="Y478" s="41" t="str">
        <f>IFERROR(__xludf.DUMMYFUNCTION("""COMPUTED_VALUE"""),"")</f>
        <v/>
      </c>
      <c r="Z478" s="41" t="str">
        <f>IFERROR(__xludf.DUMMYFUNCTION("""COMPUTED_VALUE"""),"")</f>
        <v/>
      </c>
      <c r="AA478" s="41" t="str">
        <f>IFERROR(__xludf.DUMMYFUNCTION("""COMPUTED_VALUE"""),"")</f>
        <v/>
      </c>
      <c r="AB478" s="38" t="str">
        <f>IFERROR(__xludf.DUMMYFUNCTION("""COMPUTED_VALUE"""),"")</f>
        <v/>
      </c>
    </row>
    <row r="479">
      <c r="A479" s="41" t="str">
        <f>IFERROR(__xludf.DUMMYFUNCTION("""COMPUTED_VALUE"""),"Spring,MySQL,Java,Gradle")</f>
        <v>Spring,MySQL,Java,Gradle</v>
      </c>
      <c r="B479" s="42"/>
      <c r="N479" s="38"/>
      <c r="P479" s="42" t="str">
        <f>IFERROR(__xludf.DUMMYFUNCTION("""COMPUTED_VALUE"""),"laptop")</f>
        <v>laptop</v>
      </c>
      <c r="Q479" s="41" t="str">
        <f>IFERROR(__xludf.DUMMYFUNCTION("""COMPUTED_VALUE"""),"")</f>
        <v/>
      </c>
      <c r="R479" s="41" t="str">
        <f>IFERROR(__xludf.DUMMYFUNCTION("""COMPUTED_VALUE"""),"")</f>
        <v/>
      </c>
      <c r="S479" s="41" t="str">
        <f>IFERROR(__xludf.DUMMYFUNCTION("""COMPUTED_VALUE"""),"")</f>
        <v/>
      </c>
      <c r="T479" s="41" t="str">
        <f>IFERROR(__xludf.DUMMYFUNCTION("""COMPUTED_VALUE"""),"")</f>
        <v/>
      </c>
      <c r="U479" s="41" t="str">
        <f>IFERROR(__xludf.DUMMYFUNCTION("""COMPUTED_VALUE"""),"")</f>
        <v/>
      </c>
      <c r="V479" s="41" t="str">
        <f>IFERROR(__xludf.DUMMYFUNCTION("""COMPUTED_VALUE"""),"")</f>
        <v/>
      </c>
      <c r="W479" s="41" t="str">
        <f>IFERROR(__xludf.DUMMYFUNCTION("""COMPUTED_VALUE"""),"")</f>
        <v/>
      </c>
      <c r="X479" s="41" t="str">
        <f>IFERROR(__xludf.DUMMYFUNCTION("""COMPUTED_VALUE"""),"")</f>
        <v/>
      </c>
      <c r="Y479" s="41" t="str">
        <f>IFERROR(__xludf.DUMMYFUNCTION("""COMPUTED_VALUE"""),"")</f>
        <v/>
      </c>
      <c r="Z479" s="41" t="str">
        <f>IFERROR(__xludf.DUMMYFUNCTION("""COMPUTED_VALUE"""),"")</f>
        <v/>
      </c>
      <c r="AA479" s="41" t="str">
        <f>IFERROR(__xludf.DUMMYFUNCTION("""COMPUTED_VALUE"""),"")</f>
        <v/>
      </c>
      <c r="AB479" s="38" t="str">
        <f>IFERROR(__xludf.DUMMYFUNCTION("""COMPUTED_VALUE"""),"")</f>
        <v/>
      </c>
    </row>
    <row r="480">
      <c r="A480" s="41" t="str">
        <f>IFERROR(__xludf.DUMMYFUNCTION("""COMPUTED_VALUE"""),"Rust/C++")</f>
        <v>Rust/C++</v>
      </c>
      <c r="B480" s="42"/>
      <c r="N480" s="38"/>
      <c r="P480" s="42" t="str">
        <f>IFERROR(__xludf.DUMMYFUNCTION("""COMPUTED_VALUE"""),"vuejs")</f>
        <v>vuejs</v>
      </c>
      <c r="Q480" s="41" t="str">
        <f>IFERROR(__xludf.DUMMYFUNCTION("""COMPUTED_VALUE"""),"")</f>
        <v/>
      </c>
      <c r="R480" s="41" t="str">
        <f>IFERROR(__xludf.DUMMYFUNCTION("""COMPUTED_VALUE"""),"")</f>
        <v/>
      </c>
      <c r="S480" s="41" t="str">
        <f>IFERROR(__xludf.DUMMYFUNCTION("""COMPUTED_VALUE"""),"")</f>
        <v/>
      </c>
      <c r="T480" s="41" t="str">
        <f>IFERROR(__xludf.DUMMYFUNCTION("""COMPUTED_VALUE"""),"")</f>
        <v/>
      </c>
      <c r="U480" s="41" t="str">
        <f>IFERROR(__xludf.DUMMYFUNCTION("""COMPUTED_VALUE"""),"")</f>
        <v/>
      </c>
      <c r="V480" s="41" t="str">
        <f>IFERROR(__xludf.DUMMYFUNCTION("""COMPUTED_VALUE"""),"")</f>
        <v/>
      </c>
      <c r="W480" s="41" t="str">
        <f>IFERROR(__xludf.DUMMYFUNCTION("""COMPUTED_VALUE"""),"")</f>
        <v/>
      </c>
      <c r="X480" s="41" t="str">
        <f>IFERROR(__xludf.DUMMYFUNCTION("""COMPUTED_VALUE"""),"")</f>
        <v/>
      </c>
      <c r="Y480" s="41" t="str">
        <f>IFERROR(__xludf.DUMMYFUNCTION("""COMPUTED_VALUE"""),"")</f>
        <v/>
      </c>
      <c r="Z480" s="41" t="str">
        <f>IFERROR(__xludf.DUMMYFUNCTION("""COMPUTED_VALUE"""),"")</f>
        <v/>
      </c>
      <c r="AA480" s="41" t="str">
        <f>IFERROR(__xludf.DUMMYFUNCTION("""COMPUTED_VALUE"""),"")</f>
        <v/>
      </c>
      <c r="AB480" s="38" t="str">
        <f>IFERROR(__xludf.DUMMYFUNCTION("""COMPUTED_VALUE"""),"")</f>
        <v/>
      </c>
    </row>
    <row r="481">
      <c r="A481" s="41" t="str">
        <f>IFERROR(__xludf.DUMMYFUNCTION("""COMPUTED_VALUE"""),"Windows, C#, Machine Vision, Machine components &amp; controllers")</f>
        <v>Windows, C#, Machine Vision, Machine components &amp; controllers</v>
      </c>
      <c r="B481" s="42"/>
      <c r="N481" s="38"/>
      <c r="P481" s="42" t="str">
        <f>IFERROR(__xludf.DUMMYFUNCTION("""COMPUTED_VALUE"""),"company")</f>
        <v>company</v>
      </c>
      <c r="Q481" s="41" t="str">
        <f>IFERROR(__xludf.DUMMYFUNCTION("""COMPUTED_VALUE"""),"")</f>
        <v/>
      </c>
      <c r="R481" s="41" t="str">
        <f>IFERROR(__xludf.DUMMYFUNCTION("""COMPUTED_VALUE"""),"")</f>
        <v/>
      </c>
      <c r="S481" s="41" t="str">
        <f>IFERROR(__xludf.DUMMYFUNCTION("""COMPUTED_VALUE"""),"")</f>
        <v/>
      </c>
      <c r="T481" s="41" t="str">
        <f>IFERROR(__xludf.DUMMYFUNCTION("""COMPUTED_VALUE"""),"")</f>
        <v/>
      </c>
      <c r="U481" s="41" t="str">
        <f>IFERROR(__xludf.DUMMYFUNCTION("""COMPUTED_VALUE"""),"")</f>
        <v/>
      </c>
      <c r="V481" s="41" t="str">
        <f>IFERROR(__xludf.DUMMYFUNCTION("""COMPUTED_VALUE"""),"")</f>
        <v/>
      </c>
      <c r="W481" s="41" t="str">
        <f>IFERROR(__xludf.DUMMYFUNCTION("""COMPUTED_VALUE"""),"")</f>
        <v/>
      </c>
      <c r="X481" s="41" t="str">
        <f>IFERROR(__xludf.DUMMYFUNCTION("""COMPUTED_VALUE"""),"")</f>
        <v/>
      </c>
      <c r="Y481" s="41" t="str">
        <f>IFERROR(__xludf.DUMMYFUNCTION("""COMPUTED_VALUE"""),"")</f>
        <v/>
      </c>
      <c r="Z481" s="41" t="str">
        <f>IFERROR(__xludf.DUMMYFUNCTION("""COMPUTED_VALUE"""),"")</f>
        <v/>
      </c>
      <c r="AA481" s="41" t="str">
        <f>IFERROR(__xludf.DUMMYFUNCTION("""COMPUTED_VALUE"""),"")</f>
        <v/>
      </c>
      <c r="AB481" s="38" t="str">
        <f>IFERROR(__xludf.DUMMYFUNCTION("""COMPUTED_VALUE"""),"")</f>
        <v/>
      </c>
    </row>
    <row r="482">
      <c r="A482" s="41" t="str">
        <f>IFERROR(__xludf.DUMMYFUNCTION("""COMPUTED_VALUE"""),".Net framework and .net core, angular and react")</f>
        <v>.Net framework and .net core, angular and react</v>
      </c>
      <c r="B482" s="42"/>
      <c r="N482" s="38"/>
      <c r="P482" s="42" t="str">
        <f>IFERROR(__xludf.DUMMYFUNCTION("""COMPUTED_VALUE"""),"laptop")</f>
        <v>laptop</v>
      </c>
      <c r="Q482" s="41" t="str">
        <f>IFERROR(__xludf.DUMMYFUNCTION("""COMPUTED_VALUE"""),"")</f>
        <v/>
      </c>
      <c r="R482" s="41" t="str">
        <f>IFERROR(__xludf.DUMMYFUNCTION("""COMPUTED_VALUE"""),"")</f>
        <v/>
      </c>
      <c r="S482" s="41" t="str">
        <f>IFERROR(__xludf.DUMMYFUNCTION("""COMPUTED_VALUE"""),"")</f>
        <v/>
      </c>
      <c r="T482" s="41" t="str">
        <f>IFERROR(__xludf.DUMMYFUNCTION("""COMPUTED_VALUE"""),"")</f>
        <v/>
      </c>
      <c r="U482" s="41" t="str">
        <f>IFERROR(__xludf.DUMMYFUNCTION("""COMPUTED_VALUE"""),"")</f>
        <v/>
      </c>
      <c r="V482" s="41" t="str">
        <f>IFERROR(__xludf.DUMMYFUNCTION("""COMPUTED_VALUE"""),"")</f>
        <v/>
      </c>
      <c r="W482" s="41" t="str">
        <f>IFERROR(__xludf.DUMMYFUNCTION("""COMPUTED_VALUE"""),"")</f>
        <v/>
      </c>
      <c r="X482" s="41" t="str">
        <f>IFERROR(__xludf.DUMMYFUNCTION("""COMPUTED_VALUE"""),"")</f>
        <v/>
      </c>
      <c r="Y482" s="41" t="str">
        <f>IFERROR(__xludf.DUMMYFUNCTION("""COMPUTED_VALUE"""),"")</f>
        <v/>
      </c>
      <c r="Z482" s="41" t="str">
        <f>IFERROR(__xludf.DUMMYFUNCTION("""COMPUTED_VALUE"""),"")</f>
        <v/>
      </c>
      <c r="AA482" s="41" t="str">
        <f>IFERROR(__xludf.DUMMYFUNCTION("""COMPUTED_VALUE"""),"")</f>
        <v/>
      </c>
      <c r="AB482" s="38" t="str">
        <f>IFERROR(__xludf.DUMMYFUNCTION("""COMPUTED_VALUE"""),"")</f>
        <v/>
      </c>
    </row>
    <row r="483">
      <c r="A483" s="45" t="str">
        <f>IFERROR(__xludf.DUMMYFUNCTION("""COMPUTED_VALUE"""),"ASP.NET")</f>
        <v>ASP.NET</v>
      </c>
      <c r="B483" s="42"/>
      <c r="N483" s="38"/>
      <c r="P483" s="42" t="str">
        <f>IFERROR(__xludf.DUMMYFUNCTION("""COMPUTED_VALUE"""),"react")</f>
        <v>react</v>
      </c>
      <c r="Q483" s="41" t="str">
        <f>IFERROR(__xludf.DUMMYFUNCTION("""COMPUTED_VALUE"""),"")</f>
        <v/>
      </c>
      <c r="R483" s="41" t="str">
        <f>IFERROR(__xludf.DUMMYFUNCTION("""COMPUTED_VALUE"""),"")</f>
        <v/>
      </c>
      <c r="S483" s="41" t="str">
        <f>IFERROR(__xludf.DUMMYFUNCTION("""COMPUTED_VALUE"""),"")</f>
        <v/>
      </c>
      <c r="T483" s="41" t="str">
        <f>IFERROR(__xludf.DUMMYFUNCTION("""COMPUTED_VALUE"""),"")</f>
        <v/>
      </c>
      <c r="U483" s="41" t="str">
        <f>IFERROR(__xludf.DUMMYFUNCTION("""COMPUTED_VALUE"""),"")</f>
        <v/>
      </c>
      <c r="V483" s="41" t="str">
        <f>IFERROR(__xludf.DUMMYFUNCTION("""COMPUTED_VALUE"""),"")</f>
        <v/>
      </c>
      <c r="W483" s="41" t="str">
        <f>IFERROR(__xludf.DUMMYFUNCTION("""COMPUTED_VALUE"""),"")</f>
        <v/>
      </c>
      <c r="X483" s="41" t="str">
        <f>IFERROR(__xludf.DUMMYFUNCTION("""COMPUTED_VALUE"""),"")</f>
        <v/>
      </c>
      <c r="Y483" s="41" t="str">
        <f>IFERROR(__xludf.DUMMYFUNCTION("""COMPUTED_VALUE"""),"")</f>
        <v/>
      </c>
      <c r="Z483" s="41" t="str">
        <f>IFERROR(__xludf.DUMMYFUNCTION("""COMPUTED_VALUE"""),"")</f>
        <v/>
      </c>
      <c r="AA483" s="41" t="str">
        <f>IFERROR(__xludf.DUMMYFUNCTION("""COMPUTED_VALUE"""),"")</f>
        <v/>
      </c>
      <c r="AB483" s="38" t="str">
        <f>IFERROR(__xludf.DUMMYFUNCTION("""COMPUTED_VALUE"""),"")</f>
        <v/>
      </c>
    </row>
    <row r="484">
      <c r="A484" s="41" t="str">
        <f>IFERROR(__xludf.DUMMYFUNCTION("""COMPUTED_VALUE"""),"Pytorch")</f>
        <v>Pytorch</v>
      </c>
      <c r="B484" s="42"/>
      <c r="N484" s="38"/>
      <c r="P484" s="42" t="str">
        <f>IFERROR(__xludf.DUMMYFUNCTION("""COMPUTED_VALUE"""),"qlikview")</f>
        <v>qlikview</v>
      </c>
      <c r="Q484" s="41" t="str">
        <f>IFERROR(__xludf.DUMMYFUNCTION("""COMPUTED_VALUE"""),"")</f>
        <v/>
      </c>
      <c r="R484" s="41" t="str">
        <f>IFERROR(__xludf.DUMMYFUNCTION("""COMPUTED_VALUE"""),"")</f>
        <v/>
      </c>
      <c r="S484" s="41" t="str">
        <f>IFERROR(__xludf.DUMMYFUNCTION("""COMPUTED_VALUE"""),"")</f>
        <v/>
      </c>
      <c r="T484" s="41" t="str">
        <f>IFERROR(__xludf.DUMMYFUNCTION("""COMPUTED_VALUE"""),"")</f>
        <v/>
      </c>
      <c r="U484" s="41" t="str">
        <f>IFERROR(__xludf.DUMMYFUNCTION("""COMPUTED_VALUE"""),"")</f>
        <v/>
      </c>
      <c r="V484" s="41" t="str">
        <f>IFERROR(__xludf.DUMMYFUNCTION("""COMPUTED_VALUE"""),"")</f>
        <v/>
      </c>
      <c r="W484" s="41" t="str">
        <f>IFERROR(__xludf.DUMMYFUNCTION("""COMPUTED_VALUE"""),"")</f>
        <v/>
      </c>
      <c r="X484" s="41" t="str">
        <f>IFERROR(__xludf.DUMMYFUNCTION("""COMPUTED_VALUE"""),"")</f>
        <v/>
      </c>
      <c r="Y484" s="41" t="str">
        <f>IFERROR(__xludf.DUMMYFUNCTION("""COMPUTED_VALUE"""),"")</f>
        <v/>
      </c>
      <c r="Z484" s="41" t="str">
        <f>IFERROR(__xludf.DUMMYFUNCTION("""COMPUTED_VALUE"""),"")</f>
        <v/>
      </c>
      <c r="AA484" s="41" t="str">
        <f>IFERROR(__xludf.DUMMYFUNCTION("""COMPUTED_VALUE"""),"")</f>
        <v/>
      </c>
      <c r="AB484" s="38" t="str">
        <f>IFERROR(__xludf.DUMMYFUNCTION("""COMPUTED_VALUE"""),"")</f>
        <v/>
      </c>
    </row>
    <row r="485">
      <c r="A485" s="41" t="str">
        <f>IFERROR(__xludf.DUMMYFUNCTION("""COMPUTED_VALUE"""),"JavaScript ")</f>
        <v>JavaScript </v>
      </c>
      <c r="B485" s="42"/>
      <c r="N485" s="38"/>
      <c r="P485" s="42" t="str">
        <f>IFERROR(__xludf.DUMMYFUNCTION("""COMPUTED_VALUE"""),"golang")</f>
        <v>golang</v>
      </c>
      <c r="Q485" s="41" t="str">
        <f>IFERROR(__xludf.DUMMYFUNCTION("""COMPUTED_VALUE"""),"")</f>
        <v/>
      </c>
      <c r="R485" s="41" t="str">
        <f>IFERROR(__xludf.DUMMYFUNCTION("""COMPUTED_VALUE"""),"")</f>
        <v/>
      </c>
      <c r="S485" s="41" t="str">
        <f>IFERROR(__xludf.DUMMYFUNCTION("""COMPUTED_VALUE"""),"")</f>
        <v/>
      </c>
      <c r="T485" s="41" t="str">
        <f>IFERROR(__xludf.DUMMYFUNCTION("""COMPUTED_VALUE"""),"")</f>
        <v/>
      </c>
      <c r="U485" s="41" t="str">
        <f>IFERROR(__xludf.DUMMYFUNCTION("""COMPUTED_VALUE"""),"")</f>
        <v/>
      </c>
      <c r="V485" s="41" t="str">
        <f>IFERROR(__xludf.DUMMYFUNCTION("""COMPUTED_VALUE"""),"")</f>
        <v/>
      </c>
      <c r="W485" s="41" t="str">
        <f>IFERROR(__xludf.DUMMYFUNCTION("""COMPUTED_VALUE"""),"")</f>
        <v/>
      </c>
      <c r="X485" s="41" t="str">
        <f>IFERROR(__xludf.DUMMYFUNCTION("""COMPUTED_VALUE"""),"")</f>
        <v/>
      </c>
      <c r="Y485" s="41" t="str">
        <f>IFERROR(__xludf.DUMMYFUNCTION("""COMPUTED_VALUE"""),"")</f>
        <v/>
      </c>
      <c r="Z485" s="41" t="str">
        <f>IFERROR(__xludf.DUMMYFUNCTION("""COMPUTED_VALUE"""),"")</f>
        <v/>
      </c>
      <c r="AA485" s="41" t="str">
        <f>IFERROR(__xludf.DUMMYFUNCTION("""COMPUTED_VALUE"""),"")</f>
        <v/>
      </c>
      <c r="AB485" s="38" t="str">
        <f>IFERROR(__xludf.DUMMYFUNCTION("""COMPUTED_VALUE"""),"")</f>
        <v/>
      </c>
    </row>
    <row r="486">
      <c r="A486" s="41" t="str">
        <f>IFERROR(__xludf.DUMMYFUNCTION("""COMPUTED_VALUE"""),"React, React Native")</f>
        <v>React, React Native</v>
      </c>
      <c r="B486" s="42"/>
      <c r="N486" s="38"/>
      <c r="P486" s="42" t="str">
        <f>IFERROR(__xludf.DUMMYFUNCTION("""COMPUTED_VALUE"""),"gcp")</f>
        <v>gcp</v>
      </c>
      <c r="Q486" s="41" t="str">
        <f>IFERROR(__xludf.DUMMYFUNCTION("""COMPUTED_VALUE"""),"")</f>
        <v/>
      </c>
      <c r="R486" s="41" t="str">
        <f>IFERROR(__xludf.DUMMYFUNCTION("""COMPUTED_VALUE"""),"")</f>
        <v/>
      </c>
      <c r="S486" s="41" t="str">
        <f>IFERROR(__xludf.DUMMYFUNCTION("""COMPUTED_VALUE"""),"")</f>
        <v/>
      </c>
      <c r="T486" s="41" t="str">
        <f>IFERROR(__xludf.DUMMYFUNCTION("""COMPUTED_VALUE"""),"")</f>
        <v/>
      </c>
      <c r="U486" s="41" t="str">
        <f>IFERROR(__xludf.DUMMYFUNCTION("""COMPUTED_VALUE"""),"")</f>
        <v/>
      </c>
      <c r="V486" s="41" t="str">
        <f>IFERROR(__xludf.DUMMYFUNCTION("""COMPUTED_VALUE"""),"")</f>
        <v/>
      </c>
      <c r="W486" s="41" t="str">
        <f>IFERROR(__xludf.DUMMYFUNCTION("""COMPUTED_VALUE"""),"")</f>
        <v/>
      </c>
      <c r="X486" s="41" t="str">
        <f>IFERROR(__xludf.DUMMYFUNCTION("""COMPUTED_VALUE"""),"")</f>
        <v/>
      </c>
      <c r="Y486" s="41" t="str">
        <f>IFERROR(__xludf.DUMMYFUNCTION("""COMPUTED_VALUE"""),"")</f>
        <v/>
      </c>
      <c r="Z486" s="41" t="str">
        <f>IFERROR(__xludf.DUMMYFUNCTION("""COMPUTED_VALUE"""),"")</f>
        <v/>
      </c>
      <c r="AA486" s="41" t="str">
        <f>IFERROR(__xludf.DUMMYFUNCTION("""COMPUTED_VALUE"""),"")</f>
        <v/>
      </c>
      <c r="AB486" s="38" t="str">
        <f>IFERROR(__xludf.DUMMYFUNCTION("""COMPUTED_VALUE"""),"")</f>
        <v/>
      </c>
    </row>
    <row r="487">
      <c r="A487" s="41" t="str">
        <f>IFERROR(__xludf.DUMMYFUNCTION("""COMPUTED_VALUE"""),"Java, JavaScript")</f>
        <v>Java, JavaScript</v>
      </c>
      <c r="B487" s="42"/>
      <c r="N487" s="38"/>
      <c r="P487" s="42" t="str">
        <f>IFERROR(__xludf.DUMMYFUNCTION("""COMPUTED_VALUE"""),"coldfusion")</f>
        <v>coldfusion</v>
      </c>
      <c r="Q487" s="41" t="str">
        <f>IFERROR(__xludf.DUMMYFUNCTION("""COMPUTED_VALUE"""),"")</f>
        <v/>
      </c>
      <c r="R487" s="41" t="str">
        <f>IFERROR(__xludf.DUMMYFUNCTION("""COMPUTED_VALUE"""),"")</f>
        <v/>
      </c>
      <c r="S487" s="41" t="str">
        <f>IFERROR(__xludf.DUMMYFUNCTION("""COMPUTED_VALUE"""),"")</f>
        <v/>
      </c>
      <c r="T487" s="41" t="str">
        <f>IFERROR(__xludf.DUMMYFUNCTION("""COMPUTED_VALUE"""),"")</f>
        <v/>
      </c>
      <c r="U487" s="41" t="str">
        <f>IFERROR(__xludf.DUMMYFUNCTION("""COMPUTED_VALUE"""),"")</f>
        <v/>
      </c>
      <c r="V487" s="41" t="str">
        <f>IFERROR(__xludf.DUMMYFUNCTION("""COMPUTED_VALUE"""),"")</f>
        <v/>
      </c>
      <c r="W487" s="41" t="str">
        <f>IFERROR(__xludf.DUMMYFUNCTION("""COMPUTED_VALUE"""),"")</f>
        <v/>
      </c>
      <c r="X487" s="41" t="str">
        <f>IFERROR(__xludf.DUMMYFUNCTION("""COMPUTED_VALUE"""),"")</f>
        <v/>
      </c>
      <c r="Y487" s="41" t="str">
        <f>IFERROR(__xludf.DUMMYFUNCTION("""COMPUTED_VALUE"""),"")</f>
        <v/>
      </c>
      <c r="Z487" s="41" t="str">
        <f>IFERROR(__xludf.DUMMYFUNCTION("""COMPUTED_VALUE"""),"")</f>
        <v/>
      </c>
      <c r="AA487" s="41" t="str">
        <f>IFERROR(__xludf.DUMMYFUNCTION("""COMPUTED_VALUE"""),"")</f>
        <v/>
      </c>
      <c r="AB487" s="38" t="str">
        <f>IFERROR(__xludf.DUMMYFUNCTION("""COMPUTED_VALUE"""),"")</f>
        <v/>
      </c>
    </row>
    <row r="488">
      <c r="A488" s="41" t="str">
        <f>IFERROR(__xludf.DUMMYFUNCTION("""COMPUTED_VALUE"""),"PHP Laravel, MySQL, Tech Support, Technical Task (Eg: hardware installation, configuration)")</f>
        <v>PHP Laravel, MySQL, Tech Support, Technical Task (Eg: hardware installation, configuration)</v>
      </c>
      <c r="B488" s="42"/>
      <c r="N488" s="38"/>
      <c r="P488" s="42" t="str">
        <f>IFERROR(__xludf.DUMMYFUNCTION("""COMPUTED_VALUE"""),"none")</f>
        <v>none</v>
      </c>
      <c r="Q488" s="41" t="str">
        <f>IFERROR(__xludf.DUMMYFUNCTION("""COMPUTED_VALUE"""),"")</f>
        <v/>
      </c>
      <c r="R488" s="41" t="str">
        <f>IFERROR(__xludf.DUMMYFUNCTION("""COMPUTED_VALUE"""),"")</f>
        <v/>
      </c>
      <c r="S488" s="41" t="str">
        <f>IFERROR(__xludf.DUMMYFUNCTION("""COMPUTED_VALUE"""),"")</f>
        <v/>
      </c>
      <c r="T488" s="41" t="str">
        <f>IFERROR(__xludf.DUMMYFUNCTION("""COMPUTED_VALUE"""),"")</f>
        <v/>
      </c>
      <c r="U488" s="41" t="str">
        <f>IFERROR(__xludf.DUMMYFUNCTION("""COMPUTED_VALUE"""),"")</f>
        <v/>
      </c>
      <c r="V488" s="41" t="str">
        <f>IFERROR(__xludf.DUMMYFUNCTION("""COMPUTED_VALUE"""),"")</f>
        <v/>
      </c>
      <c r="W488" s="41" t="str">
        <f>IFERROR(__xludf.DUMMYFUNCTION("""COMPUTED_VALUE"""),"")</f>
        <v/>
      </c>
      <c r="X488" s="41" t="str">
        <f>IFERROR(__xludf.DUMMYFUNCTION("""COMPUTED_VALUE"""),"")</f>
        <v/>
      </c>
      <c r="Y488" s="41" t="str">
        <f>IFERROR(__xludf.DUMMYFUNCTION("""COMPUTED_VALUE"""),"")</f>
        <v/>
      </c>
      <c r="Z488" s="41" t="str">
        <f>IFERROR(__xludf.DUMMYFUNCTION("""COMPUTED_VALUE"""),"")</f>
        <v/>
      </c>
      <c r="AA488" s="41" t="str">
        <f>IFERROR(__xludf.DUMMYFUNCTION("""COMPUTED_VALUE"""),"")</f>
        <v/>
      </c>
      <c r="AB488" s="38" t="str">
        <f>IFERROR(__xludf.DUMMYFUNCTION("""COMPUTED_VALUE"""),"")</f>
        <v/>
      </c>
    </row>
    <row r="489">
      <c r="A489" s="41" t="str">
        <f>IFERROR(__xludf.DUMMYFUNCTION("""COMPUTED_VALUE"""),"Kendo")</f>
        <v>Kendo</v>
      </c>
      <c r="B489" s="42"/>
      <c r="N489" s="38"/>
      <c r="P489" s="42" t="str">
        <f>IFERROR(__xludf.DUMMYFUNCTION("""COMPUTED_VALUE"""),"laptops")</f>
        <v>laptops</v>
      </c>
      <c r="Q489" s="41" t="str">
        <f>IFERROR(__xludf.DUMMYFUNCTION("""COMPUTED_VALUE"""),"")</f>
        <v/>
      </c>
      <c r="R489" s="41" t="str">
        <f>IFERROR(__xludf.DUMMYFUNCTION("""COMPUTED_VALUE"""),"")</f>
        <v/>
      </c>
      <c r="S489" s="41" t="str">
        <f>IFERROR(__xludf.DUMMYFUNCTION("""COMPUTED_VALUE"""),"")</f>
        <v/>
      </c>
      <c r="T489" s="41" t="str">
        <f>IFERROR(__xludf.DUMMYFUNCTION("""COMPUTED_VALUE"""),"")</f>
        <v/>
      </c>
      <c r="U489" s="41" t="str">
        <f>IFERROR(__xludf.DUMMYFUNCTION("""COMPUTED_VALUE"""),"")</f>
        <v/>
      </c>
      <c r="V489" s="41" t="str">
        <f>IFERROR(__xludf.DUMMYFUNCTION("""COMPUTED_VALUE"""),"")</f>
        <v/>
      </c>
      <c r="W489" s="41" t="str">
        <f>IFERROR(__xludf.DUMMYFUNCTION("""COMPUTED_VALUE"""),"")</f>
        <v/>
      </c>
      <c r="X489" s="41" t="str">
        <f>IFERROR(__xludf.DUMMYFUNCTION("""COMPUTED_VALUE"""),"")</f>
        <v/>
      </c>
      <c r="Y489" s="41" t="str">
        <f>IFERROR(__xludf.DUMMYFUNCTION("""COMPUTED_VALUE"""),"")</f>
        <v/>
      </c>
      <c r="Z489" s="41" t="str">
        <f>IFERROR(__xludf.DUMMYFUNCTION("""COMPUTED_VALUE"""),"")</f>
        <v/>
      </c>
      <c r="AA489" s="41" t="str">
        <f>IFERROR(__xludf.DUMMYFUNCTION("""COMPUTED_VALUE"""),"")</f>
        <v/>
      </c>
      <c r="AB489" s="38" t="str">
        <f>IFERROR(__xludf.DUMMYFUNCTION("""COMPUTED_VALUE"""),"")</f>
        <v/>
      </c>
    </row>
    <row r="490">
      <c r="A490" s="41" t="str">
        <f>IFERROR(__xludf.DUMMYFUNCTION("""COMPUTED_VALUE"""),"Python, bash")</f>
        <v>Python, bash</v>
      </c>
      <c r="B490" s="42"/>
      <c r="N490" s="38"/>
      <c r="P490" s="42" t="str">
        <f>IFERROR(__xludf.DUMMYFUNCTION("""COMPUTED_VALUE"""),"laravel")</f>
        <v>laravel</v>
      </c>
      <c r="Q490" s="41" t="str">
        <f>IFERROR(__xludf.DUMMYFUNCTION("""COMPUTED_VALUE"""),"")</f>
        <v/>
      </c>
      <c r="R490" s="41" t="str">
        <f>IFERROR(__xludf.DUMMYFUNCTION("""COMPUTED_VALUE"""),"")</f>
        <v/>
      </c>
      <c r="S490" s="41" t="str">
        <f>IFERROR(__xludf.DUMMYFUNCTION("""COMPUTED_VALUE"""),"")</f>
        <v/>
      </c>
      <c r="T490" s="41" t="str">
        <f>IFERROR(__xludf.DUMMYFUNCTION("""COMPUTED_VALUE"""),"")</f>
        <v/>
      </c>
      <c r="U490" s="41" t="str">
        <f>IFERROR(__xludf.DUMMYFUNCTION("""COMPUTED_VALUE"""),"")</f>
        <v/>
      </c>
      <c r="V490" s="41" t="str">
        <f>IFERROR(__xludf.DUMMYFUNCTION("""COMPUTED_VALUE"""),"")</f>
        <v/>
      </c>
      <c r="W490" s="41" t="str">
        <f>IFERROR(__xludf.DUMMYFUNCTION("""COMPUTED_VALUE"""),"")</f>
        <v/>
      </c>
      <c r="X490" s="41" t="str">
        <f>IFERROR(__xludf.DUMMYFUNCTION("""COMPUTED_VALUE"""),"")</f>
        <v/>
      </c>
      <c r="Y490" s="41" t="str">
        <f>IFERROR(__xludf.DUMMYFUNCTION("""COMPUTED_VALUE"""),"")</f>
        <v/>
      </c>
      <c r="Z490" s="41" t="str">
        <f>IFERROR(__xludf.DUMMYFUNCTION("""COMPUTED_VALUE"""),"")</f>
        <v/>
      </c>
      <c r="AA490" s="41" t="str">
        <f>IFERROR(__xludf.DUMMYFUNCTION("""COMPUTED_VALUE"""),"")</f>
        <v/>
      </c>
      <c r="AB490" s="38" t="str">
        <f>IFERROR(__xludf.DUMMYFUNCTION("""COMPUTED_VALUE"""),"")</f>
        <v/>
      </c>
    </row>
    <row r="491">
      <c r="A491" s="41" t="str">
        <f>IFERROR(__xludf.DUMMYFUNCTION("""COMPUTED_VALUE"""),"Angular 2")</f>
        <v>Angular 2</v>
      </c>
      <c r="B491" s="42"/>
      <c r="N491" s="38"/>
      <c r="P491" s="42" t="str">
        <f>IFERROR(__xludf.DUMMYFUNCTION("""COMPUTED_VALUE"""),"php")</f>
        <v>php</v>
      </c>
      <c r="Q491" s="41" t="str">
        <f>IFERROR(__xludf.DUMMYFUNCTION("""COMPUTED_VALUE"""),"")</f>
        <v/>
      </c>
      <c r="R491" s="41" t="str">
        <f>IFERROR(__xludf.DUMMYFUNCTION("""COMPUTED_VALUE"""),"")</f>
        <v/>
      </c>
      <c r="S491" s="41" t="str">
        <f>IFERROR(__xludf.DUMMYFUNCTION("""COMPUTED_VALUE"""),"")</f>
        <v/>
      </c>
      <c r="T491" s="41" t="str">
        <f>IFERROR(__xludf.DUMMYFUNCTION("""COMPUTED_VALUE"""),"")</f>
        <v/>
      </c>
      <c r="U491" s="41" t="str">
        <f>IFERROR(__xludf.DUMMYFUNCTION("""COMPUTED_VALUE"""),"")</f>
        <v/>
      </c>
      <c r="V491" s="41" t="str">
        <f>IFERROR(__xludf.DUMMYFUNCTION("""COMPUTED_VALUE"""),"")</f>
        <v/>
      </c>
      <c r="W491" s="41" t="str">
        <f>IFERROR(__xludf.DUMMYFUNCTION("""COMPUTED_VALUE"""),"")</f>
        <v/>
      </c>
      <c r="X491" s="41" t="str">
        <f>IFERROR(__xludf.DUMMYFUNCTION("""COMPUTED_VALUE"""),"")</f>
        <v/>
      </c>
      <c r="Y491" s="41" t="str">
        <f>IFERROR(__xludf.DUMMYFUNCTION("""COMPUTED_VALUE"""),"")</f>
        <v/>
      </c>
      <c r="Z491" s="41" t="str">
        <f>IFERROR(__xludf.DUMMYFUNCTION("""COMPUTED_VALUE"""),"")</f>
        <v/>
      </c>
      <c r="AA491" s="41" t="str">
        <f>IFERROR(__xludf.DUMMYFUNCTION("""COMPUTED_VALUE"""),"")</f>
        <v/>
      </c>
      <c r="AB491" s="38" t="str">
        <f>IFERROR(__xludf.DUMMYFUNCTION("""COMPUTED_VALUE"""),"")</f>
        <v/>
      </c>
    </row>
    <row r="492">
      <c r="A492" s="41" t="str">
        <f>IFERROR(__xludf.DUMMYFUNCTION("""COMPUTED_VALUE"""),"JavaScript")</f>
        <v>JavaScript</v>
      </c>
      <c r="B492" s="42"/>
      <c r="N492" s="38"/>
      <c r="P492" s="42" t="str">
        <f>IFERROR(__xludf.DUMMYFUNCTION("""COMPUTED_VALUE"""),"react")</f>
        <v>react</v>
      </c>
      <c r="Q492" s="41" t="str">
        <f>IFERROR(__xludf.DUMMYFUNCTION("""COMPUTED_VALUE"""),"")</f>
        <v/>
      </c>
      <c r="R492" s="41" t="str">
        <f>IFERROR(__xludf.DUMMYFUNCTION("""COMPUTED_VALUE"""),"")</f>
        <v/>
      </c>
      <c r="S492" s="41" t="str">
        <f>IFERROR(__xludf.DUMMYFUNCTION("""COMPUTED_VALUE"""),"")</f>
        <v/>
      </c>
      <c r="T492" s="41" t="str">
        <f>IFERROR(__xludf.DUMMYFUNCTION("""COMPUTED_VALUE"""),"")</f>
        <v/>
      </c>
      <c r="U492" s="41" t="str">
        <f>IFERROR(__xludf.DUMMYFUNCTION("""COMPUTED_VALUE"""),"")</f>
        <v/>
      </c>
      <c r="V492" s="41" t="str">
        <f>IFERROR(__xludf.DUMMYFUNCTION("""COMPUTED_VALUE"""),"")</f>
        <v/>
      </c>
      <c r="W492" s="41" t="str">
        <f>IFERROR(__xludf.DUMMYFUNCTION("""COMPUTED_VALUE"""),"")</f>
        <v/>
      </c>
      <c r="X492" s="41" t="str">
        <f>IFERROR(__xludf.DUMMYFUNCTION("""COMPUTED_VALUE"""),"")</f>
        <v/>
      </c>
      <c r="Y492" s="41" t="str">
        <f>IFERROR(__xludf.DUMMYFUNCTION("""COMPUTED_VALUE"""),"")</f>
        <v/>
      </c>
      <c r="Z492" s="41" t="str">
        <f>IFERROR(__xludf.DUMMYFUNCTION("""COMPUTED_VALUE"""),"")</f>
        <v/>
      </c>
      <c r="AA492" s="41" t="str">
        <f>IFERROR(__xludf.DUMMYFUNCTION("""COMPUTED_VALUE"""),"")</f>
        <v/>
      </c>
      <c r="AB492" s="38" t="str">
        <f>IFERROR(__xludf.DUMMYFUNCTION("""COMPUTED_VALUE"""),"")</f>
        <v/>
      </c>
    </row>
    <row r="493">
      <c r="A493" s="41" t="str">
        <f>IFERROR(__xludf.DUMMYFUNCTION("""COMPUTED_VALUE"""),"C#, qt qml, php, python, django, .net")</f>
        <v>C#, qt qml, php, python, django, .net</v>
      </c>
      <c r="B493" s="42"/>
      <c r="N493" s="38"/>
      <c r="P493" s="42" t="str">
        <f>IFERROR(__xludf.DUMMYFUNCTION("""COMPUTED_VALUE"""),"java")</f>
        <v>java</v>
      </c>
      <c r="Q493" s="41" t="str">
        <f>IFERROR(__xludf.DUMMYFUNCTION("""COMPUTED_VALUE"""),"")</f>
        <v/>
      </c>
      <c r="R493" s="41" t="str">
        <f>IFERROR(__xludf.DUMMYFUNCTION("""COMPUTED_VALUE"""),"")</f>
        <v/>
      </c>
      <c r="S493" s="41" t="str">
        <f>IFERROR(__xludf.DUMMYFUNCTION("""COMPUTED_VALUE"""),"")</f>
        <v/>
      </c>
      <c r="T493" s="41" t="str">
        <f>IFERROR(__xludf.DUMMYFUNCTION("""COMPUTED_VALUE"""),"")</f>
        <v/>
      </c>
      <c r="U493" s="41" t="str">
        <f>IFERROR(__xludf.DUMMYFUNCTION("""COMPUTED_VALUE"""),"")</f>
        <v/>
      </c>
      <c r="V493" s="41" t="str">
        <f>IFERROR(__xludf.DUMMYFUNCTION("""COMPUTED_VALUE"""),"")</f>
        <v/>
      </c>
      <c r="W493" s="41" t="str">
        <f>IFERROR(__xludf.DUMMYFUNCTION("""COMPUTED_VALUE"""),"")</f>
        <v/>
      </c>
      <c r="X493" s="41" t="str">
        <f>IFERROR(__xludf.DUMMYFUNCTION("""COMPUTED_VALUE"""),"")</f>
        <v/>
      </c>
      <c r="Y493" s="41" t="str">
        <f>IFERROR(__xludf.DUMMYFUNCTION("""COMPUTED_VALUE"""),"")</f>
        <v/>
      </c>
      <c r="Z493" s="41" t="str">
        <f>IFERROR(__xludf.DUMMYFUNCTION("""COMPUTED_VALUE"""),"")</f>
        <v/>
      </c>
      <c r="AA493" s="41" t="str">
        <f>IFERROR(__xludf.DUMMYFUNCTION("""COMPUTED_VALUE"""),"")</f>
        <v/>
      </c>
      <c r="AB493" s="38" t="str">
        <f>IFERROR(__xludf.DUMMYFUNCTION("""COMPUTED_VALUE"""),"")</f>
        <v/>
      </c>
    </row>
    <row r="494">
      <c r="A494" s="41" t="str">
        <f>IFERROR(__xludf.DUMMYFUNCTION("""COMPUTED_VALUE"""),"PHP, Vuejs, MySQL")</f>
        <v>PHP, Vuejs, MySQL</v>
      </c>
      <c r="B494" s="42"/>
      <c r="N494" s="38"/>
      <c r="P494" s="42" t="str">
        <f>IFERROR(__xludf.DUMMYFUNCTION("""COMPUTED_VALUE"""),"microsoft")</f>
        <v>microsoft</v>
      </c>
      <c r="Q494" s="41" t="str">
        <f>IFERROR(__xludf.DUMMYFUNCTION("""COMPUTED_VALUE"""),"")</f>
        <v/>
      </c>
      <c r="R494" s="41" t="str">
        <f>IFERROR(__xludf.DUMMYFUNCTION("""COMPUTED_VALUE"""),"")</f>
        <v/>
      </c>
      <c r="S494" s="41" t="str">
        <f>IFERROR(__xludf.DUMMYFUNCTION("""COMPUTED_VALUE"""),"")</f>
        <v/>
      </c>
      <c r="T494" s="41" t="str">
        <f>IFERROR(__xludf.DUMMYFUNCTION("""COMPUTED_VALUE"""),"")</f>
        <v/>
      </c>
      <c r="U494" s="41" t="str">
        <f>IFERROR(__xludf.DUMMYFUNCTION("""COMPUTED_VALUE"""),"")</f>
        <v/>
      </c>
      <c r="V494" s="41" t="str">
        <f>IFERROR(__xludf.DUMMYFUNCTION("""COMPUTED_VALUE"""),"")</f>
        <v/>
      </c>
      <c r="W494" s="41" t="str">
        <f>IFERROR(__xludf.DUMMYFUNCTION("""COMPUTED_VALUE"""),"")</f>
        <v/>
      </c>
      <c r="X494" s="41" t="str">
        <f>IFERROR(__xludf.DUMMYFUNCTION("""COMPUTED_VALUE"""),"")</f>
        <v/>
      </c>
      <c r="Y494" s="41" t="str">
        <f>IFERROR(__xludf.DUMMYFUNCTION("""COMPUTED_VALUE"""),"")</f>
        <v/>
      </c>
      <c r="Z494" s="41" t="str">
        <f>IFERROR(__xludf.DUMMYFUNCTION("""COMPUTED_VALUE"""),"")</f>
        <v/>
      </c>
      <c r="AA494" s="41" t="str">
        <f>IFERROR(__xludf.DUMMYFUNCTION("""COMPUTED_VALUE"""),"")</f>
        <v/>
      </c>
      <c r="AB494" s="38" t="str">
        <f>IFERROR(__xludf.DUMMYFUNCTION("""COMPUTED_VALUE"""),"")</f>
        <v/>
      </c>
    </row>
    <row r="495">
      <c r="A495" s="41" t="str">
        <f>IFERROR(__xludf.DUMMYFUNCTION("""COMPUTED_VALUE"""),"Flutter")</f>
        <v>Flutter</v>
      </c>
      <c r="B495" s="42"/>
      <c r="N495" s="38"/>
      <c r="P495" s="42" t="str">
        <f>IFERROR(__xludf.DUMMYFUNCTION("""COMPUTED_VALUE"""),"platform")</f>
        <v>platform</v>
      </c>
      <c r="Q495" s="41" t="str">
        <f>IFERROR(__xludf.DUMMYFUNCTION("""COMPUTED_VALUE"""),"")</f>
        <v/>
      </c>
      <c r="R495" s="41" t="str">
        <f>IFERROR(__xludf.DUMMYFUNCTION("""COMPUTED_VALUE"""),"")</f>
        <v/>
      </c>
      <c r="S495" s="41" t="str">
        <f>IFERROR(__xludf.DUMMYFUNCTION("""COMPUTED_VALUE"""),"")</f>
        <v/>
      </c>
      <c r="T495" s="41" t="str">
        <f>IFERROR(__xludf.DUMMYFUNCTION("""COMPUTED_VALUE"""),"")</f>
        <v/>
      </c>
      <c r="U495" s="41" t="str">
        <f>IFERROR(__xludf.DUMMYFUNCTION("""COMPUTED_VALUE"""),"")</f>
        <v/>
      </c>
      <c r="V495" s="41" t="str">
        <f>IFERROR(__xludf.DUMMYFUNCTION("""COMPUTED_VALUE"""),"")</f>
        <v/>
      </c>
      <c r="W495" s="41" t="str">
        <f>IFERROR(__xludf.DUMMYFUNCTION("""COMPUTED_VALUE"""),"")</f>
        <v/>
      </c>
      <c r="X495" s="41" t="str">
        <f>IFERROR(__xludf.DUMMYFUNCTION("""COMPUTED_VALUE"""),"")</f>
        <v/>
      </c>
      <c r="Y495" s="41" t="str">
        <f>IFERROR(__xludf.DUMMYFUNCTION("""COMPUTED_VALUE"""),"")</f>
        <v/>
      </c>
      <c r="Z495" s="41" t="str">
        <f>IFERROR(__xludf.DUMMYFUNCTION("""COMPUTED_VALUE"""),"")</f>
        <v/>
      </c>
      <c r="AA495" s="41" t="str">
        <f>IFERROR(__xludf.DUMMYFUNCTION("""COMPUTED_VALUE"""),"")</f>
        <v/>
      </c>
      <c r="AB495" s="38" t="str">
        <f>IFERROR(__xludf.DUMMYFUNCTION("""COMPUTED_VALUE"""),"")</f>
        <v/>
      </c>
    </row>
    <row r="496">
      <c r="A496" s="41" t="str">
        <f>IFERROR(__xludf.DUMMYFUNCTION("""COMPUTED_VALUE"""),"Angular, Ionic, Android, Kotlin")</f>
        <v>Angular, Ionic, Android, Kotlin</v>
      </c>
      <c r="B496" s="42"/>
      <c r="N496" s="38"/>
      <c r="P496" s="42" t="str">
        <f>IFERROR(__xludf.DUMMYFUNCTION("""COMPUTED_VALUE"""),"python")</f>
        <v>python</v>
      </c>
      <c r="Q496" s="41" t="str">
        <f>IFERROR(__xludf.DUMMYFUNCTION("""COMPUTED_VALUE"""),"")</f>
        <v/>
      </c>
      <c r="R496" s="41" t="str">
        <f>IFERROR(__xludf.DUMMYFUNCTION("""COMPUTED_VALUE"""),"")</f>
        <v/>
      </c>
      <c r="S496" s="41" t="str">
        <f>IFERROR(__xludf.DUMMYFUNCTION("""COMPUTED_VALUE"""),"")</f>
        <v/>
      </c>
      <c r="T496" s="41" t="str">
        <f>IFERROR(__xludf.DUMMYFUNCTION("""COMPUTED_VALUE"""),"")</f>
        <v/>
      </c>
      <c r="U496" s="41" t="str">
        <f>IFERROR(__xludf.DUMMYFUNCTION("""COMPUTED_VALUE"""),"")</f>
        <v/>
      </c>
      <c r="V496" s="41" t="str">
        <f>IFERROR(__xludf.DUMMYFUNCTION("""COMPUTED_VALUE"""),"")</f>
        <v/>
      </c>
      <c r="W496" s="41" t="str">
        <f>IFERROR(__xludf.DUMMYFUNCTION("""COMPUTED_VALUE"""),"")</f>
        <v/>
      </c>
      <c r="X496" s="41" t="str">
        <f>IFERROR(__xludf.DUMMYFUNCTION("""COMPUTED_VALUE"""),"")</f>
        <v/>
      </c>
      <c r="Y496" s="41" t="str">
        <f>IFERROR(__xludf.DUMMYFUNCTION("""COMPUTED_VALUE"""),"")</f>
        <v/>
      </c>
      <c r="Z496" s="41" t="str">
        <f>IFERROR(__xludf.DUMMYFUNCTION("""COMPUTED_VALUE"""),"")</f>
        <v/>
      </c>
      <c r="AA496" s="41" t="str">
        <f>IFERROR(__xludf.DUMMYFUNCTION("""COMPUTED_VALUE"""),"")</f>
        <v/>
      </c>
      <c r="AB496" s="38" t="str">
        <f>IFERROR(__xludf.DUMMYFUNCTION("""COMPUTED_VALUE"""),"")</f>
        <v/>
      </c>
    </row>
    <row r="497">
      <c r="A497" s="41" t="str">
        <f>IFERROR(__xludf.DUMMYFUNCTION("""COMPUTED_VALUE"""),"flutter, elixir, phoenix, react")</f>
        <v>flutter, elixir, phoenix, react</v>
      </c>
      <c r="B497" s="42"/>
      <c r="N497" s="38"/>
      <c r="P497" s="42" t="str">
        <f>IFERROR(__xludf.DUMMYFUNCTION("""COMPUTED_VALUE"""),"coldfusion")</f>
        <v>coldfusion</v>
      </c>
      <c r="Q497" s="41" t="str">
        <f>IFERROR(__xludf.DUMMYFUNCTION("""COMPUTED_VALUE"""),"")</f>
        <v/>
      </c>
      <c r="R497" s="41" t="str">
        <f>IFERROR(__xludf.DUMMYFUNCTION("""COMPUTED_VALUE"""),"")</f>
        <v/>
      </c>
      <c r="S497" s="41" t="str">
        <f>IFERROR(__xludf.DUMMYFUNCTION("""COMPUTED_VALUE"""),"")</f>
        <v/>
      </c>
      <c r="T497" s="41" t="str">
        <f>IFERROR(__xludf.DUMMYFUNCTION("""COMPUTED_VALUE"""),"")</f>
        <v/>
      </c>
      <c r="U497" s="41" t="str">
        <f>IFERROR(__xludf.DUMMYFUNCTION("""COMPUTED_VALUE"""),"")</f>
        <v/>
      </c>
      <c r="V497" s="41" t="str">
        <f>IFERROR(__xludf.DUMMYFUNCTION("""COMPUTED_VALUE"""),"")</f>
        <v/>
      </c>
      <c r="W497" s="41" t="str">
        <f>IFERROR(__xludf.DUMMYFUNCTION("""COMPUTED_VALUE"""),"")</f>
        <v/>
      </c>
      <c r="X497" s="41" t="str">
        <f>IFERROR(__xludf.DUMMYFUNCTION("""COMPUTED_VALUE"""),"")</f>
        <v/>
      </c>
      <c r="Y497" s="41" t="str">
        <f>IFERROR(__xludf.DUMMYFUNCTION("""COMPUTED_VALUE"""),"")</f>
        <v/>
      </c>
      <c r="Z497" s="41" t="str">
        <f>IFERROR(__xludf.DUMMYFUNCTION("""COMPUTED_VALUE"""),"")</f>
        <v/>
      </c>
      <c r="AA497" s="41" t="str">
        <f>IFERROR(__xludf.DUMMYFUNCTION("""COMPUTED_VALUE"""),"")</f>
        <v/>
      </c>
      <c r="AB497" s="38" t="str">
        <f>IFERROR(__xludf.DUMMYFUNCTION("""COMPUTED_VALUE"""),"")</f>
        <v/>
      </c>
    </row>
    <row r="498">
      <c r="A498" s="41" t="str">
        <f>IFERROR(__xludf.DUMMYFUNCTION("""COMPUTED_VALUE"""),".NET")</f>
        <v>.NET</v>
      </c>
      <c r="B498" s="42"/>
      <c r="N498" s="38"/>
      <c r="P498" s="42" t="str">
        <f>IFERROR(__xludf.DUMMYFUNCTION("""COMPUTED_VALUE"""),"c#")</f>
        <v>c#</v>
      </c>
      <c r="Q498" s="41" t="str">
        <f>IFERROR(__xludf.DUMMYFUNCTION("""COMPUTED_VALUE"""),"")</f>
        <v/>
      </c>
      <c r="R498" s="41" t="str">
        <f>IFERROR(__xludf.DUMMYFUNCTION("""COMPUTED_VALUE"""),"")</f>
        <v/>
      </c>
      <c r="S498" s="41" t="str">
        <f>IFERROR(__xludf.DUMMYFUNCTION("""COMPUTED_VALUE"""),"")</f>
        <v/>
      </c>
      <c r="T498" s="41" t="str">
        <f>IFERROR(__xludf.DUMMYFUNCTION("""COMPUTED_VALUE"""),"")</f>
        <v/>
      </c>
      <c r="U498" s="41" t="str">
        <f>IFERROR(__xludf.DUMMYFUNCTION("""COMPUTED_VALUE"""),"")</f>
        <v/>
      </c>
      <c r="V498" s="41" t="str">
        <f>IFERROR(__xludf.DUMMYFUNCTION("""COMPUTED_VALUE"""),"")</f>
        <v/>
      </c>
      <c r="W498" s="41" t="str">
        <f>IFERROR(__xludf.DUMMYFUNCTION("""COMPUTED_VALUE"""),"")</f>
        <v/>
      </c>
      <c r="X498" s="41" t="str">
        <f>IFERROR(__xludf.DUMMYFUNCTION("""COMPUTED_VALUE"""),"")</f>
        <v/>
      </c>
      <c r="Y498" s="41" t="str">
        <f>IFERROR(__xludf.DUMMYFUNCTION("""COMPUTED_VALUE"""),"")</f>
        <v/>
      </c>
      <c r="Z498" s="41" t="str">
        <f>IFERROR(__xludf.DUMMYFUNCTION("""COMPUTED_VALUE"""),"")</f>
        <v/>
      </c>
      <c r="AA498" s="41" t="str">
        <f>IFERROR(__xludf.DUMMYFUNCTION("""COMPUTED_VALUE"""),"")</f>
        <v/>
      </c>
      <c r="AB498" s="38" t="str">
        <f>IFERROR(__xludf.DUMMYFUNCTION("""COMPUTED_VALUE"""),"")</f>
        <v/>
      </c>
    </row>
    <row r="499">
      <c r="A499" s="41" t="str">
        <f>IFERROR(__xludf.DUMMYFUNCTION("""COMPUTED_VALUE"""),"Java")</f>
        <v>Java</v>
      </c>
      <c r="B499" s="42"/>
      <c r="N499" s="38"/>
      <c r="P499" s="42" t="str">
        <f>IFERROR(__xludf.DUMMYFUNCTION("""COMPUTED_VALUE"""),"web")</f>
        <v>web</v>
      </c>
      <c r="Q499" s="41" t="str">
        <f>IFERROR(__xludf.DUMMYFUNCTION("""COMPUTED_VALUE"""),"")</f>
        <v/>
      </c>
      <c r="R499" s="41" t="str">
        <f>IFERROR(__xludf.DUMMYFUNCTION("""COMPUTED_VALUE"""),"")</f>
        <v/>
      </c>
      <c r="S499" s="41" t="str">
        <f>IFERROR(__xludf.DUMMYFUNCTION("""COMPUTED_VALUE"""),"")</f>
        <v/>
      </c>
      <c r="T499" s="41" t="str">
        <f>IFERROR(__xludf.DUMMYFUNCTION("""COMPUTED_VALUE"""),"")</f>
        <v/>
      </c>
      <c r="U499" s="41" t="str">
        <f>IFERROR(__xludf.DUMMYFUNCTION("""COMPUTED_VALUE"""),"")</f>
        <v/>
      </c>
      <c r="V499" s="41" t="str">
        <f>IFERROR(__xludf.DUMMYFUNCTION("""COMPUTED_VALUE"""),"")</f>
        <v/>
      </c>
      <c r="W499" s="41" t="str">
        <f>IFERROR(__xludf.DUMMYFUNCTION("""COMPUTED_VALUE"""),"")</f>
        <v/>
      </c>
      <c r="X499" s="41" t="str">
        <f>IFERROR(__xludf.DUMMYFUNCTION("""COMPUTED_VALUE"""),"")</f>
        <v/>
      </c>
      <c r="Y499" s="41" t="str">
        <f>IFERROR(__xludf.DUMMYFUNCTION("""COMPUTED_VALUE"""),"")</f>
        <v/>
      </c>
      <c r="Z499" s="41" t="str">
        <f>IFERROR(__xludf.DUMMYFUNCTION("""COMPUTED_VALUE"""),"")</f>
        <v/>
      </c>
      <c r="AA499" s="41" t="str">
        <f>IFERROR(__xludf.DUMMYFUNCTION("""COMPUTED_VALUE"""),"")</f>
        <v/>
      </c>
      <c r="AB499" s="38" t="str">
        <f>IFERROR(__xludf.DUMMYFUNCTION("""COMPUTED_VALUE"""),"")</f>
        <v/>
      </c>
    </row>
    <row r="500">
      <c r="A500" s="41" t="str">
        <f>IFERROR(__xludf.DUMMYFUNCTION("""COMPUTED_VALUE"""),"Java, C++")</f>
        <v>Java, C++</v>
      </c>
      <c r="B500" s="42"/>
      <c r="N500" s="38"/>
      <c r="P500" s="42" t="str">
        <f>IFERROR(__xludf.DUMMYFUNCTION("""COMPUTED_VALUE"""),"development")</f>
        <v>development</v>
      </c>
      <c r="Q500" s="41" t="str">
        <f>IFERROR(__xludf.DUMMYFUNCTION("""COMPUTED_VALUE"""),"")</f>
        <v/>
      </c>
      <c r="R500" s="41" t="str">
        <f>IFERROR(__xludf.DUMMYFUNCTION("""COMPUTED_VALUE"""),"")</f>
        <v/>
      </c>
      <c r="S500" s="41" t="str">
        <f>IFERROR(__xludf.DUMMYFUNCTION("""COMPUTED_VALUE"""),"")</f>
        <v/>
      </c>
      <c r="T500" s="41" t="str">
        <f>IFERROR(__xludf.DUMMYFUNCTION("""COMPUTED_VALUE"""),"")</f>
        <v/>
      </c>
      <c r="U500" s="41" t="str">
        <f>IFERROR(__xludf.DUMMYFUNCTION("""COMPUTED_VALUE"""),"")</f>
        <v/>
      </c>
      <c r="V500" s="41" t="str">
        <f>IFERROR(__xludf.DUMMYFUNCTION("""COMPUTED_VALUE"""),"")</f>
        <v/>
      </c>
      <c r="W500" s="41" t="str">
        <f>IFERROR(__xludf.DUMMYFUNCTION("""COMPUTED_VALUE"""),"")</f>
        <v/>
      </c>
      <c r="X500" s="41" t="str">
        <f>IFERROR(__xludf.DUMMYFUNCTION("""COMPUTED_VALUE"""),"")</f>
        <v/>
      </c>
      <c r="Y500" s="41" t="str">
        <f>IFERROR(__xludf.DUMMYFUNCTION("""COMPUTED_VALUE"""),"")</f>
        <v/>
      </c>
      <c r="Z500" s="41" t="str">
        <f>IFERROR(__xludf.DUMMYFUNCTION("""COMPUTED_VALUE"""),"")</f>
        <v/>
      </c>
      <c r="AA500" s="41" t="str">
        <f>IFERROR(__xludf.DUMMYFUNCTION("""COMPUTED_VALUE"""),"")</f>
        <v/>
      </c>
      <c r="AB500" s="38" t="str">
        <f>IFERROR(__xludf.DUMMYFUNCTION("""COMPUTED_VALUE"""),"")</f>
        <v/>
      </c>
    </row>
    <row r="501">
      <c r="A501" s="41" t="str">
        <f>IFERROR(__xludf.DUMMYFUNCTION("""COMPUTED_VALUE"""),"What is this?")</f>
        <v>What is this?</v>
      </c>
      <c r="B501" s="42"/>
      <c r="N501" s="38"/>
      <c r="P501" s="42" t="str">
        <f>IFERROR(__xludf.DUMMYFUNCTION("""COMPUTED_VALUE"""),"java")</f>
        <v>java</v>
      </c>
      <c r="Q501" s="41" t="str">
        <f>IFERROR(__xludf.DUMMYFUNCTION("""COMPUTED_VALUE"""),"")</f>
        <v/>
      </c>
      <c r="R501" s="41" t="str">
        <f>IFERROR(__xludf.DUMMYFUNCTION("""COMPUTED_VALUE"""),"")</f>
        <v/>
      </c>
      <c r="S501" s="41" t="str">
        <f>IFERROR(__xludf.DUMMYFUNCTION("""COMPUTED_VALUE"""),"")</f>
        <v/>
      </c>
      <c r="T501" s="41" t="str">
        <f>IFERROR(__xludf.DUMMYFUNCTION("""COMPUTED_VALUE"""),"")</f>
        <v/>
      </c>
      <c r="U501" s="41" t="str">
        <f>IFERROR(__xludf.DUMMYFUNCTION("""COMPUTED_VALUE"""),"")</f>
        <v/>
      </c>
      <c r="V501" s="41" t="str">
        <f>IFERROR(__xludf.DUMMYFUNCTION("""COMPUTED_VALUE"""),"")</f>
        <v/>
      </c>
      <c r="W501" s="41" t="str">
        <f>IFERROR(__xludf.DUMMYFUNCTION("""COMPUTED_VALUE"""),"")</f>
        <v/>
      </c>
      <c r="X501" s="41" t="str">
        <f>IFERROR(__xludf.DUMMYFUNCTION("""COMPUTED_VALUE"""),"")</f>
        <v/>
      </c>
      <c r="Y501" s="41" t="str">
        <f>IFERROR(__xludf.DUMMYFUNCTION("""COMPUTED_VALUE"""),"")</f>
        <v/>
      </c>
      <c r="Z501" s="41" t="str">
        <f>IFERROR(__xludf.DUMMYFUNCTION("""COMPUTED_VALUE"""),"")</f>
        <v/>
      </c>
      <c r="AA501" s="41" t="str">
        <f>IFERROR(__xludf.DUMMYFUNCTION("""COMPUTED_VALUE"""),"")</f>
        <v/>
      </c>
      <c r="AB501" s="38" t="str">
        <f>IFERROR(__xludf.DUMMYFUNCTION("""COMPUTED_VALUE"""),"")</f>
        <v/>
      </c>
    </row>
    <row r="502">
      <c r="A502" s="41" t="str">
        <f>IFERROR(__xludf.DUMMYFUNCTION("""COMPUTED_VALUE"""),"PHP,NodeJs,MySql,MongoDB,Redis")</f>
        <v>PHP,NodeJs,MySql,MongoDB,Redis</v>
      </c>
      <c r="B502" s="42"/>
      <c r="N502" s="38"/>
      <c r="P502" s="42" t="str">
        <f>IFERROR(__xludf.DUMMYFUNCTION("""COMPUTED_VALUE"""),"python")</f>
        <v>python</v>
      </c>
      <c r="Q502" s="41" t="str">
        <f>IFERROR(__xludf.DUMMYFUNCTION("""COMPUTED_VALUE"""),"")</f>
        <v/>
      </c>
      <c r="R502" s="41" t="str">
        <f>IFERROR(__xludf.DUMMYFUNCTION("""COMPUTED_VALUE"""),"")</f>
        <v/>
      </c>
      <c r="S502" s="41" t="str">
        <f>IFERROR(__xludf.DUMMYFUNCTION("""COMPUTED_VALUE"""),"")</f>
        <v/>
      </c>
      <c r="T502" s="41" t="str">
        <f>IFERROR(__xludf.DUMMYFUNCTION("""COMPUTED_VALUE"""),"")</f>
        <v/>
      </c>
      <c r="U502" s="41" t="str">
        <f>IFERROR(__xludf.DUMMYFUNCTION("""COMPUTED_VALUE"""),"")</f>
        <v/>
      </c>
      <c r="V502" s="41" t="str">
        <f>IFERROR(__xludf.DUMMYFUNCTION("""COMPUTED_VALUE"""),"")</f>
        <v/>
      </c>
      <c r="W502" s="41" t="str">
        <f>IFERROR(__xludf.DUMMYFUNCTION("""COMPUTED_VALUE"""),"")</f>
        <v/>
      </c>
      <c r="X502" s="41" t="str">
        <f>IFERROR(__xludf.DUMMYFUNCTION("""COMPUTED_VALUE"""),"")</f>
        <v/>
      </c>
      <c r="Y502" s="41" t="str">
        <f>IFERROR(__xludf.DUMMYFUNCTION("""COMPUTED_VALUE"""),"")</f>
        <v/>
      </c>
      <c r="Z502" s="41" t="str">
        <f>IFERROR(__xludf.DUMMYFUNCTION("""COMPUTED_VALUE"""),"")</f>
        <v/>
      </c>
      <c r="AA502" s="41" t="str">
        <f>IFERROR(__xludf.DUMMYFUNCTION("""COMPUTED_VALUE"""),"")</f>
        <v/>
      </c>
      <c r="AB502" s="38" t="str">
        <f>IFERROR(__xludf.DUMMYFUNCTION("""COMPUTED_VALUE"""),"")</f>
        <v/>
      </c>
    </row>
    <row r="503">
      <c r="A503" s="41" t="str">
        <f>IFERROR(__xludf.DUMMYFUNCTION("""COMPUTED_VALUE"""),"AWS")</f>
        <v>AWS</v>
      </c>
      <c r="B503" s="42"/>
      <c r="N503" s="38"/>
      <c r="P503" s="42" t="str">
        <f>IFERROR(__xludf.DUMMYFUNCTION("""COMPUTED_VALUE"""),"ruby")</f>
        <v>ruby</v>
      </c>
      <c r="Q503" s="41" t="str">
        <f>IFERROR(__xludf.DUMMYFUNCTION("""COMPUTED_VALUE"""),"")</f>
        <v/>
      </c>
      <c r="R503" s="41" t="str">
        <f>IFERROR(__xludf.DUMMYFUNCTION("""COMPUTED_VALUE"""),"")</f>
        <v/>
      </c>
      <c r="S503" s="41" t="str">
        <f>IFERROR(__xludf.DUMMYFUNCTION("""COMPUTED_VALUE"""),"")</f>
        <v/>
      </c>
      <c r="T503" s="41" t="str">
        <f>IFERROR(__xludf.DUMMYFUNCTION("""COMPUTED_VALUE"""),"")</f>
        <v/>
      </c>
      <c r="U503" s="41" t="str">
        <f>IFERROR(__xludf.DUMMYFUNCTION("""COMPUTED_VALUE"""),"")</f>
        <v/>
      </c>
      <c r="V503" s="41" t="str">
        <f>IFERROR(__xludf.DUMMYFUNCTION("""COMPUTED_VALUE"""),"")</f>
        <v/>
      </c>
      <c r="W503" s="41" t="str">
        <f>IFERROR(__xludf.DUMMYFUNCTION("""COMPUTED_VALUE"""),"")</f>
        <v/>
      </c>
      <c r="X503" s="41" t="str">
        <f>IFERROR(__xludf.DUMMYFUNCTION("""COMPUTED_VALUE"""),"")</f>
        <v/>
      </c>
      <c r="Y503" s="41" t="str">
        <f>IFERROR(__xludf.DUMMYFUNCTION("""COMPUTED_VALUE"""),"")</f>
        <v/>
      </c>
      <c r="Z503" s="41" t="str">
        <f>IFERROR(__xludf.DUMMYFUNCTION("""COMPUTED_VALUE"""),"")</f>
        <v/>
      </c>
      <c r="AA503" s="41" t="str">
        <f>IFERROR(__xludf.DUMMYFUNCTION("""COMPUTED_VALUE"""),"")</f>
        <v/>
      </c>
      <c r="AB503" s="38" t="str">
        <f>IFERROR(__xludf.DUMMYFUNCTION("""COMPUTED_VALUE"""),"")</f>
        <v/>
      </c>
    </row>
    <row r="504">
      <c r="A504" s="41" t="str">
        <f>IFERROR(__xludf.DUMMYFUNCTION("""COMPUTED_VALUE"""),"Golang, GCP, Docker")</f>
        <v>Golang, GCP, Docker</v>
      </c>
      <c r="B504" s="42"/>
      <c r="N504" s="38"/>
      <c r="P504" s="42" t="str">
        <f>IFERROR(__xludf.DUMMYFUNCTION("""COMPUTED_VALUE"""),"on")</f>
        <v>on</v>
      </c>
      <c r="Q504" s="41" t="str">
        <f>IFERROR(__xludf.DUMMYFUNCTION("""COMPUTED_VALUE"""),"")</f>
        <v/>
      </c>
      <c r="R504" s="41" t="str">
        <f>IFERROR(__xludf.DUMMYFUNCTION("""COMPUTED_VALUE"""),"")</f>
        <v/>
      </c>
      <c r="S504" s="41" t="str">
        <f>IFERROR(__xludf.DUMMYFUNCTION("""COMPUTED_VALUE"""),"")</f>
        <v/>
      </c>
      <c r="T504" s="41" t="str">
        <f>IFERROR(__xludf.DUMMYFUNCTION("""COMPUTED_VALUE"""),"")</f>
        <v/>
      </c>
      <c r="U504" s="41" t="str">
        <f>IFERROR(__xludf.DUMMYFUNCTION("""COMPUTED_VALUE"""),"")</f>
        <v/>
      </c>
      <c r="V504" s="41" t="str">
        <f>IFERROR(__xludf.DUMMYFUNCTION("""COMPUTED_VALUE"""),"")</f>
        <v/>
      </c>
      <c r="W504" s="41" t="str">
        <f>IFERROR(__xludf.DUMMYFUNCTION("""COMPUTED_VALUE"""),"")</f>
        <v/>
      </c>
      <c r="X504" s="41" t="str">
        <f>IFERROR(__xludf.DUMMYFUNCTION("""COMPUTED_VALUE"""),"")</f>
        <v/>
      </c>
      <c r="Y504" s="41" t="str">
        <f>IFERROR(__xludf.DUMMYFUNCTION("""COMPUTED_VALUE"""),"")</f>
        <v/>
      </c>
      <c r="Z504" s="41" t="str">
        <f>IFERROR(__xludf.DUMMYFUNCTION("""COMPUTED_VALUE"""),"")</f>
        <v/>
      </c>
      <c r="AA504" s="41" t="str">
        <f>IFERROR(__xludf.DUMMYFUNCTION("""COMPUTED_VALUE"""),"")</f>
        <v/>
      </c>
      <c r="AB504" s="38" t="str">
        <f>IFERROR(__xludf.DUMMYFUNCTION("""COMPUTED_VALUE"""),"")</f>
        <v/>
      </c>
    </row>
    <row r="505">
      <c r="A505" s="41" t="str">
        <f>IFERROR(__xludf.DUMMYFUNCTION("""COMPUTED_VALUE"""),".NET, Kubernetes, Azure Cloud, Azure Devops, PHP Zend Framework 1, ")</f>
        <v>.NET, Kubernetes, Azure Cloud, Azure Devops, PHP Zend Framework 1, </v>
      </c>
      <c r="B505" s="42"/>
      <c r="N505" s="38"/>
      <c r="P505" s="42" t="str">
        <f>IFERROR(__xludf.DUMMYFUNCTION("""COMPUTED_VALUE"""),"rails")</f>
        <v>rails</v>
      </c>
      <c r="Q505" s="41" t="str">
        <f>IFERROR(__xludf.DUMMYFUNCTION("""COMPUTED_VALUE"""),"")</f>
        <v/>
      </c>
      <c r="R505" s="41" t="str">
        <f>IFERROR(__xludf.DUMMYFUNCTION("""COMPUTED_VALUE"""),"")</f>
        <v/>
      </c>
      <c r="S505" s="41" t="str">
        <f>IFERROR(__xludf.DUMMYFUNCTION("""COMPUTED_VALUE"""),"")</f>
        <v/>
      </c>
      <c r="T505" s="41" t="str">
        <f>IFERROR(__xludf.DUMMYFUNCTION("""COMPUTED_VALUE"""),"")</f>
        <v/>
      </c>
      <c r="U505" s="41" t="str">
        <f>IFERROR(__xludf.DUMMYFUNCTION("""COMPUTED_VALUE"""),"")</f>
        <v/>
      </c>
      <c r="V505" s="41" t="str">
        <f>IFERROR(__xludf.DUMMYFUNCTION("""COMPUTED_VALUE"""),"")</f>
        <v/>
      </c>
      <c r="W505" s="41" t="str">
        <f>IFERROR(__xludf.DUMMYFUNCTION("""COMPUTED_VALUE"""),"")</f>
        <v/>
      </c>
      <c r="X505" s="41" t="str">
        <f>IFERROR(__xludf.DUMMYFUNCTION("""COMPUTED_VALUE"""),"")</f>
        <v/>
      </c>
      <c r="Y505" s="41" t="str">
        <f>IFERROR(__xludf.DUMMYFUNCTION("""COMPUTED_VALUE"""),"")</f>
        <v/>
      </c>
      <c r="Z505" s="41" t="str">
        <f>IFERROR(__xludf.DUMMYFUNCTION("""COMPUTED_VALUE"""),"")</f>
        <v/>
      </c>
      <c r="AA505" s="41" t="str">
        <f>IFERROR(__xludf.DUMMYFUNCTION("""COMPUTED_VALUE"""),"")</f>
        <v/>
      </c>
      <c r="AB505" s="38" t="str">
        <f>IFERROR(__xludf.DUMMYFUNCTION("""COMPUTED_VALUE"""),"")</f>
        <v/>
      </c>
    </row>
    <row r="506">
      <c r="A506" s="41" t="str">
        <f>IFERROR(__xludf.DUMMYFUNCTION("""COMPUTED_VALUE"""),"SQL, vb.net, MSSQL")</f>
        <v>SQL, vb.net, MSSQL</v>
      </c>
      <c r="B506" s="42"/>
      <c r="N506" s="38"/>
      <c r="P506" s="42" t="str">
        <f>IFERROR(__xludf.DUMMYFUNCTION("""COMPUTED_VALUE"""),"game")</f>
        <v>game</v>
      </c>
      <c r="Q506" s="41" t="str">
        <f>IFERROR(__xludf.DUMMYFUNCTION("""COMPUTED_VALUE"""),"")</f>
        <v/>
      </c>
      <c r="R506" s="41" t="str">
        <f>IFERROR(__xludf.DUMMYFUNCTION("""COMPUTED_VALUE"""),"")</f>
        <v/>
      </c>
      <c r="S506" s="41" t="str">
        <f>IFERROR(__xludf.DUMMYFUNCTION("""COMPUTED_VALUE"""),"")</f>
        <v/>
      </c>
      <c r="T506" s="41" t="str">
        <f>IFERROR(__xludf.DUMMYFUNCTION("""COMPUTED_VALUE"""),"")</f>
        <v/>
      </c>
      <c r="U506" s="41" t="str">
        <f>IFERROR(__xludf.DUMMYFUNCTION("""COMPUTED_VALUE"""),"")</f>
        <v/>
      </c>
      <c r="V506" s="41" t="str">
        <f>IFERROR(__xludf.DUMMYFUNCTION("""COMPUTED_VALUE"""),"")</f>
        <v/>
      </c>
      <c r="W506" s="41" t="str">
        <f>IFERROR(__xludf.DUMMYFUNCTION("""COMPUTED_VALUE"""),"")</f>
        <v/>
      </c>
      <c r="X506" s="41" t="str">
        <f>IFERROR(__xludf.DUMMYFUNCTION("""COMPUTED_VALUE"""),"")</f>
        <v/>
      </c>
      <c r="Y506" s="41" t="str">
        <f>IFERROR(__xludf.DUMMYFUNCTION("""COMPUTED_VALUE"""),"")</f>
        <v/>
      </c>
      <c r="Z506" s="41" t="str">
        <f>IFERROR(__xludf.DUMMYFUNCTION("""COMPUTED_VALUE"""),"")</f>
        <v/>
      </c>
      <c r="AA506" s="41" t="str">
        <f>IFERROR(__xludf.DUMMYFUNCTION("""COMPUTED_VALUE"""),"")</f>
        <v/>
      </c>
      <c r="AB506" s="38" t="str">
        <f>IFERROR(__xludf.DUMMYFUNCTION("""COMPUTED_VALUE"""),"")</f>
        <v/>
      </c>
    </row>
    <row r="507">
      <c r="A507" s="41" t="str">
        <f>IFERROR(__xludf.DUMMYFUNCTION("""COMPUTED_VALUE"""),"PHP, HTML, CSS, Javascript")</f>
        <v>PHP, HTML, CSS, Javascript</v>
      </c>
      <c r="B507" s="42"/>
      <c r="N507" s="38"/>
      <c r="P507" s="42" t="str">
        <f>IFERROR(__xludf.DUMMYFUNCTION("""COMPUTED_VALUE"""),"development")</f>
        <v>development</v>
      </c>
      <c r="Q507" s="41" t="str">
        <f>IFERROR(__xludf.DUMMYFUNCTION("""COMPUTED_VALUE"""),"")</f>
        <v/>
      </c>
      <c r="R507" s="41" t="str">
        <f>IFERROR(__xludf.DUMMYFUNCTION("""COMPUTED_VALUE"""),"")</f>
        <v/>
      </c>
      <c r="S507" s="41" t="str">
        <f>IFERROR(__xludf.DUMMYFUNCTION("""COMPUTED_VALUE"""),"")</f>
        <v/>
      </c>
      <c r="T507" s="41" t="str">
        <f>IFERROR(__xludf.DUMMYFUNCTION("""COMPUTED_VALUE"""),"")</f>
        <v/>
      </c>
      <c r="U507" s="41" t="str">
        <f>IFERROR(__xludf.DUMMYFUNCTION("""COMPUTED_VALUE"""),"")</f>
        <v/>
      </c>
      <c r="V507" s="41" t="str">
        <f>IFERROR(__xludf.DUMMYFUNCTION("""COMPUTED_VALUE"""),"")</f>
        <v/>
      </c>
      <c r="W507" s="41" t="str">
        <f>IFERROR(__xludf.DUMMYFUNCTION("""COMPUTED_VALUE"""),"")</f>
        <v/>
      </c>
      <c r="X507" s="41" t="str">
        <f>IFERROR(__xludf.DUMMYFUNCTION("""COMPUTED_VALUE"""),"")</f>
        <v/>
      </c>
      <c r="Y507" s="41" t="str">
        <f>IFERROR(__xludf.DUMMYFUNCTION("""COMPUTED_VALUE"""),"")</f>
        <v/>
      </c>
      <c r="Z507" s="41" t="str">
        <f>IFERROR(__xludf.DUMMYFUNCTION("""COMPUTED_VALUE"""),"")</f>
        <v/>
      </c>
      <c r="AA507" s="41" t="str">
        <f>IFERROR(__xludf.DUMMYFUNCTION("""COMPUTED_VALUE"""),"")</f>
        <v/>
      </c>
      <c r="AB507" s="38" t="str">
        <f>IFERROR(__xludf.DUMMYFUNCTION("""COMPUTED_VALUE"""),"")</f>
        <v/>
      </c>
    </row>
    <row r="508">
      <c r="A508" s="41" t="str">
        <f>IFERROR(__xludf.DUMMYFUNCTION("""COMPUTED_VALUE"""),"miro, teams, ide")</f>
        <v>miro, teams, ide</v>
      </c>
      <c r="B508" s="42"/>
      <c r="N508" s="38"/>
      <c r="P508" s="42" t="str">
        <f>IFERROR(__xludf.DUMMYFUNCTION("""COMPUTED_VALUE"""),"javascript")</f>
        <v>javascript</v>
      </c>
      <c r="Q508" s="41" t="str">
        <f>IFERROR(__xludf.DUMMYFUNCTION("""COMPUTED_VALUE"""),"")</f>
        <v/>
      </c>
      <c r="R508" s="41" t="str">
        <f>IFERROR(__xludf.DUMMYFUNCTION("""COMPUTED_VALUE"""),"")</f>
        <v/>
      </c>
      <c r="S508" s="41" t="str">
        <f>IFERROR(__xludf.DUMMYFUNCTION("""COMPUTED_VALUE"""),"")</f>
        <v/>
      </c>
      <c r="T508" s="41" t="str">
        <f>IFERROR(__xludf.DUMMYFUNCTION("""COMPUTED_VALUE"""),"")</f>
        <v/>
      </c>
      <c r="U508" s="41" t="str">
        <f>IFERROR(__xludf.DUMMYFUNCTION("""COMPUTED_VALUE"""),"")</f>
        <v/>
      </c>
      <c r="V508" s="41" t="str">
        <f>IFERROR(__xludf.DUMMYFUNCTION("""COMPUTED_VALUE"""),"")</f>
        <v/>
      </c>
      <c r="W508" s="41" t="str">
        <f>IFERROR(__xludf.DUMMYFUNCTION("""COMPUTED_VALUE"""),"")</f>
        <v/>
      </c>
      <c r="X508" s="41" t="str">
        <f>IFERROR(__xludf.DUMMYFUNCTION("""COMPUTED_VALUE"""),"")</f>
        <v/>
      </c>
      <c r="Y508" s="41" t="str">
        <f>IFERROR(__xludf.DUMMYFUNCTION("""COMPUTED_VALUE"""),"")</f>
        <v/>
      </c>
      <c r="Z508" s="41" t="str">
        <f>IFERROR(__xludf.DUMMYFUNCTION("""COMPUTED_VALUE"""),"")</f>
        <v/>
      </c>
      <c r="AA508" s="41" t="str">
        <f>IFERROR(__xludf.DUMMYFUNCTION("""COMPUTED_VALUE"""),"")</f>
        <v/>
      </c>
      <c r="AB508" s="38" t="str">
        <f>IFERROR(__xludf.DUMMYFUNCTION("""COMPUTED_VALUE"""),"")</f>
        <v/>
      </c>
    </row>
    <row r="509">
      <c r="A509" s="41" t="str">
        <f>IFERROR(__xludf.DUMMYFUNCTION("""COMPUTED_VALUE"""),"Laptop")</f>
        <v>Laptop</v>
      </c>
      <c r="B509" s="42"/>
      <c r="N509" s="38"/>
      <c r="P509" s="42" t="str">
        <f>IFERROR(__xludf.DUMMYFUNCTION("""COMPUTED_VALUE"""),"ai")</f>
        <v>ai</v>
      </c>
      <c r="Q509" s="41" t="str">
        <f>IFERROR(__xludf.DUMMYFUNCTION("""COMPUTED_VALUE"""),"")</f>
        <v/>
      </c>
      <c r="R509" s="41" t="str">
        <f>IFERROR(__xludf.DUMMYFUNCTION("""COMPUTED_VALUE"""),"")</f>
        <v/>
      </c>
      <c r="S509" s="41" t="str">
        <f>IFERROR(__xludf.DUMMYFUNCTION("""COMPUTED_VALUE"""),"")</f>
        <v/>
      </c>
      <c r="T509" s="41" t="str">
        <f>IFERROR(__xludf.DUMMYFUNCTION("""COMPUTED_VALUE"""),"")</f>
        <v/>
      </c>
      <c r="U509" s="41" t="str">
        <f>IFERROR(__xludf.DUMMYFUNCTION("""COMPUTED_VALUE"""),"")</f>
        <v/>
      </c>
      <c r="V509" s="41" t="str">
        <f>IFERROR(__xludf.DUMMYFUNCTION("""COMPUTED_VALUE"""),"")</f>
        <v/>
      </c>
      <c r="W509" s="41" t="str">
        <f>IFERROR(__xludf.DUMMYFUNCTION("""COMPUTED_VALUE"""),"")</f>
        <v/>
      </c>
      <c r="X509" s="41" t="str">
        <f>IFERROR(__xludf.DUMMYFUNCTION("""COMPUTED_VALUE"""),"")</f>
        <v/>
      </c>
      <c r="Y509" s="41" t="str">
        <f>IFERROR(__xludf.DUMMYFUNCTION("""COMPUTED_VALUE"""),"")</f>
        <v/>
      </c>
      <c r="Z509" s="41" t="str">
        <f>IFERROR(__xludf.DUMMYFUNCTION("""COMPUTED_VALUE"""),"")</f>
        <v/>
      </c>
      <c r="AA509" s="41" t="str">
        <f>IFERROR(__xludf.DUMMYFUNCTION("""COMPUTED_VALUE"""),"")</f>
        <v/>
      </c>
      <c r="AB509" s="38" t="str">
        <f>IFERROR(__xludf.DUMMYFUNCTION("""COMPUTED_VALUE"""),"")</f>
        <v/>
      </c>
    </row>
    <row r="510">
      <c r="A510" s="41" t="str">
        <f>IFERROR(__xludf.DUMMYFUNCTION("""COMPUTED_VALUE"""),"Mainframe")</f>
        <v>Mainframe</v>
      </c>
      <c r="B510" s="42"/>
      <c r="N510" s="38"/>
      <c r="P510" s="42" t="str">
        <f>IFERROR(__xludf.DUMMYFUNCTION("""COMPUTED_VALUE"""),"laptop")</f>
        <v>laptop</v>
      </c>
      <c r="Q510" s="41" t="str">
        <f>IFERROR(__xludf.DUMMYFUNCTION("""COMPUTED_VALUE"""),"")</f>
        <v/>
      </c>
      <c r="R510" s="41" t="str">
        <f>IFERROR(__xludf.DUMMYFUNCTION("""COMPUTED_VALUE"""),"")</f>
        <v/>
      </c>
      <c r="S510" s="41" t="str">
        <f>IFERROR(__xludf.DUMMYFUNCTION("""COMPUTED_VALUE"""),"")</f>
        <v/>
      </c>
      <c r="T510" s="41" t="str">
        <f>IFERROR(__xludf.DUMMYFUNCTION("""COMPUTED_VALUE"""),"")</f>
        <v/>
      </c>
      <c r="U510" s="41" t="str">
        <f>IFERROR(__xludf.DUMMYFUNCTION("""COMPUTED_VALUE"""),"")</f>
        <v/>
      </c>
      <c r="V510" s="41" t="str">
        <f>IFERROR(__xludf.DUMMYFUNCTION("""COMPUTED_VALUE"""),"")</f>
        <v/>
      </c>
      <c r="W510" s="41" t="str">
        <f>IFERROR(__xludf.DUMMYFUNCTION("""COMPUTED_VALUE"""),"")</f>
        <v/>
      </c>
      <c r="X510" s="41" t="str">
        <f>IFERROR(__xludf.DUMMYFUNCTION("""COMPUTED_VALUE"""),"")</f>
        <v/>
      </c>
      <c r="Y510" s="41" t="str">
        <f>IFERROR(__xludf.DUMMYFUNCTION("""COMPUTED_VALUE"""),"")</f>
        <v/>
      </c>
      <c r="Z510" s="41" t="str">
        <f>IFERROR(__xludf.DUMMYFUNCTION("""COMPUTED_VALUE"""),"")</f>
        <v/>
      </c>
      <c r="AA510" s="41" t="str">
        <f>IFERROR(__xludf.DUMMYFUNCTION("""COMPUTED_VALUE"""),"")</f>
        <v/>
      </c>
      <c r="AB510" s="38" t="str">
        <f>IFERROR(__xludf.DUMMYFUNCTION("""COMPUTED_VALUE"""),"")</f>
        <v/>
      </c>
    </row>
    <row r="511">
      <c r="A511" s="41" t="str">
        <f>IFERROR(__xludf.DUMMYFUNCTION("""COMPUTED_VALUE"""),"Swift, Objective-C, Ruby, Bash")</f>
        <v>Swift, Objective-C, Ruby, Bash</v>
      </c>
      <c r="B511" s="42"/>
      <c r="N511" s="38"/>
      <c r="P511" s="42" t="str">
        <f>IFERROR(__xludf.DUMMYFUNCTION("""COMPUTED_VALUE"""),"php")</f>
        <v>php</v>
      </c>
      <c r="Q511" s="41" t="str">
        <f>IFERROR(__xludf.DUMMYFUNCTION("""COMPUTED_VALUE"""),"")</f>
        <v/>
      </c>
      <c r="R511" s="41" t="str">
        <f>IFERROR(__xludf.DUMMYFUNCTION("""COMPUTED_VALUE"""),"")</f>
        <v/>
      </c>
      <c r="S511" s="41" t="str">
        <f>IFERROR(__xludf.DUMMYFUNCTION("""COMPUTED_VALUE"""),"")</f>
        <v/>
      </c>
      <c r="T511" s="41" t="str">
        <f>IFERROR(__xludf.DUMMYFUNCTION("""COMPUTED_VALUE"""),"")</f>
        <v/>
      </c>
      <c r="U511" s="41" t="str">
        <f>IFERROR(__xludf.DUMMYFUNCTION("""COMPUTED_VALUE"""),"")</f>
        <v/>
      </c>
      <c r="V511" s="41" t="str">
        <f>IFERROR(__xludf.DUMMYFUNCTION("""COMPUTED_VALUE"""),"")</f>
        <v/>
      </c>
      <c r="W511" s="41" t="str">
        <f>IFERROR(__xludf.DUMMYFUNCTION("""COMPUTED_VALUE"""),"")</f>
        <v/>
      </c>
      <c r="X511" s="41" t="str">
        <f>IFERROR(__xludf.DUMMYFUNCTION("""COMPUTED_VALUE"""),"")</f>
        <v/>
      </c>
      <c r="Y511" s="41" t="str">
        <f>IFERROR(__xludf.DUMMYFUNCTION("""COMPUTED_VALUE"""),"")</f>
        <v/>
      </c>
      <c r="Z511" s="41" t="str">
        <f>IFERROR(__xludf.DUMMYFUNCTION("""COMPUTED_VALUE"""),"")</f>
        <v/>
      </c>
      <c r="AA511" s="41" t="str">
        <f>IFERROR(__xludf.DUMMYFUNCTION("""COMPUTED_VALUE"""),"")</f>
        <v/>
      </c>
      <c r="AB511" s="38" t="str">
        <f>IFERROR(__xludf.DUMMYFUNCTION("""COMPUTED_VALUE"""),"")</f>
        <v/>
      </c>
    </row>
    <row r="512">
      <c r="A512" s="41" t="str">
        <f>IFERROR(__xludf.DUMMYFUNCTION("""COMPUTED_VALUE"""),"react")</f>
        <v>react</v>
      </c>
      <c r="B512" s="42"/>
      <c r="N512" s="38"/>
      <c r="P512" s="42" t="str">
        <f>IFERROR(__xludf.DUMMYFUNCTION("""COMPUTED_VALUE"""),"java")</f>
        <v>java</v>
      </c>
      <c r="Q512" s="41" t="str">
        <f>IFERROR(__xludf.DUMMYFUNCTION("""COMPUTED_VALUE"""),"")</f>
        <v/>
      </c>
      <c r="R512" s="41" t="str">
        <f>IFERROR(__xludf.DUMMYFUNCTION("""COMPUTED_VALUE"""),"")</f>
        <v/>
      </c>
      <c r="S512" s="41" t="str">
        <f>IFERROR(__xludf.DUMMYFUNCTION("""COMPUTED_VALUE"""),"")</f>
        <v/>
      </c>
      <c r="T512" s="41" t="str">
        <f>IFERROR(__xludf.DUMMYFUNCTION("""COMPUTED_VALUE"""),"")</f>
        <v/>
      </c>
      <c r="U512" s="41" t="str">
        <f>IFERROR(__xludf.DUMMYFUNCTION("""COMPUTED_VALUE"""),"")</f>
        <v/>
      </c>
      <c r="V512" s="41" t="str">
        <f>IFERROR(__xludf.DUMMYFUNCTION("""COMPUTED_VALUE"""),"")</f>
        <v/>
      </c>
      <c r="W512" s="41" t="str">
        <f>IFERROR(__xludf.DUMMYFUNCTION("""COMPUTED_VALUE"""),"")</f>
        <v/>
      </c>
      <c r="X512" s="41" t="str">
        <f>IFERROR(__xludf.DUMMYFUNCTION("""COMPUTED_VALUE"""),"")</f>
        <v/>
      </c>
      <c r="Y512" s="41" t="str">
        <f>IFERROR(__xludf.DUMMYFUNCTION("""COMPUTED_VALUE"""),"")</f>
        <v/>
      </c>
      <c r="Z512" s="41" t="str">
        <f>IFERROR(__xludf.DUMMYFUNCTION("""COMPUTED_VALUE"""),"")</f>
        <v/>
      </c>
      <c r="AA512" s="41" t="str">
        <f>IFERROR(__xludf.DUMMYFUNCTION("""COMPUTED_VALUE"""),"")</f>
        <v/>
      </c>
      <c r="AB512" s="38" t="str">
        <f>IFERROR(__xludf.DUMMYFUNCTION("""COMPUTED_VALUE"""),"")</f>
        <v/>
      </c>
    </row>
    <row r="513">
      <c r="A513" s="41" t="str">
        <f>IFERROR(__xludf.DUMMYFUNCTION("""COMPUTED_VALUE"""),"Php")</f>
        <v>Php</v>
      </c>
      <c r="B513" s="42"/>
      <c r="N513" s="38"/>
      <c r="P513" s="42" t="str">
        <f>IFERROR(__xludf.DUMMYFUNCTION("""COMPUTED_VALUE"""),"mac")</f>
        <v>mac</v>
      </c>
      <c r="Q513" s="41" t="str">
        <f>IFERROR(__xludf.DUMMYFUNCTION("""COMPUTED_VALUE"""),"")</f>
        <v/>
      </c>
      <c r="R513" s="41" t="str">
        <f>IFERROR(__xludf.DUMMYFUNCTION("""COMPUTED_VALUE"""),"")</f>
        <v/>
      </c>
      <c r="S513" s="41" t="str">
        <f>IFERROR(__xludf.DUMMYFUNCTION("""COMPUTED_VALUE"""),"")</f>
        <v/>
      </c>
      <c r="T513" s="41" t="str">
        <f>IFERROR(__xludf.DUMMYFUNCTION("""COMPUTED_VALUE"""),"")</f>
        <v/>
      </c>
      <c r="U513" s="41" t="str">
        <f>IFERROR(__xludf.DUMMYFUNCTION("""COMPUTED_VALUE"""),"")</f>
        <v/>
      </c>
      <c r="V513" s="41" t="str">
        <f>IFERROR(__xludf.DUMMYFUNCTION("""COMPUTED_VALUE"""),"")</f>
        <v/>
      </c>
      <c r="W513" s="41" t="str">
        <f>IFERROR(__xludf.DUMMYFUNCTION("""COMPUTED_VALUE"""),"")</f>
        <v/>
      </c>
      <c r="X513" s="41" t="str">
        <f>IFERROR(__xludf.DUMMYFUNCTION("""COMPUTED_VALUE"""),"")</f>
        <v/>
      </c>
      <c r="Y513" s="41" t="str">
        <f>IFERROR(__xludf.DUMMYFUNCTION("""COMPUTED_VALUE"""),"")</f>
        <v/>
      </c>
      <c r="Z513" s="41" t="str">
        <f>IFERROR(__xludf.DUMMYFUNCTION("""COMPUTED_VALUE"""),"")</f>
        <v/>
      </c>
      <c r="AA513" s="41" t="str">
        <f>IFERROR(__xludf.DUMMYFUNCTION("""COMPUTED_VALUE"""),"")</f>
        <v/>
      </c>
      <c r="AB513" s="38" t="str">
        <f>IFERROR(__xludf.DUMMYFUNCTION("""COMPUTED_VALUE"""),"")</f>
        <v/>
      </c>
    </row>
    <row r="514">
      <c r="A514" s="41" t="str">
        <f>IFERROR(__xludf.DUMMYFUNCTION("""COMPUTED_VALUE"""),"Mobile development ")</f>
        <v>Mobile development </v>
      </c>
      <c r="B514" s="42"/>
      <c r="N514" s="38"/>
      <c r="P514" s="42" t="str">
        <f>IFERROR(__xludf.DUMMYFUNCTION("""COMPUTED_VALUE"""),"go")</f>
        <v>go</v>
      </c>
      <c r="Q514" s="41" t="str">
        <f>IFERROR(__xludf.DUMMYFUNCTION("""COMPUTED_VALUE"""),"")</f>
        <v/>
      </c>
      <c r="R514" s="41" t="str">
        <f>IFERROR(__xludf.DUMMYFUNCTION("""COMPUTED_VALUE"""),"")</f>
        <v/>
      </c>
      <c r="S514" s="41" t="str">
        <f>IFERROR(__xludf.DUMMYFUNCTION("""COMPUTED_VALUE"""),"")</f>
        <v/>
      </c>
      <c r="T514" s="41" t="str">
        <f>IFERROR(__xludf.DUMMYFUNCTION("""COMPUTED_VALUE"""),"")</f>
        <v/>
      </c>
      <c r="U514" s="41" t="str">
        <f>IFERROR(__xludf.DUMMYFUNCTION("""COMPUTED_VALUE"""),"")</f>
        <v/>
      </c>
      <c r="V514" s="41" t="str">
        <f>IFERROR(__xludf.DUMMYFUNCTION("""COMPUTED_VALUE"""),"")</f>
        <v/>
      </c>
      <c r="W514" s="41" t="str">
        <f>IFERROR(__xludf.DUMMYFUNCTION("""COMPUTED_VALUE"""),"")</f>
        <v/>
      </c>
      <c r="X514" s="41" t="str">
        <f>IFERROR(__xludf.DUMMYFUNCTION("""COMPUTED_VALUE"""),"")</f>
        <v/>
      </c>
      <c r="Y514" s="41" t="str">
        <f>IFERROR(__xludf.DUMMYFUNCTION("""COMPUTED_VALUE"""),"")</f>
        <v/>
      </c>
      <c r="Z514" s="41" t="str">
        <f>IFERROR(__xludf.DUMMYFUNCTION("""COMPUTED_VALUE"""),"")</f>
        <v/>
      </c>
      <c r="AA514" s="41" t="str">
        <f>IFERROR(__xludf.DUMMYFUNCTION("""COMPUTED_VALUE"""),"")</f>
        <v/>
      </c>
      <c r="AB514" s="38" t="str">
        <f>IFERROR(__xludf.DUMMYFUNCTION("""COMPUTED_VALUE"""),"")</f>
        <v/>
      </c>
    </row>
    <row r="515">
      <c r="A515" s="41" t="str">
        <f>IFERROR(__xludf.DUMMYFUNCTION("""COMPUTED_VALUE"""),".net")</f>
        <v>.net</v>
      </c>
      <c r="B515" s="42"/>
      <c r="N515" s="38"/>
      <c r="P515" s="42" t="str">
        <f>IFERROR(__xludf.DUMMYFUNCTION("""COMPUTED_VALUE"""),"golang")</f>
        <v>golang</v>
      </c>
      <c r="Q515" s="41" t="str">
        <f>IFERROR(__xludf.DUMMYFUNCTION("""COMPUTED_VALUE"""),"")</f>
        <v/>
      </c>
      <c r="R515" s="41" t="str">
        <f>IFERROR(__xludf.DUMMYFUNCTION("""COMPUTED_VALUE"""),"")</f>
        <v/>
      </c>
      <c r="S515" s="41" t="str">
        <f>IFERROR(__xludf.DUMMYFUNCTION("""COMPUTED_VALUE"""),"")</f>
        <v/>
      </c>
      <c r="T515" s="41" t="str">
        <f>IFERROR(__xludf.DUMMYFUNCTION("""COMPUTED_VALUE"""),"")</f>
        <v/>
      </c>
      <c r="U515" s="41" t="str">
        <f>IFERROR(__xludf.DUMMYFUNCTION("""COMPUTED_VALUE"""),"")</f>
        <v/>
      </c>
      <c r="V515" s="41" t="str">
        <f>IFERROR(__xludf.DUMMYFUNCTION("""COMPUTED_VALUE"""),"")</f>
        <v/>
      </c>
      <c r="W515" s="41" t="str">
        <f>IFERROR(__xludf.DUMMYFUNCTION("""COMPUTED_VALUE"""),"")</f>
        <v/>
      </c>
      <c r="X515" s="41" t="str">
        <f>IFERROR(__xludf.DUMMYFUNCTION("""COMPUTED_VALUE"""),"")</f>
        <v/>
      </c>
      <c r="Y515" s="41" t="str">
        <f>IFERROR(__xludf.DUMMYFUNCTION("""COMPUTED_VALUE"""),"")</f>
        <v/>
      </c>
      <c r="Z515" s="41" t="str">
        <f>IFERROR(__xludf.DUMMYFUNCTION("""COMPUTED_VALUE"""),"")</f>
        <v/>
      </c>
      <c r="AA515" s="41" t="str">
        <f>IFERROR(__xludf.DUMMYFUNCTION("""COMPUTED_VALUE"""),"")</f>
        <v/>
      </c>
      <c r="AB515" s="38" t="str">
        <f>IFERROR(__xludf.DUMMYFUNCTION("""COMPUTED_VALUE"""),"")</f>
        <v/>
      </c>
    </row>
    <row r="516">
      <c r="A516" s="41" t="str">
        <f>IFERROR(__xludf.DUMMYFUNCTION("""COMPUTED_VALUE"""),"INtellij")</f>
        <v>INtellij</v>
      </c>
      <c r="B516" s="42"/>
      <c r="N516" s="38"/>
      <c r="P516" s="42" t="str">
        <f>IFERROR(__xludf.DUMMYFUNCTION("""COMPUTED_VALUE"""),"nodejs")</f>
        <v>nodejs</v>
      </c>
      <c r="Q516" s="41" t="str">
        <f>IFERROR(__xludf.DUMMYFUNCTION("""COMPUTED_VALUE"""),"")</f>
        <v/>
      </c>
      <c r="R516" s="41" t="str">
        <f>IFERROR(__xludf.DUMMYFUNCTION("""COMPUTED_VALUE"""),"")</f>
        <v/>
      </c>
      <c r="S516" s="41" t="str">
        <f>IFERROR(__xludf.DUMMYFUNCTION("""COMPUTED_VALUE"""),"")</f>
        <v/>
      </c>
      <c r="T516" s="41" t="str">
        <f>IFERROR(__xludf.DUMMYFUNCTION("""COMPUTED_VALUE"""),"")</f>
        <v/>
      </c>
      <c r="U516" s="41" t="str">
        <f>IFERROR(__xludf.DUMMYFUNCTION("""COMPUTED_VALUE"""),"")</f>
        <v/>
      </c>
      <c r="V516" s="41" t="str">
        <f>IFERROR(__xludf.DUMMYFUNCTION("""COMPUTED_VALUE"""),"")</f>
        <v/>
      </c>
      <c r="W516" s="41" t="str">
        <f>IFERROR(__xludf.DUMMYFUNCTION("""COMPUTED_VALUE"""),"")</f>
        <v/>
      </c>
      <c r="X516" s="41" t="str">
        <f>IFERROR(__xludf.DUMMYFUNCTION("""COMPUTED_VALUE"""),"")</f>
        <v/>
      </c>
      <c r="Y516" s="41" t="str">
        <f>IFERROR(__xludf.DUMMYFUNCTION("""COMPUTED_VALUE"""),"")</f>
        <v/>
      </c>
      <c r="Z516" s="41" t="str">
        <f>IFERROR(__xludf.DUMMYFUNCTION("""COMPUTED_VALUE"""),"")</f>
        <v/>
      </c>
      <c r="AA516" s="41" t="str">
        <f>IFERROR(__xludf.DUMMYFUNCTION("""COMPUTED_VALUE"""),"")</f>
        <v/>
      </c>
      <c r="AB516" s="38" t="str">
        <f>IFERROR(__xludf.DUMMYFUNCTION("""COMPUTED_VALUE"""),"")</f>
        <v/>
      </c>
    </row>
    <row r="517">
      <c r="A517" s="41" t="str">
        <f>IFERROR(__xludf.DUMMYFUNCTION("""COMPUTED_VALUE"""),"Typescript,Javascript,React,Express")</f>
        <v>Typescript,Javascript,React,Express</v>
      </c>
      <c r="B517" s="42"/>
      <c r="N517" s="38"/>
      <c r="P517" s="42" t="str">
        <f>IFERROR(__xludf.DUMMYFUNCTION("""COMPUTED_VALUE"""),"python")</f>
        <v>python</v>
      </c>
      <c r="Q517" s="41" t="str">
        <f>IFERROR(__xludf.DUMMYFUNCTION("""COMPUTED_VALUE"""),"")</f>
        <v/>
      </c>
      <c r="R517" s="41" t="str">
        <f>IFERROR(__xludf.DUMMYFUNCTION("""COMPUTED_VALUE"""),"")</f>
        <v/>
      </c>
      <c r="S517" s="41" t="str">
        <f>IFERROR(__xludf.DUMMYFUNCTION("""COMPUTED_VALUE"""),"")</f>
        <v/>
      </c>
      <c r="T517" s="41" t="str">
        <f>IFERROR(__xludf.DUMMYFUNCTION("""COMPUTED_VALUE"""),"")</f>
        <v/>
      </c>
      <c r="U517" s="41" t="str">
        <f>IFERROR(__xludf.DUMMYFUNCTION("""COMPUTED_VALUE"""),"")</f>
        <v/>
      </c>
      <c r="V517" s="41" t="str">
        <f>IFERROR(__xludf.DUMMYFUNCTION("""COMPUTED_VALUE"""),"")</f>
        <v/>
      </c>
      <c r="W517" s="41" t="str">
        <f>IFERROR(__xludf.DUMMYFUNCTION("""COMPUTED_VALUE"""),"")</f>
        <v/>
      </c>
      <c r="X517" s="41" t="str">
        <f>IFERROR(__xludf.DUMMYFUNCTION("""COMPUTED_VALUE"""),"")</f>
        <v/>
      </c>
      <c r="Y517" s="41" t="str">
        <f>IFERROR(__xludf.DUMMYFUNCTION("""COMPUTED_VALUE"""),"")</f>
        <v/>
      </c>
      <c r="Z517" s="41" t="str">
        <f>IFERROR(__xludf.DUMMYFUNCTION("""COMPUTED_VALUE"""),"")</f>
        <v/>
      </c>
      <c r="AA517" s="41" t="str">
        <f>IFERROR(__xludf.DUMMYFUNCTION("""COMPUTED_VALUE"""),"")</f>
        <v/>
      </c>
      <c r="AB517" s="38" t="str">
        <f>IFERROR(__xludf.DUMMYFUNCTION("""COMPUTED_VALUE"""),"")</f>
        <v/>
      </c>
    </row>
    <row r="518">
      <c r="A518" s="41" t="str">
        <f>IFERROR(__xludf.DUMMYFUNCTION("""COMPUTED_VALUE"""),"C++")</f>
        <v>C++</v>
      </c>
      <c r="B518" s="42"/>
      <c r="N518" s="38"/>
      <c r="P518" s="42" t="str">
        <f>IFERROR(__xludf.DUMMYFUNCTION("""COMPUTED_VALUE"""),"django")</f>
        <v>django</v>
      </c>
      <c r="Q518" s="41" t="str">
        <f>IFERROR(__xludf.DUMMYFUNCTION("""COMPUTED_VALUE"""),"")</f>
        <v/>
      </c>
      <c r="R518" s="41" t="str">
        <f>IFERROR(__xludf.DUMMYFUNCTION("""COMPUTED_VALUE"""),"")</f>
        <v/>
      </c>
      <c r="S518" s="41" t="str">
        <f>IFERROR(__xludf.DUMMYFUNCTION("""COMPUTED_VALUE"""),"")</f>
        <v/>
      </c>
      <c r="T518" s="41" t="str">
        <f>IFERROR(__xludf.DUMMYFUNCTION("""COMPUTED_VALUE"""),"")</f>
        <v/>
      </c>
      <c r="U518" s="41" t="str">
        <f>IFERROR(__xludf.DUMMYFUNCTION("""COMPUTED_VALUE"""),"")</f>
        <v/>
      </c>
      <c r="V518" s="41" t="str">
        <f>IFERROR(__xludf.DUMMYFUNCTION("""COMPUTED_VALUE"""),"")</f>
        <v/>
      </c>
      <c r="W518" s="41" t="str">
        <f>IFERROR(__xludf.DUMMYFUNCTION("""COMPUTED_VALUE"""),"")</f>
        <v/>
      </c>
      <c r="X518" s="41" t="str">
        <f>IFERROR(__xludf.DUMMYFUNCTION("""COMPUTED_VALUE"""),"")</f>
        <v/>
      </c>
      <c r="Y518" s="41" t="str">
        <f>IFERROR(__xludf.DUMMYFUNCTION("""COMPUTED_VALUE"""),"")</f>
        <v/>
      </c>
      <c r="Z518" s="41" t="str">
        <f>IFERROR(__xludf.DUMMYFUNCTION("""COMPUTED_VALUE"""),"")</f>
        <v/>
      </c>
      <c r="AA518" s="41" t="str">
        <f>IFERROR(__xludf.DUMMYFUNCTION("""COMPUTED_VALUE"""),"")</f>
        <v/>
      </c>
      <c r="AB518" s="38" t="str">
        <f>IFERROR(__xludf.DUMMYFUNCTION("""COMPUTED_VALUE"""),"")</f>
        <v/>
      </c>
    </row>
    <row r="519">
      <c r="A519" s="41" t="str">
        <f>IFERROR(__xludf.DUMMYFUNCTION("""COMPUTED_VALUE"""),"Vuejs, hardhat, subgraph, solidity")</f>
        <v>Vuejs, hardhat, subgraph, solidity</v>
      </c>
      <c r="B519" s="42"/>
      <c r="N519" s="38"/>
      <c r="P519" s="42" t="str">
        <f>IFERROR(__xludf.DUMMYFUNCTION("""COMPUTED_VALUE"""),"js")</f>
        <v>js</v>
      </c>
      <c r="Q519" s="41" t="str">
        <f>IFERROR(__xludf.DUMMYFUNCTION("""COMPUTED_VALUE"""),"")</f>
        <v/>
      </c>
      <c r="R519" s="41" t="str">
        <f>IFERROR(__xludf.DUMMYFUNCTION("""COMPUTED_VALUE"""),"")</f>
        <v/>
      </c>
      <c r="S519" s="41" t="str">
        <f>IFERROR(__xludf.DUMMYFUNCTION("""COMPUTED_VALUE"""),"")</f>
        <v/>
      </c>
      <c r="T519" s="41" t="str">
        <f>IFERROR(__xludf.DUMMYFUNCTION("""COMPUTED_VALUE"""),"")</f>
        <v/>
      </c>
      <c r="U519" s="41" t="str">
        <f>IFERROR(__xludf.DUMMYFUNCTION("""COMPUTED_VALUE"""),"")</f>
        <v/>
      </c>
      <c r="V519" s="41" t="str">
        <f>IFERROR(__xludf.DUMMYFUNCTION("""COMPUTED_VALUE"""),"")</f>
        <v/>
      </c>
      <c r="W519" s="41" t="str">
        <f>IFERROR(__xludf.DUMMYFUNCTION("""COMPUTED_VALUE"""),"")</f>
        <v/>
      </c>
      <c r="X519" s="41" t="str">
        <f>IFERROR(__xludf.DUMMYFUNCTION("""COMPUTED_VALUE"""),"")</f>
        <v/>
      </c>
      <c r="Y519" s="41" t="str">
        <f>IFERROR(__xludf.DUMMYFUNCTION("""COMPUTED_VALUE"""),"")</f>
        <v/>
      </c>
      <c r="Z519" s="41" t="str">
        <f>IFERROR(__xludf.DUMMYFUNCTION("""COMPUTED_VALUE"""),"")</f>
        <v/>
      </c>
      <c r="AA519" s="41" t="str">
        <f>IFERROR(__xludf.DUMMYFUNCTION("""COMPUTED_VALUE"""),"")</f>
        <v/>
      </c>
      <c r="AB519" s="38" t="str">
        <f>IFERROR(__xludf.DUMMYFUNCTION("""COMPUTED_VALUE"""),"")</f>
        <v/>
      </c>
    </row>
    <row r="520">
      <c r="A520" s="41" t="str">
        <f>IFERROR(__xludf.DUMMYFUNCTION("""COMPUTED_VALUE"""),"Python, Google Cloud, Airflow, Postgres")</f>
        <v>Python, Google Cloud, Airflow, Postgres</v>
      </c>
      <c r="B520" s="42"/>
      <c r="N520" s="38"/>
      <c r="P520" s="42" t="str">
        <f>IFERROR(__xludf.DUMMYFUNCTION("""COMPUTED_VALUE"""),"flutter")</f>
        <v>flutter</v>
      </c>
      <c r="Q520" s="41" t="str">
        <f>IFERROR(__xludf.DUMMYFUNCTION("""COMPUTED_VALUE"""),"")</f>
        <v/>
      </c>
      <c r="R520" s="41" t="str">
        <f>IFERROR(__xludf.DUMMYFUNCTION("""COMPUTED_VALUE"""),"")</f>
        <v/>
      </c>
      <c r="S520" s="41" t="str">
        <f>IFERROR(__xludf.DUMMYFUNCTION("""COMPUTED_VALUE"""),"")</f>
        <v/>
      </c>
      <c r="T520" s="41" t="str">
        <f>IFERROR(__xludf.DUMMYFUNCTION("""COMPUTED_VALUE"""),"")</f>
        <v/>
      </c>
      <c r="U520" s="41" t="str">
        <f>IFERROR(__xludf.DUMMYFUNCTION("""COMPUTED_VALUE"""),"")</f>
        <v/>
      </c>
      <c r="V520" s="41" t="str">
        <f>IFERROR(__xludf.DUMMYFUNCTION("""COMPUTED_VALUE"""),"")</f>
        <v/>
      </c>
      <c r="W520" s="41" t="str">
        <f>IFERROR(__xludf.DUMMYFUNCTION("""COMPUTED_VALUE"""),"")</f>
        <v/>
      </c>
      <c r="X520" s="41" t="str">
        <f>IFERROR(__xludf.DUMMYFUNCTION("""COMPUTED_VALUE"""),"")</f>
        <v/>
      </c>
      <c r="Y520" s="41" t="str">
        <f>IFERROR(__xludf.DUMMYFUNCTION("""COMPUTED_VALUE"""),"")</f>
        <v/>
      </c>
      <c r="Z520" s="41" t="str">
        <f>IFERROR(__xludf.DUMMYFUNCTION("""COMPUTED_VALUE"""),"")</f>
        <v/>
      </c>
      <c r="AA520" s="41" t="str">
        <f>IFERROR(__xludf.DUMMYFUNCTION("""COMPUTED_VALUE"""),"")</f>
        <v/>
      </c>
      <c r="AB520" s="38" t="str">
        <f>IFERROR(__xludf.DUMMYFUNCTION("""COMPUTED_VALUE"""),"")</f>
        <v/>
      </c>
    </row>
    <row r="521">
      <c r="A521" s="41" t="str">
        <f>IFERROR(__xludf.DUMMYFUNCTION("""COMPUTED_VALUE"""),"AWS, DOCKER, KUBERNETES")</f>
        <v>AWS, DOCKER, KUBERNETES</v>
      </c>
      <c r="B521" s="42"/>
      <c r="N521" s="38"/>
      <c r="P521" s="42" t="str">
        <f>IFERROR(__xludf.DUMMYFUNCTION("""COMPUTED_VALUE"""),"php")</f>
        <v>php</v>
      </c>
      <c r="Q521" s="41" t="str">
        <f>IFERROR(__xludf.DUMMYFUNCTION("""COMPUTED_VALUE"""),"")</f>
        <v/>
      </c>
      <c r="R521" s="41" t="str">
        <f>IFERROR(__xludf.DUMMYFUNCTION("""COMPUTED_VALUE"""),"")</f>
        <v/>
      </c>
      <c r="S521" s="41" t="str">
        <f>IFERROR(__xludf.DUMMYFUNCTION("""COMPUTED_VALUE"""),"")</f>
        <v/>
      </c>
      <c r="T521" s="41" t="str">
        <f>IFERROR(__xludf.DUMMYFUNCTION("""COMPUTED_VALUE"""),"")</f>
        <v/>
      </c>
      <c r="U521" s="41" t="str">
        <f>IFERROR(__xludf.DUMMYFUNCTION("""COMPUTED_VALUE"""),"")</f>
        <v/>
      </c>
      <c r="V521" s="41" t="str">
        <f>IFERROR(__xludf.DUMMYFUNCTION("""COMPUTED_VALUE"""),"")</f>
        <v/>
      </c>
      <c r="W521" s="41" t="str">
        <f>IFERROR(__xludf.DUMMYFUNCTION("""COMPUTED_VALUE"""),"")</f>
        <v/>
      </c>
      <c r="X521" s="41" t="str">
        <f>IFERROR(__xludf.DUMMYFUNCTION("""COMPUTED_VALUE"""),"")</f>
        <v/>
      </c>
      <c r="Y521" s="41" t="str">
        <f>IFERROR(__xludf.DUMMYFUNCTION("""COMPUTED_VALUE"""),"")</f>
        <v/>
      </c>
      <c r="Z521" s="41" t="str">
        <f>IFERROR(__xludf.DUMMYFUNCTION("""COMPUTED_VALUE"""),"")</f>
        <v/>
      </c>
      <c r="AA521" s="41" t="str">
        <f>IFERROR(__xludf.DUMMYFUNCTION("""COMPUTED_VALUE"""),"")</f>
        <v/>
      </c>
      <c r="AB521" s="38" t="str">
        <f>IFERROR(__xludf.DUMMYFUNCTION("""COMPUTED_VALUE"""),"")</f>
        <v/>
      </c>
    </row>
    <row r="522">
      <c r="A522" s="41" t="str">
        <f>IFERROR(__xludf.DUMMYFUNCTION("""COMPUTED_VALUE"""),"Laravel, Angular ")</f>
        <v>Laravel, Angular </v>
      </c>
      <c r="B522" s="42"/>
      <c r="N522" s="38"/>
      <c r="P522" s="42" t="str">
        <f>IFERROR(__xludf.DUMMYFUNCTION("""COMPUTED_VALUE"""),"python")</f>
        <v>python</v>
      </c>
      <c r="Q522" s="41" t="str">
        <f>IFERROR(__xludf.DUMMYFUNCTION("""COMPUTED_VALUE"""),"")</f>
        <v/>
      </c>
      <c r="R522" s="41" t="str">
        <f>IFERROR(__xludf.DUMMYFUNCTION("""COMPUTED_VALUE"""),"")</f>
        <v/>
      </c>
      <c r="S522" s="41" t="str">
        <f>IFERROR(__xludf.DUMMYFUNCTION("""COMPUTED_VALUE"""),"")</f>
        <v/>
      </c>
      <c r="T522" s="41" t="str">
        <f>IFERROR(__xludf.DUMMYFUNCTION("""COMPUTED_VALUE"""),"")</f>
        <v/>
      </c>
      <c r="U522" s="41" t="str">
        <f>IFERROR(__xludf.DUMMYFUNCTION("""COMPUTED_VALUE"""),"")</f>
        <v/>
      </c>
      <c r="V522" s="41" t="str">
        <f>IFERROR(__xludf.DUMMYFUNCTION("""COMPUTED_VALUE"""),"")</f>
        <v/>
      </c>
      <c r="W522" s="41" t="str">
        <f>IFERROR(__xludf.DUMMYFUNCTION("""COMPUTED_VALUE"""),"")</f>
        <v/>
      </c>
      <c r="X522" s="41" t="str">
        <f>IFERROR(__xludf.DUMMYFUNCTION("""COMPUTED_VALUE"""),"")</f>
        <v/>
      </c>
      <c r="Y522" s="41" t="str">
        <f>IFERROR(__xludf.DUMMYFUNCTION("""COMPUTED_VALUE"""),"")</f>
        <v/>
      </c>
      <c r="Z522" s="41" t="str">
        <f>IFERROR(__xludf.DUMMYFUNCTION("""COMPUTED_VALUE"""),"")</f>
        <v/>
      </c>
      <c r="AA522" s="41" t="str">
        <f>IFERROR(__xludf.DUMMYFUNCTION("""COMPUTED_VALUE"""),"")</f>
        <v/>
      </c>
      <c r="AB522" s="38" t="str">
        <f>IFERROR(__xludf.DUMMYFUNCTION("""COMPUTED_VALUE"""),"")</f>
        <v/>
      </c>
    </row>
    <row r="523">
      <c r="A523" s="41" t="str">
        <f>IFERROR(__xludf.DUMMYFUNCTION("""COMPUTED_VALUE"""),"MEAN, ASP .Net, PHP Laravel, AngularJs, Javascript, MySql, SQL Server ")</f>
        <v>MEAN, ASP .Net, PHP Laravel, AngularJs, Javascript, MySql, SQL Server </v>
      </c>
      <c r="B523" s="42"/>
      <c r="N523" s="38"/>
      <c r="P523" s="46" t="str">
        <f>IFERROR(__xludf.DUMMYFUNCTION("""COMPUTED_VALUE"""),"asp.net")</f>
        <v>asp.net</v>
      </c>
      <c r="Q523" s="41" t="str">
        <f>IFERROR(__xludf.DUMMYFUNCTION("""COMPUTED_VALUE"""),"")</f>
        <v/>
      </c>
      <c r="R523" s="41" t="str">
        <f>IFERROR(__xludf.DUMMYFUNCTION("""COMPUTED_VALUE"""),"")</f>
        <v/>
      </c>
      <c r="S523" s="41" t="str">
        <f>IFERROR(__xludf.DUMMYFUNCTION("""COMPUTED_VALUE"""),"")</f>
        <v/>
      </c>
      <c r="T523" s="41" t="str">
        <f>IFERROR(__xludf.DUMMYFUNCTION("""COMPUTED_VALUE"""),"")</f>
        <v/>
      </c>
      <c r="U523" s="41" t="str">
        <f>IFERROR(__xludf.DUMMYFUNCTION("""COMPUTED_VALUE"""),"")</f>
        <v/>
      </c>
      <c r="V523" s="41" t="str">
        <f>IFERROR(__xludf.DUMMYFUNCTION("""COMPUTED_VALUE"""),"")</f>
        <v/>
      </c>
      <c r="W523" s="41" t="str">
        <f>IFERROR(__xludf.DUMMYFUNCTION("""COMPUTED_VALUE"""),"")</f>
        <v/>
      </c>
      <c r="X523" s="41" t="str">
        <f>IFERROR(__xludf.DUMMYFUNCTION("""COMPUTED_VALUE"""),"")</f>
        <v/>
      </c>
      <c r="Y523" s="41" t="str">
        <f>IFERROR(__xludf.DUMMYFUNCTION("""COMPUTED_VALUE"""),"")</f>
        <v/>
      </c>
      <c r="Z523" s="41" t="str">
        <f>IFERROR(__xludf.DUMMYFUNCTION("""COMPUTED_VALUE"""),"")</f>
        <v/>
      </c>
      <c r="AA523" s="41" t="str">
        <f>IFERROR(__xludf.DUMMYFUNCTION("""COMPUTED_VALUE"""),"")</f>
        <v/>
      </c>
      <c r="AB523" s="38" t="str">
        <f>IFERROR(__xludf.DUMMYFUNCTION("""COMPUTED_VALUE"""),"")</f>
        <v/>
      </c>
    </row>
    <row r="524">
      <c r="A524" s="41" t="str">
        <f>IFERROR(__xludf.DUMMYFUNCTION("""COMPUTED_VALUE"""),"Visual Studio Code, Android Studio, Flutter, Dart")</f>
        <v>Visual Studio Code, Android Studio, Flutter, Dart</v>
      </c>
      <c r="B524" s="42"/>
      <c r="N524" s="38"/>
      <c r="P524" s="42" t="str">
        <f>IFERROR(__xludf.DUMMYFUNCTION("""COMPUTED_VALUE"""),"go")</f>
        <v>go</v>
      </c>
      <c r="Q524" s="41" t="str">
        <f>IFERROR(__xludf.DUMMYFUNCTION("""COMPUTED_VALUE"""),"")</f>
        <v/>
      </c>
      <c r="R524" s="41" t="str">
        <f>IFERROR(__xludf.DUMMYFUNCTION("""COMPUTED_VALUE"""),"")</f>
        <v/>
      </c>
      <c r="S524" s="41" t="str">
        <f>IFERROR(__xludf.DUMMYFUNCTION("""COMPUTED_VALUE"""),"")</f>
        <v/>
      </c>
      <c r="T524" s="41" t="str">
        <f>IFERROR(__xludf.DUMMYFUNCTION("""COMPUTED_VALUE"""),"")</f>
        <v/>
      </c>
      <c r="U524" s="41" t="str">
        <f>IFERROR(__xludf.DUMMYFUNCTION("""COMPUTED_VALUE"""),"")</f>
        <v/>
      </c>
      <c r="V524" s="41" t="str">
        <f>IFERROR(__xludf.DUMMYFUNCTION("""COMPUTED_VALUE"""),"")</f>
        <v/>
      </c>
      <c r="W524" s="41" t="str">
        <f>IFERROR(__xludf.DUMMYFUNCTION("""COMPUTED_VALUE"""),"")</f>
        <v/>
      </c>
      <c r="X524" s="41" t="str">
        <f>IFERROR(__xludf.DUMMYFUNCTION("""COMPUTED_VALUE"""),"")</f>
        <v/>
      </c>
      <c r="Y524" s="41" t="str">
        <f>IFERROR(__xludf.DUMMYFUNCTION("""COMPUTED_VALUE"""),"")</f>
        <v/>
      </c>
      <c r="Z524" s="41" t="str">
        <f>IFERROR(__xludf.DUMMYFUNCTION("""COMPUTED_VALUE"""),"")</f>
        <v/>
      </c>
      <c r="AA524" s="41" t="str">
        <f>IFERROR(__xludf.DUMMYFUNCTION("""COMPUTED_VALUE"""),"")</f>
        <v/>
      </c>
      <c r="AB524" s="38" t="str">
        <f>IFERROR(__xludf.DUMMYFUNCTION("""COMPUTED_VALUE"""),"")</f>
        <v/>
      </c>
    </row>
    <row r="525">
      <c r="A525" s="41" t="str">
        <f>IFERROR(__xludf.DUMMYFUNCTION("""COMPUTED_VALUE"""),"Laravel, VueJs, Gitlab, Restful Api")</f>
        <v>Laravel, VueJs, Gitlab, Restful Api</v>
      </c>
      <c r="B525" s="42"/>
      <c r="N525" s="38"/>
      <c r="P525" s="42" t="str">
        <f>IFERROR(__xludf.DUMMYFUNCTION("""COMPUTED_VALUE"""),"javascript")</f>
        <v>javascript</v>
      </c>
      <c r="Q525" s="41" t="str">
        <f>IFERROR(__xludf.DUMMYFUNCTION("""COMPUTED_VALUE"""),"")</f>
        <v/>
      </c>
      <c r="R525" s="41" t="str">
        <f>IFERROR(__xludf.DUMMYFUNCTION("""COMPUTED_VALUE"""),"")</f>
        <v/>
      </c>
      <c r="S525" s="41" t="str">
        <f>IFERROR(__xludf.DUMMYFUNCTION("""COMPUTED_VALUE"""),"")</f>
        <v/>
      </c>
      <c r="T525" s="41" t="str">
        <f>IFERROR(__xludf.DUMMYFUNCTION("""COMPUTED_VALUE"""),"")</f>
        <v/>
      </c>
      <c r="U525" s="41" t="str">
        <f>IFERROR(__xludf.DUMMYFUNCTION("""COMPUTED_VALUE"""),"")</f>
        <v/>
      </c>
      <c r="V525" s="41" t="str">
        <f>IFERROR(__xludf.DUMMYFUNCTION("""COMPUTED_VALUE"""),"")</f>
        <v/>
      </c>
      <c r="W525" s="41" t="str">
        <f>IFERROR(__xludf.DUMMYFUNCTION("""COMPUTED_VALUE"""),"")</f>
        <v/>
      </c>
      <c r="X525" s="41" t="str">
        <f>IFERROR(__xludf.DUMMYFUNCTION("""COMPUTED_VALUE"""),"")</f>
        <v/>
      </c>
      <c r="Y525" s="41" t="str">
        <f>IFERROR(__xludf.DUMMYFUNCTION("""COMPUTED_VALUE"""),"")</f>
        <v/>
      </c>
      <c r="Z525" s="41" t="str">
        <f>IFERROR(__xludf.DUMMYFUNCTION("""COMPUTED_VALUE"""),"")</f>
        <v/>
      </c>
      <c r="AA525" s="41" t="str">
        <f>IFERROR(__xludf.DUMMYFUNCTION("""COMPUTED_VALUE"""),"")</f>
        <v/>
      </c>
      <c r="AB525" s="38" t="str">
        <f>IFERROR(__xludf.DUMMYFUNCTION("""COMPUTED_VALUE"""),"")</f>
        <v/>
      </c>
    </row>
    <row r="526">
      <c r="A526" s="41" t="str">
        <f>IFERROR(__xludf.DUMMYFUNCTION("""COMPUTED_VALUE"""),"PHP")</f>
        <v>PHP</v>
      </c>
      <c r="B526" s="42"/>
      <c r="N526" s="38"/>
      <c r="P526" s="42" t="str">
        <f>IFERROR(__xludf.DUMMYFUNCTION("""COMPUTED_VALUE"""),"internal")</f>
        <v>internal</v>
      </c>
      <c r="Q526" s="41" t="str">
        <f>IFERROR(__xludf.DUMMYFUNCTION("""COMPUTED_VALUE"""),"")</f>
        <v/>
      </c>
      <c r="R526" s="41" t="str">
        <f>IFERROR(__xludf.DUMMYFUNCTION("""COMPUTED_VALUE"""),"")</f>
        <v/>
      </c>
      <c r="S526" s="41" t="str">
        <f>IFERROR(__xludf.DUMMYFUNCTION("""COMPUTED_VALUE"""),"")</f>
        <v/>
      </c>
      <c r="T526" s="41" t="str">
        <f>IFERROR(__xludf.DUMMYFUNCTION("""COMPUTED_VALUE"""),"")</f>
        <v/>
      </c>
      <c r="U526" s="41" t="str">
        <f>IFERROR(__xludf.DUMMYFUNCTION("""COMPUTED_VALUE"""),"")</f>
        <v/>
      </c>
      <c r="V526" s="41" t="str">
        <f>IFERROR(__xludf.DUMMYFUNCTION("""COMPUTED_VALUE"""),"")</f>
        <v/>
      </c>
      <c r="W526" s="41" t="str">
        <f>IFERROR(__xludf.DUMMYFUNCTION("""COMPUTED_VALUE"""),"")</f>
        <v/>
      </c>
      <c r="X526" s="41" t="str">
        <f>IFERROR(__xludf.DUMMYFUNCTION("""COMPUTED_VALUE"""),"")</f>
        <v/>
      </c>
      <c r="Y526" s="41" t="str">
        <f>IFERROR(__xludf.DUMMYFUNCTION("""COMPUTED_VALUE"""),"")</f>
        <v/>
      </c>
      <c r="Z526" s="41" t="str">
        <f>IFERROR(__xludf.DUMMYFUNCTION("""COMPUTED_VALUE"""),"")</f>
        <v/>
      </c>
      <c r="AA526" s="41" t="str">
        <f>IFERROR(__xludf.DUMMYFUNCTION("""COMPUTED_VALUE"""),"")</f>
        <v/>
      </c>
      <c r="AB526" s="38" t="str">
        <f>IFERROR(__xludf.DUMMYFUNCTION("""COMPUTED_VALUE"""),"")</f>
        <v/>
      </c>
    </row>
    <row r="527">
      <c r="A527" s="41" t="str">
        <f>IFERROR(__xludf.DUMMYFUNCTION("""COMPUTED_VALUE"""),"C#, jQuery")</f>
        <v>C#, jQuery</v>
      </c>
      <c r="B527" s="42"/>
      <c r="N527" s="38"/>
      <c r="P527" s="42" t="str">
        <f>IFERROR(__xludf.DUMMYFUNCTION("""COMPUTED_VALUE"""),"python")</f>
        <v>python</v>
      </c>
      <c r="Q527" s="41" t="str">
        <f>IFERROR(__xludf.DUMMYFUNCTION("""COMPUTED_VALUE"""),"")</f>
        <v/>
      </c>
      <c r="R527" s="41" t="str">
        <f>IFERROR(__xludf.DUMMYFUNCTION("""COMPUTED_VALUE"""),"")</f>
        <v/>
      </c>
      <c r="S527" s="41" t="str">
        <f>IFERROR(__xludf.DUMMYFUNCTION("""COMPUTED_VALUE"""),"")</f>
        <v/>
      </c>
      <c r="T527" s="41" t="str">
        <f>IFERROR(__xludf.DUMMYFUNCTION("""COMPUTED_VALUE"""),"")</f>
        <v/>
      </c>
      <c r="U527" s="41" t="str">
        <f>IFERROR(__xludf.DUMMYFUNCTION("""COMPUTED_VALUE"""),"")</f>
        <v/>
      </c>
      <c r="V527" s="41" t="str">
        <f>IFERROR(__xludf.DUMMYFUNCTION("""COMPUTED_VALUE"""),"")</f>
        <v/>
      </c>
      <c r="W527" s="41" t="str">
        <f>IFERROR(__xludf.DUMMYFUNCTION("""COMPUTED_VALUE"""),"")</f>
        <v/>
      </c>
      <c r="X527" s="41" t="str">
        <f>IFERROR(__xludf.DUMMYFUNCTION("""COMPUTED_VALUE"""),"")</f>
        <v/>
      </c>
      <c r="Y527" s="41" t="str">
        <f>IFERROR(__xludf.DUMMYFUNCTION("""COMPUTED_VALUE"""),"")</f>
        <v/>
      </c>
      <c r="Z527" s="41" t="str">
        <f>IFERROR(__xludf.DUMMYFUNCTION("""COMPUTED_VALUE"""),"")</f>
        <v/>
      </c>
      <c r="AA527" s="41" t="str">
        <f>IFERROR(__xludf.DUMMYFUNCTION("""COMPUTED_VALUE"""),"")</f>
        <v/>
      </c>
      <c r="AB527" s="38" t="str">
        <f>IFERROR(__xludf.DUMMYFUNCTION("""COMPUTED_VALUE"""),"")</f>
        <v/>
      </c>
    </row>
    <row r="528">
      <c r="A528" s="41" t="str">
        <f>IFERROR(__xludf.DUMMYFUNCTION("""COMPUTED_VALUE"""),"Angular, .NET, C#, Azure DevOps")</f>
        <v>Angular, .NET, C#, Azure DevOps</v>
      </c>
      <c r="B528" s="42"/>
      <c r="N528" s="38"/>
      <c r="P528" s="42" t="str">
        <f>IFERROR(__xludf.DUMMYFUNCTION("""COMPUTED_VALUE"""),"ruby")</f>
        <v>ruby</v>
      </c>
      <c r="Q528" s="41" t="str">
        <f>IFERROR(__xludf.DUMMYFUNCTION("""COMPUTED_VALUE"""),"")</f>
        <v/>
      </c>
      <c r="R528" s="41" t="str">
        <f>IFERROR(__xludf.DUMMYFUNCTION("""COMPUTED_VALUE"""),"")</f>
        <v/>
      </c>
      <c r="S528" s="41" t="str">
        <f>IFERROR(__xludf.DUMMYFUNCTION("""COMPUTED_VALUE"""),"")</f>
        <v/>
      </c>
      <c r="T528" s="41" t="str">
        <f>IFERROR(__xludf.DUMMYFUNCTION("""COMPUTED_VALUE"""),"")</f>
        <v/>
      </c>
      <c r="U528" s="41" t="str">
        <f>IFERROR(__xludf.DUMMYFUNCTION("""COMPUTED_VALUE"""),"")</f>
        <v/>
      </c>
      <c r="V528" s="41" t="str">
        <f>IFERROR(__xludf.DUMMYFUNCTION("""COMPUTED_VALUE"""),"")</f>
        <v/>
      </c>
      <c r="W528" s="41" t="str">
        <f>IFERROR(__xludf.DUMMYFUNCTION("""COMPUTED_VALUE"""),"")</f>
        <v/>
      </c>
      <c r="X528" s="41" t="str">
        <f>IFERROR(__xludf.DUMMYFUNCTION("""COMPUTED_VALUE"""),"")</f>
        <v/>
      </c>
      <c r="Y528" s="41" t="str">
        <f>IFERROR(__xludf.DUMMYFUNCTION("""COMPUTED_VALUE"""),"")</f>
        <v/>
      </c>
      <c r="Z528" s="41" t="str">
        <f>IFERROR(__xludf.DUMMYFUNCTION("""COMPUTED_VALUE"""),"")</f>
        <v/>
      </c>
      <c r="AA528" s="41" t="str">
        <f>IFERROR(__xludf.DUMMYFUNCTION("""COMPUTED_VALUE"""),"")</f>
        <v/>
      </c>
      <c r="AB528" s="38" t="str">
        <f>IFERROR(__xludf.DUMMYFUNCTION("""COMPUTED_VALUE"""),"")</f>
        <v/>
      </c>
    </row>
    <row r="529">
      <c r="A529" s="41" t="str">
        <f>IFERROR(__xludf.DUMMYFUNCTION("""COMPUTED_VALUE"""),"AWS, Node.js, TypeScript, React")</f>
        <v>AWS, Node.js, TypeScript, React</v>
      </c>
      <c r="B529" s="42"/>
      <c r="N529" s="38"/>
      <c r="P529" s="42" t="str">
        <f>IFERROR(__xludf.DUMMYFUNCTION("""COMPUTED_VALUE"""),"on")</f>
        <v>on</v>
      </c>
      <c r="Q529" s="41" t="str">
        <f>IFERROR(__xludf.DUMMYFUNCTION("""COMPUTED_VALUE"""),"")</f>
        <v/>
      </c>
      <c r="R529" s="41" t="str">
        <f>IFERROR(__xludf.DUMMYFUNCTION("""COMPUTED_VALUE"""),"")</f>
        <v/>
      </c>
      <c r="S529" s="41" t="str">
        <f>IFERROR(__xludf.DUMMYFUNCTION("""COMPUTED_VALUE"""),"")</f>
        <v/>
      </c>
      <c r="T529" s="41" t="str">
        <f>IFERROR(__xludf.DUMMYFUNCTION("""COMPUTED_VALUE"""),"")</f>
        <v/>
      </c>
      <c r="U529" s="41" t="str">
        <f>IFERROR(__xludf.DUMMYFUNCTION("""COMPUTED_VALUE"""),"")</f>
        <v/>
      </c>
      <c r="V529" s="41" t="str">
        <f>IFERROR(__xludf.DUMMYFUNCTION("""COMPUTED_VALUE"""),"")</f>
        <v/>
      </c>
      <c r="W529" s="41" t="str">
        <f>IFERROR(__xludf.DUMMYFUNCTION("""COMPUTED_VALUE"""),"")</f>
        <v/>
      </c>
      <c r="X529" s="41" t="str">
        <f>IFERROR(__xludf.DUMMYFUNCTION("""COMPUTED_VALUE"""),"")</f>
        <v/>
      </c>
      <c r="Y529" s="41" t="str">
        <f>IFERROR(__xludf.DUMMYFUNCTION("""COMPUTED_VALUE"""),"")</f>
        <v/>
      </c>
      <c r="Z529" s="41" t="str">
        <f>IFERROR(__xludf.DUMMYFUNCTION("""COMPUTED_VALUE"""),"")</f>
        <v/>
      </c>
      <c r="AA529" s="41" t="str">
        <f>IFERROR(__xludf.DUMMYFUNCTION("""COMPUTED_VALUE"""),"")</f>
        <v/>
      </c>
      <c r="AB529" s="38" t="str">
        <f>IFERROR(__xludf.DUMMYFUNCTION("""COMPUTED_VALUE"""),"")</f>
        <v/>
      </c>
    </row>
    <row r="530">
      <c r="A530" s="41" t="str">
        <f>IFERROR(__xludf.DUMMYFUNCTION("""COMPUTED_VALUE"""),"Python, R, Javascript, SQL, Elasticsearch, Postgres, MySQL")</f>
        <v>Python, R, Javascript, SQL, Elasticsearch, Postgres, MySQL</v>
      </c>
      <c r="B530" s="42"/>
      <c r="N530" s="38"/>
      <c r="P530" s="42" t="str">
        <f>IFERROR(__xludf.DUMMYFUNCTION("""COMPUTED_VALUE"""),"rails")</f>
        <v>rails</v>
      </c>
      <c r="Q530" s="41" t="str">
        <f>IFERROR(__xludf.DUMMYFUNCTION("""COMPUTED_VALUE"""),"")</f>
        <v/>
      </c>
      <c r="R530" s="41" t="str">
        <f>IFERROR(__xludf.DUMMYFUNCTION("""COMPUTED_VALUE"""),"")</f>
        <v/>
      </c>
      <c r="S530" s="41" t="str">
        <f>IFERROR(__xludf.DUMMYFUNCTION("""COMPUTED_VALUE"""),"")</f>
        <v/>
      </c>
      <c r="T530" s="41" t="str">
        <f>IFERROR(__xludf.DUMMYFUNCTION("""COMPUTED_VALUE"""),"")</f>
        <v/>
      </c>
      <c r="U530" s="41" t="str">
        <f>IFERROR(__xludf.DUMMYFUNCTION("""COMPUTED_VALUE"""),"")</f>
        <v/>
      </c>
      <c r="V530" s="41" t="str">
        <f>IFERROR(__xludf.DUMMYFUNCTION("""COMPUTED_VALUE"""),"")</f>
        <v/>
      </c>
      <c r="W530" s="41" t="str">
        <f>IFERROR(__xludf.DUMMYFUNCTION("""COMPUTED_VALUE"""),"")</f>
        <v/>
      </c>
      <c r="X530" s="41" t="str">
        <f>IFERROR(__xludf.DUMMYFUNCTION("""COMPUTED_VALUE"""),"")</f>
        <v/>
      </c>
      <c r="Y530" s="41" t="str">
        <f>IFERROR(__xludf.DUMMYFUNCTION("""COMPUTED_VALUE"""),"")</f>
        <v/>
      </c>
      <c r="Z530" s="41" t="str">
        <f>IFERROR(__xludf.DUMMYFUNCTION("""COMPUTED_VALUE"""),"")</f>
        <v/>
      </c>
      <c r="AA530" s="41" t="str">
        <f>IFERROR(__xludf.DUMMYFUNCTION("""COMPUTED_VALUE"""),"")</f>
        <v/>
      </c>
      <c r="AB530" s="38" t="str">
        <f>IFERROR(__xludf.DUMMYFUNCTION("""COMPUTED_VALUE"""),"")</f>
        <v/>
      </c>
    </row>
    <row r="531">
      <c r="A531" s="41" t="str">
        <f>IFERROR(__xludf.DUMMYFUNCTION("""COMPUTED_VALUE"""),"Node.js, typescript, aws")</f>
        <v>Node.js, typescript, aws</v>
      </c>
      <c r="B531" s="42"/>
      <c r="N531" s="38"/>
      <c r="P531" s="42" t="str">
        <f>IFERROR(__xludf.DUMMYFUNCTION("""COMPUTED_VALUE"""),"react")</f>
        <v>react</v>
      </c>
      <c r="Q531" s="41" t="str">
        <f>IFERROR(__xludf.DUMMYFUNCTION("""COMPUTED_VALUE"""),"")</f>
        <v/>
      </c>
      <c r="R531" s="41" t="str">
        <f>IFERROR(__xludf.DUMMYFUNCTION("""COMPUTED_VALUE"""),"")</f>
        <v/>
      </c>
      <c r="S531" s="41" t="str">
        <f>IFERROR(__xludf.DUMMYFUNCTION("""COMPUTED_VALUE"""),"")</f>
        <v/>
      </c>
      <c r="T531" s="41" t="str">
        <f>IFERROR(__xludf.DUMMYFUNCTION("""COMPUTED_VALUE"""),"")</f>
        <v/>
      </c>
      <c r="U531" s="41" t="str">
        <f>IFERROR(__xludf.DUMMYFUNCTION("""COMPUTED_VALUE"""),"")</f>
        <v/>
      </c>
      <c r="V531" s="41" t="str">
        <f>IFERROR(__xludf.DUMMYFUNCTION("""COMPUTED_VALUE"""),"")</f>
        <v/>
      </c>
      <c r="W531" s="41" t="str">
        <f>IFERROR(__xludf.DUMMYFUNCTION("""COMPUTED_VALUE"""),"")</f>
        <v/>
      </c>
      <c r="X531" s="41" t="str">
        <f>IFERROR(__xludf.DUMMYFUNCTION("""COMPUTED_VALUE"""),"")</f>
        <v/>
      </c>
      <c r="Y531" s="41" t="str">
        <f>IFERROR(__xludf.DUMMYFUNCTION("""COMPUTED_VALUE"""),"")</f>
        <v/>
      </c>
      <c r="Z531" s="41" t="str">
        <f>IFERROR(__xludf.DUMMYFUNCTION("""COMPUTED_VALUE"""),"")</f>
        <v/>
      </c>
      <c r="AA531" s="41" t="str">
        <f>IFERROR(__xludf.DUMMYFUNCTION("""COMPUTED_VALUE"""),"")</f>
        <v/>
      </c>
      <c r="AB531" s="38" t="str">
        <f>IFERROR(__xludf.DUMMYFUNCTION("""COMPUTED_VALUE"""),"")</f>
        <v/>
      </c>
    </row>
    <row r="532">
      <c r="A532" s="41" t="str">
        <f>IFERROR(__xludf.DUMMYFUNCTION("""COMPUTED_VALUE"""),"Java, Spring, MySQL, Docker")</f>
        <v>Java, Spring, MySQL, Docker</v>
      </c>
      <c r="B532" s="42"/>
      <c r="N532" s="38"/>
      <c r="P532" s="42" t="str">
        <f>IFERROR(__xludf.DUMMYFUNCTION("""COMPUTED_VALUE"""),"python")</f>
        <v>python</v>
      </c>
      <c r="Q532" s="41" t="str">
        <f>IFERROR(__xludf.DUMMYFUNCTION("""COMPUTED_VALUE"""),"")</f>
        <v/>
      </c>
      <c r="R532" s="41" t="str">
        <f>IFERROR(__xludf.DUMMYFUNCTION("""COMPUTED_VALUE"""),"")</f>
        <v/>
      </c>
      <c r="S532" s="41" t="str">
        <f>IFERROR(__xludf.DUMMYFUNCTION("""COMPUTED_VALUE"""),"")</f>
        <v/>
      </c>
      <c r="T532" s="41" t="str">
        <f>IFERROR(__xludf.DUMMYFUNCTION("""COMPUTED_VALUE"""),"")</f>
        <v/>
      </c>
      <c r="U532" s="41" t="str">
        <f>IFERROR(__xludf.DUMMYFUNCTION("""COMPUTED_VALUE"""),"")</f>
        <v/>
      </c>
      <c r="V532" s="41" t="str">
        <f>IFERROR(__xludf.DUMMYFUNCTION("""COMPUTED_VALUE"""),"")</f>
        <v/>
      </c>
      <c r="W532" s="41" t="str">
        <f>IFERROR(__xludf.DUMMYFUNCTION("""COMPUTED_VALUE"""),"")</f>
        <v/>
      </c>
      <c r="X532" s="41" t="str">
        <f>IFERROR(__xludf.DUMMYFUNCTION("""COMPUTED_VALUE"""),"")</f>
        <v/>
      </c>
      <c r="Y532" s="41" t="str">
        <f>IFERROR(__xludf.DUMMYFUNCTION("""COMPUTED_VALUE"""),"")</f>
        <v/>
      </c>
      <c r="Z532" s="41" t="str">
        <f>IFERROR(__xludf.DUMMYFUNCTION("""COMPUTED_VALUE"""),"")</f>
        <v/>
      </c>
      <c r="AA532" s="41" t="str">
        <f>IFERROR(__xludf.DUMMYFUNCTION("""COMPUTED_VALUE"""),"")</f>
        <v/>
      </c>
      <c r="AB532" s="38" t="str">
        <f>IFERROR(__xludf.DUMMYFUNCTION("""COMPUTED_VALUE"""),"")</f>
        <v/>
      </c>
    </row>
    <row r="533">
      <c r="A533" s="41" t="str">
        <f>IFERROR(__xludf.DUMMYFUNCTION("""COMPUTED_VALUE"""),".Net Core, MySql")</f>
        <v>.Net Core, MySql</v>
      </c>
      <c r="B533" s="42"/>
      <c r="N533" s="38"/>
      <c r="P533" s="42" t="str">
        <f>IFERROR(__xludf.DUMMYFUNCTION("""COMPUTED_VALUE"""),"aws")</f>
        <v>aws</v>
      </c>
      <c r="Q533" s="41" t="str">
        <f>IFERROR(__xludf.DUMMYFUNCTION("""COMPUTED_VALUE"""),"")</f>
        <v/>
      </c>
      <c r="R533" s="41" t="str">
        <f>IFERROR(__xludf.DUMMYFUNCTION("""COMPUTED_VALUE"""),"")</f>
        <v/>
      </c>
      <c r="S533" s="41" t="str">
        <f>IFERROR(__xludf.DUMMYFUNCTION("""COMPUTED_VALUE"""),"")</f>
        <v/>
      </c>
      <c r="T533" s="41" t="str">
        <f>IFERROR(__xludf.DUMMYFUNCTION("""COMPUTED_VALUE"""),"")</f>
        <v/>
      </c>
      <c r="U533" s="41" t="str">
        <f>IFERROR(__xludf.DUMMYFUNCTION("""COMPUTED_VALUE"""),"")</f>
        <v/>
      </c>
      <c r="V533" s="41" t="str">
        <f>IFERROR(__xludf.DUMMYFUNCTION("""COMPUTED_VALUE"""),"")</f>
        <v/>
      </c>
      <c r="W533" s="41" t="str">
        <f>IFERROR(__xludf.DUMMYFUNCTION("""COMPUTED_VALUE"""),"")</f>
        <v/>
      </c>
      <c r="X533" s="41" t="str">
        <f>IFERROR(__xludf.DUMMYFUNCTION("""COMPUTED_VALUE"""),"")</f>
        <v/>
      </c>
      <c r="Y533" s="41" t="str">
        <f>IFERROR(__xludf.DUMMYFUNCTION("""COMPUTED_VALUE"""),"")</f>
        <v/>
      </c>
      <c r="Z533" s="41" t="str">
        <f>IFERROR(__xludf.DUMMYFUNCTION("""COMPUTED_VALUE"""),"")</f>
        <v/>
      </c>
      <c r="AA533" s="41" t="str">
        <f>IFERROR(__xludf.DUMMYFUNCTION("""COMPUTED_VALUE"""),"")</f>
        <v/>
      </c>
      <c r="AB533" s="38" t="str">
        <f>IFERROR(__xludf.DUMMYFUNCTION("""COMPUTED_VALUE"""),"")</f>
        <v/>
      </c>
    </row>
    <row r="534">
      <c r="A534" s="41" t="str">
        <f>IFERROR(__xludf.DUMMYFUNCTION("""COMPUTED_VALUE"""),"Ruby on Rails, Ruby, Postgresql, bash, shell")</f>
        <v>Ruby on Rails, Ruby, Postgresql, bash, shell</v>
      </c>
      <c r="B534" s="42"/>
      <c r="N534" s="38"/>
      <c r="P534" s="42" t="str">
        <f>IFERROR(__xludf.DUMMYFUNCTION("""COMPUTED_VALUE"""),"web")</f>
        <v>web</v>
      </c>
      <c r="Q534" s="41" t="str">
        <f>IFERROR(__xludf.DUMMYFUNCTION("""COMPUTED_VALUE"""),"")</f>
        <v/>
      </c>
      <c r="R534" s="41" t="str">
        <f>IFERROR(__xludf.DUMMYFUNCTION("""COMPUTED_VALUE"""),"")</f>
        <v/>
      </c>
      <c r="S534" s="41" t="str">
        <f>IFERROR(__xludf.DUMMYFUNCTION("""COMPUTED_VALUE"""),"")</f>
        <v/>
      </c>
      <c r="T534" s="41" t="str">
        <f>IFERROR(__xludf.DUMMYFUNCTION("""COMPUTED_VALUE"""),"")</f>
        <v/>
      </c>
      <c r="U534" s="41" t="str">
        <f>IFERROR(__xludf.DUMMYFUNCTION("""COMPUTED_VALUE"""),"")</f>
        <v/>
      </c>
      <c r="V534" s="41" t="str">
        <f>IFERROR(__xludf.DUMMYFUNCTION("""COMPUTED_VALUE"""),"")</f>
        <v/>
      </c>
      <c r="W534" s="41" t="str">
        <f>IFERROR(__xludf.DUMMYFUNCTION("""COMPUTED_VALUE"""),"")</f>
        <v/>
      </c>
      <c r="X534" s="41" t="str">
        <f>IFERROR(__xludf.DUMMYFUNCTION("""COMPUTED_VALUE"""),"")</f>
        <v/>
      </c>
      <c r="Y534" s="41" t="str">
        <f>IFERROR(__xludf.DUMMYFUNCTION("""COMPUTED_VALUE"""),"")</f>
        <v/>
      </c>
      <c r="Z534" s="41" t="str">
        <f>IFERROR(__xludf.DUMMYFUNCTION("""COMPUTED_VALUE"""),"")</f>
        <v/>
      </c>
      <c r="AA534" s="41" t="str">
        <f>IFERROR(__xludf.DUMMYFUNCTION("""COMPUTED_VALUE"""),"")</f>
        <v/>
      </c>
      <c r="AB534" s="38" t="str">
        <f>IFERROR(__xludf.DUMMYFUNCTION("""COMPUTED_VALUE"""),"")</f>
        <v/>
      </c>
    </row>
    <row r="535">
      <c r="A535" s="41" t="str">
        <f>IFERROR(__xludf.DUMMYFUNCTION("""COMPUTED_VALUE"""),"python, node.js, javascripts, mysql, etc")</f>
        <v>python, node.js, javascripts, mysql, etc</v>
      </c>
      <c r="B535" s="42"/>
      <c r="N535" s="38"/>
      <c r="P535" s="42" t="str">
        <f>IFERROR(__xludf.DUMMYFUNCTION("""COMPUTED_VALUE"""),"technologies")</f>
        <v>technologies</v>
      </c>
      <c r="Q535" s="41" t="str">
        <f>IFERROR(__xludf.DUMMYFUNCTION("""COMPUTED_VALUE"""),"")</f>
        <v/>
      </c>
      <c r="R535" s="41" t="str">
        <f>IFERROR(__xludf.DUMMYFUNCTION("""COMPUTED_VALUE"""),"")</f>
        <v/>
      </c>
      <c r="S535" s="41" t="str">
        <f>IFERROR(__xludf.DUMMYFUNCTION("""COMPUTED_VALUE"""),"")</f>
        <v/>
      </c>
      <c r="T535" s="41" t="str">
        <f>IFERROR(__xludf.DUMMYFUNCTION("""COMPUTED_VALUE"""),"")</f>
        <v/>
      </c>
      <c r="U535" s="41" t="str">
        <f>IFERROR(__xludf.DUMMYFUNCTION("""COMPUTED_VALUE"""),"")</f>
        <v/>
      </c>
      <c r="V535" s="41" t="str">
        <f>IFERROR(__xludf.DUMMYFUNCTION("""COMPUTED_VALUE"""),"")</f>
        <v/>
      </c>
      <c r="W535" s="41" t="str">
        <f>IFERROR(__xludf.DUMMYFUNCTION("""COMPUTED_VALUE"""),"")</f>
        <v/>
      </c>
      <c r="X535" s="41" t="str">
        <f>IFERROR(__xludf.DUMMYFUNCTION("""COMPUTED_VALUE"""),"")</f>
        <v/>
      </c>
      <c r="Y535" s="41" t="str">
        <f>IFERROR(__xludf.DUMMYFUNCTION("""COMPUTED_VALUE"""),"")</f>
        <v/>
      </c>
      <c r="Z535" s="41" t="str">
        <f>IFERROR(__xludf.DUMMYFUNCTION("""COMPUTED_VALUE"""),"")</f>
        <v/>
      </c>
      <c r="AA535" s="41" t="str">
        <f>IFERROR(__xludf.DUMMYFUNCTION("""COMPUTED_VALUE"""),"")</f>
        <v/>
      </c>
      <c r="AB535" s="38" t="str">
        <f>IFERROR(__xludf.DUMMYFUNCTION("""COMPUTED_VALUE"""),"")</f>
        <v/>
      </c>
    </row>
    <row r="536">
      <c r="A536" s="41" t="str">
        <f>IFERROR(__xludf.DUMMYFUNCTION("""COMPUTED_VALUE"""),"C#")</f>
        <v>C#</v>
      </c>
      <c r="B536" s="42"/>
      <c r="N536" s="38"/>
      <c r="P536" s="42" t="str">
        <f>IFERROR(__xludf.DUMMYFUNCTION("""COMPUTED_VALUE"""),"(laravel")</f>
        <v>(laravel</v>
      </c>
      <c r="Q536" s="41" t="str">
        <f>IFERROR(__xludf.DUMMYFUNCTION("""COMPUTED_VALUE"""),"")</f>
        <v/>
      </c>
      <c r="R536" s="41" t="str">
        <f>IFERROR(__xludf.DUMMYFUNCTION("""COMPUTED_VALUE"""),"")</f>
        <v/>
      </c>
      <c r="S536" s="41" t="str">
        <f>IFERROR(__xludf.DUMMYFUNCTION("""COMPUTED_VALUE"""),"")</f>
        <v/>
      </c>
      <c r="T536" s="41" t="str">
        <f>IFERROR(__xludf.DUMMYFUNCTION("""COMPUTED_VALUE"""),"")</f>
        <v/>
      </c>
      <c r="U536" s="41" t="str">
        <f>IFERROR(__xludf.DUMMYFUNCTION("""COMPUTED_VALUE"""),"")</f>
        <v/>
      </c>
      <c r="V536" s="41" t="str">
        <f>IFERROR(__xludf.DUMMYFUNCTION("""COMPUTED_VALUE"""),"")</f>
        <v/>
      </c>
      <c r="W536" s="41" t="str">
        <f>IFERROR(__xludf.DUMMYFUNCTION("""COMPUTED_VALUE"""),"")</f>
        <v/>
      </c>
      <c r="X536" s="41" t="str">
        <f>IFERROR(__xludf.DUMMYFUNCTION("""COMPUTED_VALUE"""),"")</f>
        <v/>
      </c>
      <c r="Y536" s="41" t="str">
        <f>IFERROR(__xludf.DUMMYFUNCTION("""COMPUTED_VALUE"""),"")</f>
        <v/>
      </c>
      <c r="Z536" s="41" t="str">
        <f>IFERROR(__xludf.DUMMYFUNCTION("""COMPUTED_VALUE"""),"")</f>
        <v/>
      </c>
      <c r="AA536" s="41" t="str">
        <f>IFERROR(__xludf.DUMMYFUNCTION("""COMPUTED_VALUE"""),"")</f>
        <v/>
      </c>
      <c r="AB536" s="38" t="str">
        <f>IFERROR(__xludf.DUMMYFUNCTION("""COMPUTED_VALUE"""),"")</f>
        <v/>
      </c>
    </row>
    <row r="537">
      <c r="A537" s="41" t="str">
        <f>IFERROR(__xludf.DUMMYFUNCTION("""COMPUTED_VALUE"""),"php laravel, vuejs")</f>
        <v>php laravel, vuejs</v>
      </c>
      <c r="B537" s="42"/>
      <c r="N537" s="38"/>
      <c r="P537" s="42" t="str">
        <f>IFERROR(__xludf.DUMMYFUNCTION("""COMPUTED_VALUE"""),"kotlin")</f>
        <v>kotlin</v>
      </c>
      <c r="Q537" s="41" t="str">
        <f>IFERROR(__xludf.DUMMYFUNCTION("""COMPUTED_VALUE"""),"")</f>
        <v/>
      </c>
      <c r="R537" s="41" t="str">
        <f>IFERROR(__xludf.DUMMYFUNCTION("""COMPUTED_VALUE"""),"")</f>
        <v/>
      </c>
      <c r="S537" s="41" t="str">
        <f>IFERROR(__xludf.DUMMYFUNCTION("""COMPUTED_VALUE"""),"")</f>
        <v/>
      </c>
      <c r="T537" s="41" t="str">
        <f>IFERROR(__xludf.DUMMYFUNCTION("""COMPUTED_VALUE"""),"")</f>
        <v/>
      </c>
      <c r="U537" s="41" t="str">
        <f>IFERROR(__xludf.DUMMYFUNCTION("""COMPUTED_VALUE"""),"")</f>
        <v/>
      </c>
      <c r="V537" s="41" t="str">
        <f>IFERROR(__xludf.DUMMYFUNCTION("""COMPUTED_VALUE"""),"")</f>
        <v/>
      </c>
      <c r="W537" s="41" t="str">
        <f>IFERROR(__xludf.DUMMYFUNCTION("""COMPUTED_VALUE"""),"")</f>
        <v/>
      </c>
      <c r="X537" s="41" t="str">
        <f>IFERROR(__xludf.DUMMYFUNCTION("""COMPUTED_VALUE"""),"")</f>
        <v/>
      </c>
      <c r="Y537" s="41" t="str">
        <f>IFERROR(__xludf.DUMMYFUNCTION("""COMPUTED_VALUE"""),"")</f>
        <v/>
      </c>
      <c r="Z537" s="41" t="str">
        <f>IFERROR(__xludf.DUMMYFUNCTION("""COMPUTED_VALUE"""),"")</f>
        <v/>
      </c>
      <c r="AA537" s="41" t="str">
        <f>IFERROR(__xludf.DUMMYFUNCTION("""COMPUTED_VALUE"""),"")</f>
        <v/>
      </c>
      <c r="AB537" s="38" t="str">
        <f>IFERROR(__xludf.DUMMYFUNCTION("""COMPUTED_VALUE"""),"")</f>
        <v/>
      </c>
    </row>
    <row r="538">
      <c r="A538" s="41" t="str">
        <f>IFERROR(__xludf.DUMMYFUNCTION("""COMPUTED_VALUE"""),"JavaScript, PHP, Docker, Nuxt, Inertia")</f>
        <v>JavaScript, PHP, Docker, Nuxt, Inertia</v>
      </c>
      <c r="B538" s="42"/>
      <c r="N538" s="38"/>
      <c r="P538" s="42" t="str">
        <f>IFERROR(__xludf.DUMMYFUNCTION("""COMPUTED_VALUE"""),".net")</f>
        <v>.net</v>
      </c>
      <c r="Q538" s="41" t="str">
        <f>IFERROR(__xludf.DUMMYFUNCTION("""COMPUTED_VALUE"""),"")</f>
        <v/>
      </c>
      <c r="R538" s="41" t="str">
        <f>IFERROR(__xludf.DUMMYFUNCTION("""COMPUTED_VALUE"""),"")</f>
        <v/>
      </c>
      <c r="S538" s="41" t="str">
        <f>IFERROR(__xludf.DUMMYFUNCTION("""COMPUTED_VALUE"""),"")</f>
        <v/>
      </c>
      <c r="T538" s="41" t="str">
        <f>IFERROR(__xludf.DUMMYFUNCTION("""COMPUTED_VALUE"""),"")</f>
        <v/>
      </c>
      <c r="U538" s="41" t="str">
        <f>IFERROR(__xludf.DUMMYFUNCTION("""COMPUTED_VALUE"""),"")</f>
        <v/>
      </c>
      <c r="V538" s="41" t="str">
        <f>IFERROR(__xludf.DUMMYFUNCTION("""COMPUTED_VALUE"""),"")</f>
        <v/>
      </c>
      <c r="W538" s="41" t="str">
        <f>IFERROR(__xludf.DUMMYFUNCTION("""COMPUTED_VALUE"""),"")</f>
        <v/>
      </c>
      <c r="X538" s="41" t="str">
        <f>IFERROR(__xludf.DUMMYFUNCTION("""COMPUTED_VALUE"""),"")</f>
        <v/>
      </c>
      <c r="Y538" s="41" t="str">
        <f>IFERROR(__xludf.DUMMYFUNCTION("""COMPUTED_VALUE"""),"")</f>
        <v/>
      </c>
      <c r="Z538" s="41" t="str">
        <f>IFERROR(__xludf.DUMMYFUNCTION("""COMPUTED_VALUE"""),"")</f>
        <v/>
      </c>
      <c r="AA538" s="41" t="str">
        <f>IFERROR(__xludf.DUMMYFUNCTION("""COMPUTED_VALUE"""),"")</f>
        <v/>
      </c>
      <c r="AB538" s="38" t="str">
        <f>IFERROR(__xludf.DUMMYFUNCTION("""COMPUTED_VALUE"""),"")</f>
        <v/>
      </c>
    </row>
    <row r="539">
      <c r="A539" s="41" t="str">
        <f>IFERROR(__xludf.DUMMYFUNCTION("""COMPUTED_VALUE"""),".net core, angular, c#")</f>
        <v>.net core, angular, c#</v>
      </c>
      <c r="B539" s="42"/>
      <c r="N539" s="38"/>
      <c r="P539" s="42" t="str">
        <f>IFERROR(__xludf.DUMMYFUNCTION("""COMPUTED_VALUE"""),".net")</f>
        <v>.net</v>
      </c>
      <c r="Q539" s="41" t="str">
        <f>IFERROR(__xludf.DUMMYFUNCTION("""COMPUTED_VALUE"""),"")</f>
        <v/>
      </c>
      <c r="R539" s="41" t="str">
        <f>IFERROR(__xludf.DUMMYFUNCTION("""COMPUTED_VALUE"""),"")</f>
        <v/>
      </c>
      <c r="S539" s="41" t="str">
        <f>IFERROR(__xludf.DUMMYFUNCTION("""COMPUTED_VALUE"""),"")</f>
        <v/>
      </c>
      <c r="T539" s="41" t="str">
        <f>IFERROR(__xludf.DUMMYFUNCTION("""COMPUTED_VALUE"""),"")</f>
        <v/>
      </c>
      <c r="U539" s="41" t="str">
        <f>IFERROR(__xludf.DUMMYFUNCTION("""COMPUTED_VALUE"""),"")</f>
        <v/>
      </c>
      <c r="V539" s="41" t="str">
        <f>IFERROR(__xludf.DUMMYFUNCTION("""COMPUTED_VALUE"""),"")</f>
        <v/>
      </c>
      <c r="W539" s="41" t="str">
        <f>IFERROR(__xludf.DUMMYFUNCTION("""COMPUTED_VALUE"""),"")</f>
        <v/>
      </c>
      <c r="X539" s="41" t="str">
        <f>IFERROR(__xludf.DUMMYFUNCTION("""COMPUTED_VALUE"""),"")</f>
        <v/>
      </c>
      <c r="Y539" s="41" t="str">
        <f>IFERROR(__xludf.DUMMYFUNCTION("""COMPUTED_VALUE"""),"")</f>
        <v/>
      </c>
      <c r="Z539" s="41" t="str">
        <f>IFERROR(__xludf.DUMMYFUNCTION("""COMPUTED_VALUE"""),"")</f>
        <v/>
      </c>
      <c r="AA539" s="41" t="str">
        <f>IFERROR(__xludf.DUMMYFUNCTION("""COMPUTED_VALUE"""),"")</f>
        <v/>
      </c>
      <c r="AB539" s="38" t="str">
        <f>IFERROR(__xludf.DUMMYFUNCTION("""COMPUTED_VALUE"""),"")</f>
        <v/>
      </c>
    </row>
    <row r="540">
      <c r="A540" s="41" t="str">
        <f>IFERROR(__xludf.DUMMYFUNCTION("""COMPUTED_VALUE"""),"Node Js, React Js, MySQL, AWS, Firebase")</f>
        <v>Node Js, React Js, MySQL, AWS, Firebase</v>
      </c>
      <c r="B540" s="42"/>
      <c r="N540" s="38"/>
      <c r="P540" s="42" t="str">
        <f>IFERROR(__xludf.DUMMYFUNCTION("""COMPUTED_VALUE"""),"sqlserver")</f>
        <v>sqlserver</v>
      </c>
      <c r="Q540" s="41" t="str">
        <f>IFERROR(__xludf.DUMMYFUNCTION("""COMPUTED_VALUE"""),"")</f>
        <v/>
      </c>
      <c r="R540" s="41" t="str">
        <f>IFERROR(__xludf.DUMMYFUNCTION("""COMPUTED_VALUE"""),"")</f>
        <v/>
      </c>
      <c r="S540" s="41" t="str">
        <f>IFERROR(__xludf.DUMMYFUNCTION("""COMPUTED_VALUE"""),"")</f>
        <v/>
      </c>
      <c r="T540" s="41" t="str">
        <f>IFERROR(__xludf.DUMMYFUNCTION("""COMPUTED_VALUE"""),"")</f>
        <v/>
      </c>
      <c r="U540" s="41" t="str">
        <f>IFERROR(__xludf.DUMMYFUNCTION("""COMPUTED_VALUE"""),"")</f>
        <v/>
      </c>
      <c r="V540" s="41" t="str">
        <f>IFERROR(__xludf.DUMMYFUNCTION("""COMPUTED_VALUE"""),"")</f>
        <v/>
      </c>
      <c r="W540" s="41" t="str">
        <f>IFERROR(__xludf.DUMMYFUNCTION("""COMPUTED_VALUE"""),"")</f>
        <v/>
      </c>
      <c r="X540" s="41" t="str">
        <f>IFERROR(__xludf.DUMMYFUNCTION("""COMPUTED_VALUE"""),"")</f>
        <v/>
      </c>
      <c r="Y540" s="41" t="str">
        <f>IFERROR(__xludf.DUMMYFUNCTION("""COMPUTED_VALUE"""),"")</f>
        <v/>
      </c>
      <c r="Z540" s="41" t="str">
        <f>IFERROR(__xludf.DUMMYFUNCTION("""COMPUTED_VALUE"""),"")</f>
        <v/>
      </c>
      <c r="AA540" s="41" t="str">
        <f>IFERROR(__xludf.DUMMYFUNCTION("""COMPUTED_VALUE"""),"")</f>
        <v/>
      </c>
      <c r="AB540" s="38" t="str">
        <f>IFERROR(__xludf.DUMMYFUNCTION("""COMPUTED_VALUE"""),"")</f>
        <v/>
      </c>
    </row>
    <row r="541">
      <c r="A541" s="41" t="str">
        <f>IFERROR(__xludf.DUMMYFUNCTION("""COMPUTED_VALUE"""),"Golang, Angular, Mysql")</f>
        <v>Golang, Angular, Mysql</v>
      </c>
      <c r="B541" s="42"/>
      <c r="N541" s="38"/>
      <c r="P541" s="42" t="str">
        <f>IFERROR(__xludf.DUMMYFUNCTION("""COMPUTED_VALUE"""),"php")</f>
        <v>php</v>
      </c>
      <c r="Q541" s="41" t="str">
        <f>IFERROR(__xludf.DUMMYFUNCTION("""COMPUTED_VALUE"""),"")</f>
        <v/>
      </c>
      <c r="R541" s="41" t="str">
        <f>IFERROR(__xludf.DUMMYFUNCTION("""COMPUTED_VALUE"""),"")</f>
        <v/>
      </c>
      <c r="S541" s="41" t="str">
        <f>IFERROR(__xludf.DUMMYFUNCTION("""COMPUTED_VALUE"""),"")</f>
        <v/>
      </c>
      <c r="T541" s="41" t="str">
        <f>IFERROR(__xludf.DUMMYFUNCTION("""COMPUTED_VALUE"""),"")</f>
        <v/>
      </c>
      <c r="U541" s="41" t="str">
        <f>IFERROR(__xludf.DUMMYFUNCTION("""COMPUTED_VALUE"""),"")</f>
        <v/>
      </c>
      <c r="V541" s="41" t="str">
        <f>IFERROR(__xludf.DUMMYFUNCTION("""COMPUTED_VALUE"""),"")</f>
        <v/>
      </c>
      <c r="W541" s="41" t="str">
        <f>IFERROR(__xludf.DUMMYFUNCTION("""COMPUTED_VALUE"""),"")</f>
        <v/>
      </c>
      <c r="X541" s="41" t="str">
        <f>IFERROR(__xludf.DUMMYFUNCTION("""COMPUTED_VALUE"""),"")</f>
        <v/>
      </c>
      <c r="Y541" s="41" t="str">
        <f>IFERROR(__xludf.DUMMYFUNCTION("""COMPUTED_VALUE"""),"")</f>
        <v/>
      </c>
      <c r="Z541" s="41" t="str">
        <f>IFERROR(__xludf.DUMMYFUNCTION("""COMPUTED_VALUE"""),"")</f>
        <v/>
      </c>
      <c r="AA541" s="41" t="str">
        <f>IFERROR(__xludf.DUMMYFUNCTION("""COMPUTED_VALUE"""),"")</f>
        <v/>
      </c>
      <c r="AB541" s="38" t="str">
        <f>IFERROR(__xludf.DUMMYFUNCTION("""COMPUTED_VALUE"""),"")</f>
        <v/>
      </c>
    </row>
    <row r="542">
      <c r="A542" s="41" t="str">
        <f>IFERROR(__xludf.DUMMYFUNCTION("""COMPUTED_VALUE"""),"PHP, Yii, Javascript, MySQL")</f>
        <v>PHP, Yii, Javascript, MySQL</v>
      </c>
      <c r="B542" s="42"/>
      <c r="N542" s="38"/>
      <c r="P542" s="42" t="str">
        <f>IFERROR(__xludf.DUMMYFUNCTION("""COMPUTED_VALUE"""),"php")</f>
        <v>php</v>
      </c>
      <c r="Q542" s="41" t="str">
        <f>IFERROR(__xludf.DUMMYFUNCTION("""COMPUTED_VALUE"""),"")</f>
        <v/>
      </c>
      <c r="R542" s="41" t="str">
        <f>IFERROR(__xludf.DUMMYFUNCTION("""COMPUTED_VALUE"""),"")</f>
        <v/>
      </c>
      <c r="S542" s="41" t="str">
        <f>IFERROR(__xludf.DUMMYFUNCTION("""COMPUTED_VALUE"""),"")</f>
        <v/>
      </c>
      <c r="T542" s="41" t="str">
        <f>IFERROR(__xludf.DUMMYFUNCTION("""COMPUTED_VALUE"""),"")</f>
        <v/>
      </c>
      <c r="U542" s="41" t="str">
        <f>IFERROR(__xludf.DUMMYFUNCTION("""COMPUTED_VALUE"""),"")</f>
        <v/>
      </c>
      <c r="V542" s="41" t="str">
        <f>IFERROR(__xludf.DUMMYFUNCTION("""COMPUTED_VALUE"""),"")</f>
        <v/>
      </c>
      <c r="W542" s="41" t="str">
        <f>IFERROR(__xludf.DUMMYFUNCTION("""COMPUTED_VALUE"""),"")</f>
        <v/>
      </c>
      <c r="X542" s="41" t="str">
        <f>IFERROR(__xludf.DUMMYFUNCTION("""COMPUTED_VALUE"""),"")</f>
        <v/>
      </c>
      <c r="Y542" s="41" t="str">
        <f>IFERROR(__xludf.DUMMYFUNCTION("""COMPUTED_VALUE"""),"")</f>
        <v/>
      </c>
      <c r="Z542" s="41" t="str">
        <f>IFERROR(__xludf.DUMMYFUNCTION("""COMPUTED_VALUE"""),"")</f>
        <v/>
      </c>
      <c r="AA542" s="41" t="str">
        <f>IFERROR(__xludf.DUMMYFUNCTION("""COMPUTED_VALUE"""),"")</f>
        <v/>
      </c>
      <c r="AB542" s="38" t="str">
        <f>IFERROR(__xludf.DUMMYFUNCTION("""COMPUTED_VALUE"""),"")</f>
        <v/>
      </c>
    </row>
    <row r="543">
      <c r="A543" s="41" t="str">
        <f>IFERROR(__xludf.DUMMYFUNCTION("""COMPUTED_VALUE"""),"WORDPRESS, PARDOT, HUBSPOT, GOOGLE ANALYTIC, GOOGLE TAG MANAGER")</f>
        <v>WORDPRESS, PARDOT, HUBSPOT, GOOGLE ANALYTIC, GOOGLE TAG MANAGER</v>
      </c>
      <c r="B543" s="42"/>
      <c r="N543" s="38"/>
      <c r="P543" s="42" t="str">
        <f>IFERROR(__xludf.DUMMYFUNCTION("""COMPUTED_VALUE"""),"react")</f>
        <v>react</v>
      </c>
      <c r="Q543" s="41" t="str">
        <f>IFERROR(__xludf.DUMMYFUNCTION("""COMPUTED_VALUE"""),"")</f>
        <v/>
      </c>
      <c r="R543" s="41" t="str">
        <f>IFERROR(__xludf.DUMMYFUNCTION("""COMPUTED_VALUE"""),"")</f>
        <v/>
      </c>
      <c r="S543" s="41" t="str">
        <f>IFERROR(__xludf.DUMMYFUNCTION("""COMPUTED_VALUE"""),"")</f>
        <v/>
      </c>
      <c r="T543" s="41" t="str">
        <f>IFERROR(__xludf.DUMMYFUNCTION("""COMPUTED_VALUE"""),"")</f>
        <v/>
      </c>
      <c r="U543" s="41" t="str">
        <f>IFERROR(__xludf.DUMMYFUNCTION("""COMPUTED_VALUE"""),"")</f>
        <v/>
      </c>
      <c r="V543" s="41" t="str">
        <f>IFERROR(__xludf.DUMMYFUNCTION("""COMPUTED_VALUE"""),"")</f>
        <v/>
      </c>
      <c r="W543" s="41" t="str">
        <f>IFERROR(__xludf.DUMMYFUNCTION("""COMPUTED_VALUE"""),"")</f>
        <v/>
      </c>
      <c r="X543" s="41" t="str">
        <f>IFERROR(__xludf.DUMMYFUNCTION("""COMPUTED_VALUE"""),"")</f>
        <v/>
      </c>
      <c r="Y543" s="41" t="str">
        <f>IFERROR(__xludf.DUMMYFUNCTION("""COMPUTED_VALUE"""),"")</f>
        <v/>
      </c>
      <c r="Z543" s="41" t="str">
        <f>IFERROR(__xludf.DUMMYFUNCTION("""COMPUTED_VALUE"""),"")</f>
        <v/>
      </c>
      <c r="AA543" s="41" t="str">
        <f>IFERROR(__xludf.DUMMYFUNCTION("""COMPUTED_VALUE"""),"")</f>
        <v/>
      </c>
      <c r="AB543" s="38" t="str">
        <f>IFERROR(__xludf.DUMMYFUNCTION("""COMPUTED_VALUE"""),"")</f>
        <v/>
      </c>
    </row>
    <row r="544">
      <c r="A544" s="41" t="str">
        <f>IFERROR(__xludf.DUMMYFUNCTION("""COMPUTED_VALUE"""),"Java, linux")</f>
        <v>Java, linux</v>
      </c>
      <c r="B544" s="42"/>
      <c r="N544" s="38"/>
      <c r="P544" s="42" t="str">
        <f>IFERROR(__xludf.DUMMYFUNCTION("""COMPUTED_VALUE"""),"native")</f>
        <v>native</v>
      </c>
      <c r="Q544" s="41" t="str">
        <f>IFERROR(__xludf.DUMMYFUNCTION("""COMPUTED_VALUE"""),"")</f>
        <v/>
      </c>
      <c r="R544" s="41" t="str">
        <f>IFERROR(__xludf.DUMMYFUNCTION("""COMPUTED_VALUE"""),"")</f>
        <v/>
      </c>
      <c r="S544" s="41" t="str">
        <f>IFERROR(__xludf.DUMMYFUNCTION("""COMPUTED_VALUE"""),"")</f>
        <v/>
      </c>
      <c r="T544" s="41" t="str">
        <f>IFERROR(__xludf.DUMMYFUNCTION("""COMPUTED_VALUE"""),"")</f>
        <v/>
      </c>
      <c r="U544" s="41" t="str">
        <f>IFERROR(__xludf.DUMMYFUNCTION("""COMPUTED_VALUE"""),"")</f>
        <v/>
      </c>
      <c r="V544" s="41" t="str">
        <f>IFERROR(__xludf.DUMMYFUNCTION("""COMPUTED_VALUE"""),"")</f>
        <v/>
      </c>
      <c r="W544" s="41" t="str">
        <f>IFERROR(__xludf.DUMMYFUNCTION("""COMPUTED_VALUE"""),"")</f>
        <v/>
      </c>
      <c r="X544" s="41" t="str">
        <f>IFERROR(__xludf.DUMMYFUNCTION("""COMPUTED_VALUE"""),"")</f>
        <v/>
      </c>
      <c r="Y544" s="41" t="str">
        <f>IFERROR(__xludf.DUMMYFUNCTION("""COMPUTED_VALUE"""),"")</f>
        <v/>
      </c>
      <c r="Z544" s="41" t="str">
        <f>IFERROR(__xludf.DUMMYFUNCTION("""COMPUTED_VALUE"""),"")</f>
        <v/>
      </c>
      <c r="AA544" s="41" t="str">
        <f>IFERROR(__xludf.DUMMYFUNCTION("""COMPUTED_VALUE"""),"")</f>
        <v/>
      </c>
      <c r="AB544" s="38" t="str">
        <f>IFERROR(__xludf.DUMMYFUNCTION("""COMPUTED_VALUE"""),"")</f>
        <v/>
      </c>
    </row>
    <row r="545">
      <c r="A545" s="41" t="str">
        <f>IFERROR(__xludf.DUMMYFUNCTION("""COMPUTED_VALUE"""),"AWS")</f>
        <v>AWS</v>
      </c>
      <c r="B545" s="42"/>
      <c r="N545" s="38"/>
      <c r="P545" s="42" t="str">
        <f>IFERROR(__xludf.DUMMYFUNCTION("""COMPUTED_VALUE"""),"javascript")</f>
        <v>javascript</v>
      </c>
      <c r="Q545" s="41" t="str">
        <f>IFERROR(__xludf.DUMMYFUNCTION("""COMPUTED_VALUE"""),"")</f>
        <v/>
      </c>
      <c r="R545" s="41" t="str">
        <f>IFERROR(__xludf.DUMMYFUNCTION("""COMPUTED_VALUE"""),"")</f>
        <v/>
      </c>
      <c r="S545" s="41" t="str">
        <f>IFERROR(__xludf.DUMMYFUNCTION("""COMPUTED_VALUE"""),"")</f>
        <v/>
      </c>
      <c r="T545" s="41" t="str">
        <f>IFERROR(__xludf.DUMMYFUNCTION("""COMPUTED_VALUE"""),"")</f>
        <v/>
      </c>
      <c r="U545" s="41" t="str">
        <f>IFERROR(__xludf.DUMMYFUNCTION("""COMPUTED_VALUE"""),"")</f>
        <v/>
      </c>
      <c r="V545" s="41" t="str">
        <f>IFERROR(__xludf.DUMMYFUNCTION("""COMPUTED_VALUE"""),"")</f>
        <v/>
      </c>
      <c r="W545" s="41" t="str">
        <f>IFERROR(__xludf.DUMMYFUNCTION("""COMPUTED_VALUE"""),"")</f>
        <v/>
      </c>
      <c r="X545" s="41" t="str">
        <f>IFERROR(__xludf.DUMMYFUNCTION("""COMPUTED_VALUE"""),"")</f>
        <v/>
      </c>
      <c r="Y545" s="41" t="str">
        <f>IFERROR(__xludf.DUMMYFUNCTION("""COMPUTED_VALUE"""),"")</f>
        <v/>
      </c>
      <c r="Z545" s="41" t="str">
        <f>IFERROR(__xludf.DUMMYFUNCTION("""COMPUTED_VALUE"""),"")</f>
        <v/>
      </c>
      <c r="AA545" s="41" t="str">
        <f>IFERROR(__xludf.DUMMYFUNCTION("""COMPUTED_VALUE"""),"")</f>
        <v/>
      </c>
      <c r="AB545" s="38" t="str">
        <f>IFERROR(__xludf.DUMMYFUNCTION("""COMPUTED_VALUE"""),"")</f>
        <v/>
      </c>
    </row>
    <row r="546">
      <c r="A546" s="41" t="str">
        <f>IFERROR(__xludf.DUMMYFUNCTION("""COMPUTED_VALUE"""),"Cloud")</f>
        <v>Cloud</v>
      </c>
      <c r="B546" s="42"/>
      <c r="N546" s="38"/>
      <c r="P546" s="42" t="str">
        <f>IFERROR(__xludf.DUMMYFUNCTION("""COMPUTED_VALUE"""),"flutter")</f>
        <v>flutter</v>
      </c>
      <c r="Q546" s="41" t="str">
        <f>IFERROR(__xludf.DUMMYFUNCTION("""COMPUTED_VALUE"""),"")</f>
        <v/>
      </c>
      <c r="R546" s="41" t="str">
        <f>IFERROR(__xludf.DUMMYFUNCTION("""COMPUTED_VALUE"""),"")</f>
        <v/>
      </c>
      <c r="S546" s="41" t="str">
        <f>IFERROR(__xludf.DUMMYFUNCTION("""COMPUTED_VALUE"""),"")</f>
        <v/>
      </c>
      <c r="T546" s="41" t="str">
        <f>IFERROR(__xludf.DUMMYFUNCTION("""COMPUTED_VALUE"""),"")</f>
        <v/>
      </c>
      <c r="U546" s="41" t="str">
        <f>IFERROR(__xludf.DUMMYFUNCTION("""COMPUTED_VALUE"""),"")</f>
        <v/>
      </c>
      <c r="V546" s="41" t="str">
        <f>IFERROR(__xludf.DUMMYFUNCTION("""COMPUTED_VALUE"""),"")</f>
        <v/>
      </c>
      <c r="W546" s="41" t="str">
        <f>IFERROR(__xludf.DUMMYFUNCTION("""COMPUTED_VALUE"""),"")</f>
        <v/>
      </c>
      <c r="X546" s="41" t="str">
        <f>IFERROR(__xludf.DUMMYFUNCTION("""COMPUTED_VALUE"""),"")</f>
        <v/>
      </c>
      <c r="Y546" s="41" t="str">
        <f>IFERROR(__xludf.DUMMYFUNCTION("""COMPUTED_VALUE"""),"")</f>
        <v/>
      </c>
      <c r="Z546" s="41" t="str">
        <f>IFERROR(__xludf.DUMMYFUNCTION("""COMPUTED_VALUE"""),"")</f>
        <v/>
      </c>
      <c r="AA546" s="41" t="str">
        <f>IFERROR(__xludf.DUMMYFUNCTION("""COMPUTED_VALUE"""),"")</f>
        <v/>
      </c>
      <c r="AB546" s="38" t="str">
        <f>IFERROR(__xludf.DUMMYFUNCTION("""COMPUTED_VALUE"""),"")</f>
        <v/>
      </c>
    </row>
    <row r="547">
      <c r="A547" s="41" t="str">
        <f>IFERROR(__xludf.DUMMYFUNCTION("""COMPUTED_VALUE"""),".NET")</f>
        <v>.NET</v>
      </c>
      <c r="B547" s="42"/>
      <c r="N547" s="38"/>
      <c r="P547" s="42" t="str">
        <f>IFERROR(__xludf.DUMMYFUNCTION("""COMPUTED_VALUE"""),"java")</f>
        <v>java</v>
      </c>
      <c r="Q547" s="41" t="str">
        <f>IFERROR(__xludf.DUMMYFUNCTION("""COMPUTED_VALUE"""),"")</f>
        <v/>
      </c>
      <c r="R547" s="41" t="str">
        <f>IFERROR(__xludf.DUMMYFUNCTION("""COMPUTED_VALUE"""),"")</f>
        <v/>
      </c>
      <c r="S547" s="41" t="str">
        <f>IFERROR(__xludf.DUMMYFUNCTION("""COMPUTED_VALUE"""),"")</f>
        <v/>
      </c>
      <c r="T547" s="41" t="str">
        <f>IFERROR(__xludf.DUMMYFUNCTION("""COMPUTED_VALUE"""),"")</f>
        <v/>
      </c>
      <c r="U547" s="41" t="str">
        <f>IFERROR(__xludf.DUMMYFUNCTION("""COMPUTED_VALUE"""),"")</f>
        <v/>
      </c>
      <c r="V547" s="41" t="str">
        <f>IFERROR(__xludf.DUMMYFUNCTION("""COMPUTED_VALUE"""),"")</f>
        <v/>
      </c>
      <c r="W547" s="41" t="str">
        <f>IFERROR(__xludf.DUMMYFUNCTION("""COMPUTED_VALUE"""),"")</f>
        <v/>
      </c>
      <c r="X547" s="41" t="str">
        <f>IFERROR(__xludf.DUMMYFUNCTION("""COMPUTED_VALUE"""),"")</f>
        <v/>
      </c>
      <c r="Y547" s="41" t="str">
        <f>IFERROR(__xludf.DUMMYFUNCTION("""COMPUTED_VALUE"""),"")</f>
        <v/>
      </c>
      <c r="Z547" s="41" t="str">
        <f>IFERROR(__xludf.DUMMYFUNCTION("""COMPUTED_VALUE"""),"")</f>
        <v/>
      </c>
      <c r="AA547" s="41" t="str">
        <f>IFERROR(__xludf.DUMMYFUNCTION("""COMPUTED_VALUE"""),"")</f>
        <v/>
      </c>
      <c r="AB547" s="38" t="str">
        <f>IFERROR(__xludf.DUMMYFUNCTION("""COMPUTED_VALUE"""),"")</f>
        <v/>
      </c>
    </row>
    <row r="548">
      <c r="A548" s="41" t="str">
        <f>IFERROR(__xludf.DUMMYFUNCTION("""COMPUTED_VALUE"""),"Ruby on rails")</f>
        <v>Ruby on rails</v>
      </c>
      <c r="B548" s="42"/>
      <c r="N548" s="38"/>
      <c r="P548" s="42" t="str">
        <f>IFERROR(__xludf.DUMMYFUNCTION("""COMPUTED_VALUE"""),"mern")</f>
        <v>mern</v>
      </c>
      <c r="Q548" s="41" t="str">
        <f>IFERROR(__xludf.DUMMYFUNCTION("""COMPUTED_VALUE"""),"")</f>
        <v/>
      </c>
      <c r="R548" s="41" t="str">
        <f>IFERROR(__xludf.DUMMYFUNCTION("""COMPUTED_VALUE"""),"")</f>
        <v/>
      </c>
      <c r="S548" s="41" t="str">
        <f>IFERROR(__xludf.DUMMYFUNCTION("""COMPUTED_VALUE"""),"")</f>
        <v/>
      </c>
      <c r="T548" s="41" t="str">
        <f>IFERROR(__xludf.DUMMYFUNCTION("""COMPUTED_VALUE"""),"")</f>
        <v/>
      </c>
      <c r="U548" s="41" t="str">
        <f>IFERROR(__xludf.DUMMYFUNCTION("""COMPUTED_VALUE"""),"")</f>
        <v/>
      </c>
      <c r="V548" s="41" t="str">
        <f>IFERROR(__xludf.DUMMYFUNCTION("""COMPUTED_VALUE"""),"")</f>
        <v/>
      </c>
      <c r="W548" s="41" t="str">
        <f>IFERROR(__xludf.DUMMYFUNCTION("""COMPUTED_VALUE"""),"")</f>
        <v/>
      </c>
      <c r="X548" s="41" t="str">
        <f>IFERROR(__xludf.DUMMYFUNCTION("""COMPUTED_VALUE"""),"")</f>
        <v/>
      </c>
      <c r="Y548" s="41" t="str">
        <f>IFERROR(__xludf.DUMMYFUNCTION("""COMPUTED_VALUE"""),"")</f>
        <v/>
      </c>
      <c r="Z548" s="41" t="str">
        <f>IFERROR(__xludf.DUMMYFUNCTION("""COMPUTED_VALUE"""),"")</f>
        <v/>
      </c>
      <c r="AA548" s="41" t="str">
        <f>IFERROR(__xludf.DUMMYFUNCTION("""COMPUTED_VALUE"""),"")</f>
        <v/>
      </c>
      <c r="AB548" s="38" t="str">
        <f>IFERROR(__xludf.DUMMYFUNCTION("""COMPUTED_VALUE"""),"")</f>
        <v/>
      </c>
    </row>
    <row r="549">
      <c r="A549" s="41" t="str">
        <f>IFERROR(__xludf.DUMMYFUNCTION("""COMPUTED_VALUE"""),"Java, javascript")</f>
        <v>Java, javascript</v>
      </c>
      <c r="B549" s="42"/>
      <c r="N549" s="38"/>
      <c r="P549" s="42" t="str">
        <f>IFERROR(__xludf.DUMMYFUNCTION("""COMPUTED_VALUE"""),"stack")</f>
        <v>stack</v>
      </c>
      <c r="Q549" s="41" t="str">
        <f>IFERROR(__xludf.DUMMYFUNCTION("""COMPUTED_VALUE"""),"")</f>
        <v/>
      </c>
      <c r="R549" s="41" t="str">
        <f>IFERROR(__xludf.DUMMYFUNCTION("""COMPUTED_VALUE"""),"")</f>
        <v/>
      </c>
      <c r="S549" s="41" t="str">
        <f>IFERROR(__xludf.DUMMYFUNCTION("""COMPUTED_VALUE"""),"")</f>
        <v/>
      </c>
      <c r="T549" s="41" t="str">
        <f>IFERROR(__xludf.DUMMYFUNCTION("""COMPUTED_VALUE"""),"")</f>
        <v/>
      </c>
      <c r="U549" s="41" t="str">
        <f>IFERROR(__xludf.DUMMYFUNCTION("""COMPUTED_VALUE"""),"")</f>
        <v/>
      </c>
      <c r="V549" s="41" t="str">
        <f>IFERROR(__xludf.DUMMYFUNCTION("""COMPUTED_VALUE"""),"")</f>
        <v/>
      </c>
      <c r="W549" s="41" t="str">
        <f>IFERROR(__xludf.DUMMYFUNCTION("""COMPUTED_VALUE"""),"")</f>
        <v/>
      </c>
      <c r="X549" s="41" t="str">
        <f>IFERROR(__xludf.DUMMYFUNCTION("""COMPUTED_VALUE"""),"")</f>
        <v/>
      </c>
      <c r="Y549" s="41" t="str">
        <f>IFERROR(__xludf.DUMMYFUNCTION("""COMPUTED_VALUE"""),"")</f>
        <v/>
      </c>
      <c r="Z549" s="41" t="str">
        <f>IFERROR(__xludf.DUMMYFUNCTION("""COMPUTED_VALUE"""),"")</f>
        <v/>
      </c>
      <c r="AA549" s="41" t="str">
        <f>IFERROR(__xludf.DUMMYFUNCTION("""COMPUTED_VALUE"""),"")</f>
        <v/>
      </c>
      <c r="AB549" s="38" t="str">
        <f>IFERROR(__xludf.DUMMYFUNCTION("""COMPUTED_VALUE"""),"")</f>
        <v/>
      </c>
    </row>
    <row r="550">
      <c r="A550" s="41" t="str">
        <f>IFERROR(__xludf.DUMMYFUNCTION("""COMPUTED_VALUE"""),".NET, XAMARIN")</f>
        <v>.NET, XAMARIN</v>
      </c>
      <c r="B550" s="42"/>
      <c r="N550" s="38"/>
      <c r="P550" s="42"/>
      <c r="AB550" s="38"/>
    </row>
    <row r="551">
      <c r="A551" s="41" t="str">
        <f>IFERROR(__xludf.DUMMYFUNCTION("""COMPUTED_VALUE"""),".Net ")</f>
        <v>.Net </v>
      </c>
      <c r="B551" s="42"/>
      <c r="N551" s="38"/>
      <c r="P551" s="42"/>
      <c r="AB551" s="38"/>
    </row>
    <row r="552">
      <c r="A552" s="41" t="str">
        <f>IFERROR(__xludf.DUMMYFUNCTION("""COMPUTED_VALUE"""),"web frameworks, streaming, distributed platform, search database, scripting languages, IDS, open source automation package")</f>
        <v>web frameworks, streaming, distributed platform, search database, scripting languages, IDS, open source automation package</v>
      </c>
      <c r="B552" s="42"/>
      <c r="N552" s="38"/>
      <c r="P552" s="42"/>
      <c r="AB552" s="38"/>
    </row>
    <row r="553">
      <c r="A553" s="41" t="str">
        <f>IFERROR(__xludf.DUMMYFUNCTION("""COMPUTED_VALUE"""),"Java, Javascript, Spring Framework")</f>
        <v>Java, Javascript, Spring Framework</v>
      </c>
      <c r="B553" s="42"/>
      <c r="N553" s="38"/>
      <c r="P553" s="42"/>
      <c r="AB553" s="38"/>
    </row>
    <row r="554">
      <c r="A554" s="41" t="str">
        <f>IFERROR(__xludf.DUMMYFUNCTION("""COMPUTED_VALUE"""),"C#,. NET MVC")</f>
        <v>C#,. NET MVC</v>
      </c>
      <c r="B554" s="42"/>
      <c r="N554" s="38"/>
      <c r="P554" s="42"/>
      <c r="AB554" s="38"/>
    </row>
    <row r="555">
      <c r="A555" s="41" t="str">
        <f>IFERROR(__xludf.DUMMYFUNCTION("""COMPUTED_VALUE"""),"JS,SQL,C#,Hyper V")</f>
        <v>JS,SQL,C#,Hyper V</v>
      </c>
      <c r="B555" s="42"/>
      <c r="N555" s="38"/>
      <c r="P555" s="42"/>
      <c r="AB555" s="38"/>
    </row>
    <row r="556">
      <c r="A556" s="41" t="str">
        <f>IFERROR(__xludf.DUMMYFUNCTION("""COMPUTED_VALUE"""),"Spring(Kotlin/Java),Angular,Git,MySQL,AWS")</f>
        <v>Spring(Kotlin/Java),Angular,Git,MySQL,AWS</v>
      </c>
      <c r="B556" s="42"/>
      <c r="N556" s="38"/>
      <c r="P556" s="42"/>
      <c r="AB556" s="38"/>
    </row>
    <row r="557">
      <c r="A557" s="41" t="str">
        <f>IFERROR(__xludf.DUMMYFUNCTION("""COMPUTED_VALUE"""),"Golang")</f>
        <v>Golang</v>
      </c>
      <c r="B557" s="42"/>
      <c r="N557" s="38"/>
      <c r="P557" s="42"/>
      <c r="AB557" s="38"/>
    </row>
    <row r="558">
      <c r="A558" s="41" t="str">
        <f>IFERROR(__xludf.DUMMYFUNCTION("""COMPUTED_VALUE"""),"Vue.js, Elixir Phoenix ")</f>
        <v>Vue.js, Elixir Phoenix </v>
      </c>
      <c r="B558" s="42"/>
      <c r="N558" s="38"/>
      <c r="P558" s="42"/>
      <c r="AB558" s="38"/>
    </row>
    <row r="559">
      <c r="A559" s="41" t="str">
        <f>IFERROR(__xludf.DUMMYFUNCTION("""COMPUTED_VALUE"""),"Git, GitLab, Docker, SonarQube, Jenkins, Postgres")</f>
        <v>Git, GitLab, Docker, SonarQube, Jenkins, Postgres</v>
      </c>
      <c r="B559" s="42"/>
      <c r="N559" s="38"/>
      <c r="P559" s="42"/>
      <c r="AB559" s="38"/>
    </row>
    <row r="560">
      <c r="A560" s="41" t="str">
        <f>IFERROR(__xludf.DUMMYFUNCTION("""COMPUTED_VALUE"""),"Java, Python, Angular, Spring Boot, Flask, C#")</f>
        <v>Java, Python, Angular, Spring Boot, Flask, C#</v>
      </c>
      <c r="B560" s="42"/>
      <c r="N560" s="38"/>
      <c r="P560" s="42"/>
      <c r="AB560" s="38"/>
    </row>
    <row r="561">
      <c r="A561" s="41" t="str">
        <f>IFERROR(__xludf.DUMMYFUNCTION("""COMPUTED_VALUE"""),"Nodejs,docker,angular,javascript,postgres")</f>
        <v>Nodejs,docker,angular,javascript,postgres</v>
      </c>
      <c r="B561" s="42"/>
      <c r="N561" s="38"/>
      <c r="P561" s="42"/>
      <c r="AB561" s="38"/>
    </row>
    <row r="562">
      <c r="A562" s="41" t="str">
        <f>IFERROR(__xludf.DUMMYFUNCTION("""COMPUTED_VALUE"""),"AWS ECS, Azure DevOps, Terraform, Ansible, Docker")</f>
        <v>AWS ECS, Azure DevOps, Terraform, Ansible, Docker</v>
      </c>
      <c r="B562" s="42"/>
      <c r="N562" s="38"/>
      <c r="P562" s="42"/>
      <c r="AB562" s="38"/>
    </row>
    <row r="563">
      <c r="A563" s="41" t="str">
        <f>IFERROR(__xludf.DUMMYFUNCTION("""COMPUTED_VALUE"""),"Microsoft O365")</f>
        <v>Microsoft O365</v>
      </c>
      <c r="B563" s="42"/>
      <c r="N563" s="38"/>
      <c r="P563" s="42"/>
      <c r="AB563" s="38"/>
    </row>
    <row r="564">
      <c r="A564" s="41" t="str">
        <f>IFERROR(__xludf.DUMMYFUNCTION("""COMPUTED_VALUE"""),"ubuntu, laravel, excel, nodejs, nginx")</f>
        <v>ubuntu, laravel, excel, nodejs, nginx</v>
      </c>
      <c r="B564" s="42"/>
      <c r="N564" s="38"/>
      <c r="P564" s="42"/>
      <c r="AB564" s="38"/>
    </row>
    <row r="565">
      <c r="A565" s="41" t="str">
        <f>IFERROR(__xludf.DUMMYFUNCTION("""COMPUTED_VALUE"""),"Redshift, BI tools")</f>
        <v>Redshift, BI tools</v>
      </c>
      <c r="B565" s="42"/>
      <c r="N565" s="38"/>
      <c r="P565" s="42"/>
      <c r="AB565" s="38"/>
    </row>
    <row r="566">
      <c r="A566" s="41" t="str">
        <f>IFERROR(__xludf.DUMMYFUNCTION("""COMPUTED_VALUE"""),"Laptop")</f>
        <v>Laptop</v>
      </c>
      <c r="B566" s="42"/>
      <c r="N566" s="38"/>
      <c r="P566" s="42"/>
      <c r="AB566" s="38"/>
    </row>
    <row r="567">
      <c r="A567" s="41" t="str">
        <f>IFERROR(__xludf.DUMMYFUNCTION("""COMPUTED_VALUE"""),"SIEM, FW, IDS, IPS")</f>
        <v>SIEM, FW, IDS, IPS</v>
      </c>
      <c r="B567" s="42"/>
      <c r="N567" s="38"/>
      <c r="P567" s="42"/>
      <c r="AB567" s="38"/>
    </row>
    <row r="568">
      <c r="A568" s="41" t="str">
        <f>IFERROR(__xludf.DUMMYFUNCTION("""COMPUTED_VALUE"""),"Java, Spring")</f>
        <v>Java, Spring</v>
      </c>
      <c r="B568" s="42"/>
      <c r="N568" s="38"/>
      <c r="P568" s="42"/>
      <c r="AB568" s="38"/>
    </row>
    <row r="569">
      <c r="A569" s="41" t="str">
        <f>IFERROR(__xludf.DUMMYFUNCTION("""COMPUTED_VALUE"""),"React, Golang")</f>
        <v>React, Golang</v>
      </c>
      <c r="B569" s="42"/>
      <c r="N569" s="38"/>
      <c r="P569" s="42"/>
      <c r="AB569" s="38"/>
    </row>
    <row r="570">
      <c r="A570" s="41" t="str">
        <f>IFERROR(__xludf.DUMMYFUNCTION("""COMPUTED_VALUE"""),"HTML, JavaScript, React, Typescript, Redis")</f>
        <v>HTML, JavaScript, React, Typescript, Redis</v>
      </c>
      <c r="B570" s="42"/>
      <c r="N570" s="38"/>
      <c r="P570" s="42"/>
      <c r="AB570" s="38"/>
    </row>
    <row r="571">
      <c r="A571" s="41" t="str">
        <f>IFERROR(__xludf.DUMMYFUNCTION("""COMPUTED_VALUE"""),"HTML, JavaScript, React, Typescript, Redis")</f>
        <v>HTML, JavaScript, React, Typescript, Redis</v>
      </c>
      <c r="B571" s="42"/>
      <c r="N571" s="38"/>
      <c r="P571" s="42"/>
      <c r="AB571" s="38"/>
    </row>
    <row r="572">
      <c r="A572" s="41" t="str">
        <f>IFERROR(__xludf.DUMMYFUNCTION("""COMPUTED_VALUE"""),"Python, Typescript, AWS")</f>
        <v>Python, Typescript, AWS</v>
      </c>
      <c r="B572" s="42"/>
      <c r="N572" s="38"/>
      <c r="P572" s="42"/>
      <c r="AB572" s="38"/>
    </row>
    <row r="573">
      <c r="A573" s="41" t="str">
        <f>IFERROR(__xludf.DUMMYFUNCTION("""COMPUTED_VALUE"""),"AWS Redshift, python ")</f>
        <v>AWS Redshift, python </v>
      </c>
      <c r="B573" s="42"/>
      <c r="N573" s="38"/>
      <c r="P573" s="42"/>
      <c r="AB573" s="38"/>
    </row>
    <row r="574">
      <c r="A574" s="41" t="str">
        <f>IFERROR(__xludf.DUMMYFUNCTION("""COMPUTED_VALUE"""),"GoLang, Python, Javascript")</f>
        <v>GoLang, Python, Javascript</v>
      </c>
      <c r="B574" s="42"/>
      <c r="N574" s="38"/>
      <c r="P574" s="42"/>
      <c r="AB574" s="38"/>
    </row>
    <row r="575">
      <c r="A575" s="41" t="str">
        <f>IFERROR(__xludf.DUMMYFUNCTION("""COMPUTED_VALUE"""),"Mobile, Web")</f>
        <v>Mobile, Web</v>
      </c>
      <c r="B575" s="42"/>
      <c r="N575" s="38"/>
      <c r="P575" s="42"/>
      <c r="AB575" s="38"/>
    </row>
    <row r="576">
      <c r="A576" s="41" t="str">
        <f>IFERROR(__xludf.DUMMYFUNCTION("""COMPUTED_VALUE"""),"Golang,NodeJS,Postgres,GCP,k8s")</f>
        <v>Golang,NodeJS,Postgres,GCP,k8s</v>
      </c>
      <c r="B576" s="42"/>
      <c r="N576" s="38"/>
      <c r="P576" s="42"/>
      <c r="AB576" s="38"/>
    </row>
    <row r="577">
      <c r="A577" s="41" t="str">
        <f>IFERROR(__xludf.DUMMYFUNCTION("""COMPUTED_VALUE"""),"c#")</f>
        <v>c#</v>
      </c>
      <c r="B577" s="42"/>
      <c r="N577" s="38"/>
      <c r="P577" s="42"/>
      <c r="AB577" s="38"/>
    </row>
    <row r="578">
      <c r="A578" s="41" t="str">
        <f>IFERROR(__xludf.DUMMYFUNCTION("""COMPUTED_VALUE"""),"ASP.NET CORE, JAVASCRIPT")</f>
        <v>ASP.NET CORE, JAVASCRIPT</v>
      </c>
      <c r="B578" s="42"/>
      <c r="N578" s="38"/>
      <c r="P578" s="42"/>
      <c r="AB578" s="38"/>
    </row>
    <row r="579">
      <c r="A579" s="41" t="str">
        <f>IFERROR(__xludf.DUMMYFUNCTION("""COMPUTED_VALUE"""),".NET, React, Angular, Nodejs, MSSQL, MySQL, Azure, AWS")</f>
        <v>.NET, React, Angular, Nodejs, MSSQL, MySQL, Azure, AWS</v>
      </c>
      <c r="B579" s="42"/>
      <c r="N579" s="38"/>
      <c r="P579" s="42"/>
      <c r="AB579" s="38"/>
    </row>
    <row r="580">
      <c r="A580" s="41" t="str">
        <f>IFERROR(__xludf.DUMMYFUNCTION("""COMPUTED_VALUE"""),"Java, Javascript")</f>
        <v>Java, Javascript</v>
      </c>
      <c r="B580" s="42"/>
      <c r="N580" s="38"/>
      <c r="P580" s="42"/>
      <c r="AB580" s="38"/>
    </row>
    <row r="581">
      <c r="A581" s="41" t="str">
        <f>IFERROR(__xludf.DUMMYFUNCTION("""COMPUTED_VALUE"""),"Laptop")</f>
        <v>Laptop</v>
      </c>
      <c r="B581" s="42"/>
      <c r="N581" s="38"/>
      <c r="P581" s="42"/>
      <c r="AB581" s="38"/>
    </row>
    <row r="582">
      <c r="A582" s="41" t="str">
        <f>IFERROR(__xludf.DUMMYFUNCTION("""COMPUTED_VALUE"""),"Java, Vue.js")</f>
        <v>Java, Vue.js</v>
      </c>
      <c r="B582" s="42"/>
      <c r="N582" s="38"/>
      <c r="P582" s="42"/>
      <c r="AB582" s="38"/>
    </row>
    <row r="583">
      <c r="A583" s="41" t="str">
        <f>IFERROR(__xludf.DUMMYFUNCTION("""COMPUTED_VALUE"""),".net")</f>
        <v>.net</v>
      </c>
      <c r="B583" s="42"/>
      <c r="N583" s="38"/>
      <c r="P583" s="42"/>
      <c r="AB583" s="38"/>
    </row>
    <row r="584">
      <c r="A584" s="41" t="str">
        <f>IFERROR(__xludf.DUMMYFUNCTION("""COMPUTED_VALUE"""),"Java, Kotlin, Kubernetes, Linux")</f>
        <v>Java, Kotlin, Kubernetes, Linux</v>
      </c>
      <c r="B584" s="42"/>
      <c r="N584" s="38"/>
      <c r="P584" s="42"/>
      <c r="AB584" s="38"/>
    </row>
    <row r="585">
      <c r="A585" s="41" t="str">
        <f>IFERROR(__xludf.DUMMYFUNCTION("""COMPUTED_VALUE"""),"Python, Docker")</f>
        <v>Python, Docker</v>
      </c>
      <c r="B585" s="42"/>
      <c r="N585" s="38"/>
      <c r="P585" s="42"/>
      <c r="AB585" s="38"/>
    </row>
    <row r="586">
      <c r="A586" s="41" t="str">
        <f>IFERROR(__xludf.DUMMYFUNCTION("""COMPUTED_VALUE"""),"Java, android ")</f>
        <v>Java, android </v>
      </c>
      <c r="B586" s="42"/>
      <c r="N586" s="38"/>
      <c r="P586" s="42"/>
      <c r="AB586" s="38"/>
    </row>
    <row r="587">
      <c r="A587" s="41" t="str">
        <f>IFERROR(__xludf.DUMMYFUNCTION("""COMPUTED_VALUE"""),"Javascript, html, css, react, react native ")</f>
        <v>Javascript, html, css, react, react native </v>
      </c>
      <c r="B587" s="42"/>
      <c r="N587" s="38"/>
      <c r="P587" s="42"/>
      <c r="AB587" s="38"/>
    </row>
    <row r="588">
      <c r="A588" s="41" t="str">
        <f>IFERROR(__xludf.DUMMYFUNCTION("""COMPUTED_VALUE"""),"HTML, CSS, JS, PHP, ")</f>
        <v>HTML, CSS, JS, PHP, </v>
      </c>
      <c r="B588" s="42"/>
      <c r="N588" s="38"/>
      <c r="P588" s="42"/>
      <c r="AB588" s="38"/>
    </row>
    <row r="589">
      <c r="A589" s="41" t="str">
        <f>IFERROR(__xludf.DUMMYFUNCTION("""COMPUTED_VALUE"""),"PHP, Wordpress, HTML3, CSS5")</f>
        <v>PHP, Wordpress, HTML3, CSS5</v>
      </c>
      <c r="B589" s="42"/>
      <c r="N589" s="38"/>
      <c r="P589" s="42"/>
      <c r="AB589" s="38"/>
    </row>
    <row r="590">
      <c r="A590" s="41" t="str">
        <f>IFERROR(__xludf.DUMMYFUNCTION("""COMPUTED_VALUE"""),"Asp.net mvc")</f>
        <v>Asp.net mvc</v>
      </c>
      <c r="B590" s="42"/>
      <c r="N590" s="38"/>
      <c r="P590" s="42"/>
      <c r="AB590" s="38"/>
    </row>
    <row r="591">
      <c r="A591" s="41" t="str">
        <f>IFERROR(__xludf.DUMMYFUNCTION("""COMPUTED_VALUE"""),"Unity3D")</f>
        <v>Unity3D</v>
      </c>
      <c r="B591" s="42"/>
      <c r="N591" s="38"/>
      <c r="P591" s="42"/>
      <c r="AB591" s="38"/>
    </row>
    <row r="592">
      <c r="A592" s="41" t="str">
        <f>IFERROR(__xludf.DUMMYFUNCTION("""COMPUTED_VALUE"""),"UiPath (RPA tech)")</f>
        <v>UiPath (RPA tech)</v>
      </c>
      <c r="B592" s="42"/>
      <c r="N592" s="38"/>
      <c r="P592" s="42"/>
      <c r="AB592" s="38"/>
    </row>
    <row r="593">
      <c r="A593" s="41" t="str">
        <f>IFERROR(__xludf.DUMMYFUNCTION("""COMPUTED_VALUE"""),"Node, go, react, next, angular")</f>
        <v>Node, go, react, next, angular</v>
      </c>
      <c r="B593" s="42"/>
      <c r="N593" s="38"/>
      <c r="P593" s="42"/>
      <c r="AB593" s="38"/>
    </row>
    <row r="594">
      <c r="A594" s="41" t="str">
        <f>IFERROR(__xludf.DUMMYFUNCTION("""COMPUTED_VALUE"""),"Javascript,Java")</f>
        <v>Javascript,Java</v>
      </c>
      <c r="B594" s="42"/>
      <c r="N594" s="38"/>
      <c r="P594" s="42"/>
      <c r="AB594" s="38"/>
    </row>
    <row r="595">
      <c r="A595" s="41" t="str">
        <f>IFERROR(__xludf.DUMMYFUNCTION("""COMPUTED_VALUE"""),"ReactJS, Apollo GraphQL, NextJS")</f>
        <v>ReactJS, Apollo GraphQL, NextJS</v>
      </c>
      <c r="B595" s="42"/>
      <c r="N595" s="38"/>
      <c r="P595" s="42"/>
      <c r="AB595" s="38"/>
    </row>
    <row r="596">
      <c r="A596" s="41" t="str">
        <f>IFERROR(__xludf.DUMMYFUNCTION("""COMPUTED_VALUE"""),".NET")</f>
        <v>.NET</v>
      </c>
      <c r="B596" s="42"/>
      <c r="N596" s="38"/>
      <c r="P596" s="42"/>
      <c r="AB596" s="38"/>
    </row>
    <row r="597">
      <c r="A597" s="41" t="str">
        <f>IFERROR(__xludf.DUMMYFUNCTION("""COMPUTED_VALUE"""),"Python, typescript")</f>
        <v>Python, typescript</v>
      </c>
      <c r="B597" s="42"/>
      <c r="N597" s="38"/>
      <c r="P597" s="42"/>
      <c r="AB597" s="38"/>
    </row>
    <row r="598">
      <c r="A598" s="41" t="str">
        <f>IFERROR(__xludf.DUMMYFUNCTION("""COMPUTED_VALUE"""),"Java")</f>
        <v>Java</v>
      </c>
      <c r="B598" s="42"/>
      <c r="N598" s="38"/>
      <c r="P598" s="42"/>
      <c r="AB598" s="38"/>
    </row>
    <row r="599">
      <c r="A599" s="41" t="str">
        <f>IFERROR(__xludf.DUMMYFUNCTION("""COMPUTED_VALUE"""),"FE (Mobile) : java, swift BE : ruby, postgresql, FE(web): React, elixir. DEVOPS: aws, kubernates. DS: PYTHON. AUTOMATION TEST : groovy (Katalon)")</f>
        <v>FE (Mobile) : java, swift BE : ruby, postgresql, FE(web): React, elixir. DEVOPS: aws, kubernates. DS: PYTHON. AUTOMATION TEST : groovy (Katalon)</v>
      </c>
      <c r="B599" s="42"/>
      <c r="N599" s="38"/>
      <c r="P599" s="42"/>
      <c r="AB599" s="38"/>
    </row>
    <row r="600">
      <c r="A600" s="41" t="str">
        <f>IFERROR(__xludf.DUMMYFUNCTION("""COMPUTED_VALUE"""),"Wordpress, ASP based system")</f>
        <v>Wordpress, ASP based system</v>
      </c>
      <c r="B600" s="42"/>
      <c r="N600" s="38"/>
      <c r="P600" s="42"/>
      <c r="AB600" s="38"/>
    </row>
    <row r="601">
      <c r="A601" s="41" t="str">
        <f>IFERROR(__xludf.DUMMYFUNCTION("""COMPUTED_VALUE"""),"Html, Css, Js, Vue")</f>
        <v>Html, Css, Js, Vue</v>
      </c>
      <c r="B601" s="42"/>
      <c r="N601" s="38"/>
      <c r="P601" s="42"/>
      <c r="AB601" s="38"/>
    </row>
    <row r="602">
      <c r="A602" s="41" t="str">
        <f>IFERROR(__xludf.DUMMYFUNCTION("""COMPUTED_VALUE"""),"Flutter")</f>
        <v>Flutter</v>
      </c>
      <c r="B602" s="42"/>
      <c r="N602" s="38"/>
      <c r="P602" s="42"/>
      <c r="AB602" s="38"/>
    </row>
    <row r="603">
      <c r="A603" s="41" t="str">
        <f>IFERROR(__xludf.DUMMYFUNCTION("""COMPUTED_VALUE"""),"Django, VueJS, GCP, CloudFlare")</f>
        <v>Django, VueJS, GCP, CloudFlare</v>
      </c>
      <c r="B603" s="42"/>
      <c r="N603" s="38"/>
      <c r="P603" s="42"/>
      <c r="AB603" s="38"/>
    </row>
    <row r="604">
      <c r="A604" s="41" t="str">
        <f>IFERROR(__xludf.DUMMYFUNCTION("""COMPUTED_VALUE"""),"C#")</f>
        <v>C#</v>
      </c>
      <c r="B604" s="42"/>
      <c r="N604" s="38"/>
      <c r="P604" s="42"/>
      <c r="AB604" s="38"/>
    </row>
    <row r="605">
      <c r="A605" s="41" t="str">
        <f>IFERROR(__xludf.DUMMYFUNCTION("""COMPUTED_VALUE"""),"Angular")</f>
        <v>Angular</v>
      </c>
      <c r="B605" s="42"/>
      <c r="N605" s="38"/>
      <c r="P605" s="42"/>
      <c r="AB605" s="38"/>
    </row>
    <row r="606">
      <c r="A606" s="41" t="str">
        <f>IFERROR(__xludf.DUMMYFUNCTION("""COMPUTED_VALUE"""),".net core")</f>
        <v>.net core</v>
      </c>
      <c r="B606" s="42"/>
      <c r="N606" s="38"/>
      <c r="P606" s="42"/>
      <c r="AB606" s="38"/>
    </row>
    <row r="607">
      <c r="A607" s="41" t="str">
        <f>IFERROR(__xludf.DUMMYFUNCTION("""COMPUTED_VALUE"""),"Laptop, wifi")</f>
        <v>Laptop, wifi</v>
      </c>
      <c r="B607" s="42"/>
      <c r="N607" s="38"/>
      <c r="P607" s="42"/>
      <c r="AB607" s="38"/>
    </row>
    <row r="608">
      <c r="A608" s="41" t="str">
        <f>IFERROR(__xludf.DUMMYFUNCTION("""COMPUTED_VALUE"""),"Laravel, Javascript")</f>
        <v>Laravel, Javascript</v>
      </c>
      <c r="B608" s="42"/>
      <c r="N608" s="38"/>
      <c r="P608" s="42"/>
      <c r="AB608" s="38"/>
    </row>
    <row r="609">
      <c r="A609" s="41" t="str">
        <f>IFERROR(__xludf.DUMMYFUNCTION("""COMPUTED_VALUE"""),"Spring Boot, Stripes, React Native, Mysql, db2")</f>
        <v>Spring Boot, Stripes, React Native, Mysql, db2</v>
      </c>
      <c r="B609" s="42"/>
      <c r="N609" s="38"/>
      <c r="P609" s="42"/>
      <c r="AB609" s="38"/>
    </row>
    <row r="610">
      <c r="A610" s="41" t="str">
        <f>IFERROR(__xludf.DUMMYFUNCTION("""COMPUTED_VALUE"""),"Google")</f>
        <v>Google</v>
      </c>
      <c r="B610" s="42"/>
      <c r="N610" s="38"/>
      <c r="P610" s="42"/>
      <c r="AB610" s="38"/>
    </row>
    <row r="611">
      <c r="A611" s="41" t="str">
        <f>IFERROR(__xludf.DUMMYFUNCTION("""COMPUTED_VALUE"""),"Microsoft Power BI, Jenkins, Docker")</f>
        <v>Microsoft Power BI, Jenkins, Docker</v>
      </c>
      <c r="B611" s="42"/>
      <c r="N611" s="38"/>
      <c r="P611" s="42"/>
      <c r="AB611" s="38"/>
    </row>
    <row r="612">
      <c r="A612" s="41" t="str">
        <f>IFERROR(__xludf.DUMMYFUNCTION("""COMPUTED_VALUE"""),"Laptpp, phone")</f>
        <v>Laptpp, phone</v>
      </c>
      <c r="B612" s="42"/>
      <c r="N612" s="38"/>
      <c r="P612" s="42"/>
      <c r="AB612" s="38"/>
    </row>
    <row r="613">
      <c r="A613" s="41" t="str">
        <f>IFERROR(__xludf.DUMMYFUNCTION("""COMPUTED_VALUE"""),"Nodejs, PHP, Python")</f>
        <v>Nodejs, PHP, Python</v>
      </c>
      <c r="B613" s="42"/>
      <c r="N613" s="38"/>
      <c r="P613" s="42"/>
      <c r="AB613" s="38"/>
    </row>
    <row r="614">
      <c r="A614" s="41" t="str">
        <f>IFERROR(__xludf.DUMMYFUNCTION("""COMPUTED_VALUE"""),".NET")</f>
        <v>.NET</v>
      </c>
      <c r="B614" s="42"/>
      <c r="N614" s="38"/>
      <c r="P614" s="42"/>
      <c r="AB614" s="38"/>
    </row>
    <row r="615">
      <c r="A615" s="41" t="str">
        <f>IFERROR(__xludf.DUMMYFUNCTION("""COMPUTED_VALUE"""),"MEAN stack, Python, Golang, SQL, tensorflow, Kubernetes, Docker, AWS, Google Cloud")</f>
        <v>MEAN stack, Python, Golang, SQL, tensorflow, Kubernetes, Docker, AWS, Google Cloud</v>
      </c>
      <c r="B615" s="42"/>
      <c r="N615" s="38"/>
      <c r="P615" s="42"/>
      <c r="AB615" s="38"/>
    </row>
    <row r="616">
      <c r="A616" s="41" t="str">
        <f>IFERROR(__xludf.DUMMYFUNCTION("""COMPUTED_VALUE"""),"Python, React, JavaScript, HTML, CSS, Bash, Git, Linux, PostgreSQL, Nginx")</f>
        <v>Python, React, JavaScript, HTML, CSS, Bash, Git, Linux, PostgreSQL, Nginx</v>
      </c>
      <c r="B616" s="42"/>
      <c r="N616" s="38"/>
      <c r="P616" s="42"/>
      <c r="AB616" s="38"/>
    </row>
    <row r="617">
      <c r="A617" s="41" t="str">
        <f>IFERROR(__xludf.DUMMYFUNCTION("""COMPUTED_VALUE"""),".Net")</f>
        <v>.Net</v>
      </c>
      <c r="B617" s="42"/>
      <c r="N617" s="38"/>
      <c r="P617" s="42"/>
      <c r="AB617" s="38"/>
    </row>
    <row r="618">
      <c r="A618" s="41" t="str">
        <f>IFERROR(__xludf.DUMMYFUNCTION("""COMPUTED_VALUE"""),"Angular, dotnet core")</f>
        <v>Angular, dotnet core</v>
      </c>
      <c r="B618" s="42"/>
      <c r="N618" s="38"/>
      <c r="P618" s="42"/>
      <c r="AB618" s="38"/>
    </row>
    <row r="619">
      <c r="A619" s="41" t="str">
        <f>IFERROR(__xludf.DUMMYFUNCTION("""COMPUTED_VALUE"""),"PHP, MSSQL")</f>
        <v>PHP, MSSQL</v>
      </c>
      <c r="B619" s="42"/>
      <c r="N619" s="38"/>
      <c r="P619" s="42"/>
      <c r="AB619" s="38"/>
    </row>
    <row r="620">
      <c r="A620" s="41" t="str">
        <f>IFERROR(__xludf.DUMMYFUNCTION("""COMPUTED_VALUE"""),"Wordpress, Adove Illustrator, Figma, Elementor")</f>
        <v>Wordpress, Adove Illustrator, Figma, Elementor</v>
      </c>
      <c r="B620" s="42"/>
      <c r="N620" s="38"/>
      <c r="P620" s="42"/>
      <c r="AB620" s="38"/>
    </row>
    <row r="621">
      <c r="A621" s="41" t="str">
        <f>IFERROR(__xludf.DUMMYFUNCTION("""COMPUTED_VALUE"""),"Python, Kubernetes, Azure, Docker")</f>
        <v>Python, Kubernetes, Azure, Docker</v>
      </c>
      <c r="B621" s="42"/>
      <c r="N621" s="38"/>
      <c r="P621" s="42"/>
      <c r="AB621" s="38"/>
    </row>
    <row r="622">
      <c r="A622" s="41" t="str">
        <f>IFERROR(__xludf.DUMMYFUNCTION("""COMPUTED_VALUE"""),"Java, Bash, Python")</f>
        <v>Java, Bash, Python</v>
      </c>
      <c r="B622" s="42"/>
      <c r="N622" s="38"/>
      <c r="P622" s="42"/>
      <c r="AB622" s="38"/>
    </row>
    <row r="623">
      <c r="A623" s="41" t="str">
        <f>IFERROR(__xludf.DUMMYFUNCTION("""COMPUTED_VALUE"""),"C#, ASP.NET, MSSQL")</f>
        <v>C#, ASP.NET, MSSQL</v>
      </c>
      <c r="B623" s="42"/>
      <c r="N623" s="38"/>
      <c r="P623" s="42"/>
      <c r="AB623" s="38"/>
    </row>
    <row r="624">
      <c r="A624" s="41" t="str">
        <f>IFERROR(__xludf.DUMMYFUNCTION("""COMPUTED_VALUE"""),"Flutter")</f>
        <v>Flutter</v>
      </c>
      <c r="B624" s="42"/>
      <c r="N624" s="38"/>
      <c r="P624" s="42"/>
      <c r="AB624" s="38"/>
    </row>
    <row r="625">
      <c r="A625" s="41" t="str">
        <f>IFERROR(__xludf.DUMMYFUNCTION("""COMPUTED_VALUE"""),"c#")</f>
        <v>c#</v>
      </c>
      <c r="B625" s="42"/>
      <c r="N625" s="38"/>
      <c r="P625" s="42"/>
      <c r="AB625" s="38"/>
    </row>
    <row r="626">
      <c r="A626" s="41" t="str">
        <f>IFERROR(__xludf.DUMMYFUNCTION("""COMPUTED_VALUE"""),"cloud")</f>
        <v>cloud</v>
      </c>
      <c r="B626" s="42"/>
      <c r="N626" s="38"/>
      <c r="P626" s="42"/>
      <c r="AB626" s="38"/>
    </row>
    <row r="627">
      <c r="A627" s="41" t="str">
        <f>IFERROR(__xludf.DUMMYFUNCTION("""COMPUTED_VALUE"""),"PHP, JS")</f>
        <v>PHP, JS</v>
      </c>
      <c r="B627" s="42"/>
      <c r="N627" s="38"/>
      <c r="P627" s="42"/>
      <c r="AB627" s="38"/>
    </row>
    <row r="628">
      <c r="A628" s="41" t="str">
        <f>IFERROR(__xludf.DUMMYFUNCTION("""COMPUTED_VALUE"""),"C, jenkins, ")</f>
        <v>C, jenkins, </v>
      </c>
      <c r="B628" s="42"/>
      <c r="N628" s="38"/>
      <c r="P628" s="42"/>
      <c r="AB628" s="38"/>
    </row>
    <row r="629">
      <c r="A629" s="41" t="str">
        <f>IFERROR(__xludf.DUMMYFUNCTION("""COMPUTED_VALUE"""),"ASP.NET, CSS3, HTML5, FIGMA, CODEPEN, GIT BASH, GITHUB")</f>
        <v>ASP.NET, CSS3, HTML5, FIGMA, CODEPEN, GIT BASH, GITHUB</v>
      </c>
      <c r="B629" s="42"/>
      <c r="N629" s="38"/>
      <c r="P629" s="42"/>
      <c r="AB629" s="38"/>
    </row>
    <row r="630">
      <c r="A630" s="41" t="str">
        <f>IFERROR(__xludf.DUMMYFUNCTION("""COMPUTED_VALUE"""),"JavaScript ")</f>
        <v>JavaScript </v>
      </c>
      <c r="B630" s="42"/>
      <c r="N630" s="38"/>
      <c r="P630" s="42"/>
      <c r="AB630" s="38"/>
    </row>
    <row r="631">
      <c r="A631" s="41" t="str">
        <f>IFERROR(__xludf.DUMMYFUNCTION("""COMPUTED_VALUE"""),"PHP")</f>
        <v>PHP</v>
      </c>
      <c r="B631" s="42"/>
      <c r="N631" s="38"/>
      <c r="P631" s="42"/>
      <c r="AB631" s="38"/>
    </row>
    <row r="632">
      <c r="A632" s="41" t="str">
        <f>IFERROR(__xludf.DUMMYFUNCTION("""COMPUTED_VALUE"""),"Swift, Xcode")</f>
        <v>Swift, Xcode</v>
      </c>
      <c r="B632" s="42"/>
      <c r="N632" s="38"/>
      <c r="P632" s="42"/>
      <c r="AB632" s="38"/>
    </row>
    <row r="633">
      <c r="A633" s="41" t="str">
        <f>IFERROR(__xludf.DUMMYFUNCTION("""COMPUTED_VALUE"""),"Spring boot")</f>
        <v>Spring boot</v>
      </c>
      <c r="B633" s="42"/>
      <c r="N633" s="38"/>
      <c r="P633" s="42"/>
      <c r="AB633" s="38"/>
    </row>
    <row r="634">
      <c r="A634" s="41" t="str">
        <f>IFERROR(__xludf.DUMMYFUNCTION("""COMPUTED_VALUE"""),"C#, Angular, postgress")</f>
        <v>C#, Angular, postgress</v>
      </c>
      <c r="B634" s="42"/>
      <c r="N634" s="38"/>
      <c r="P634" s="42"/>
      <c r="AB634" s="38"/>
    </row>
    <row r="635">
      <c r="A635" s="41" t="str">
        <f>IFERROR(__xludf.DUMMYFUNCTION("""COMPUTED_VALUE"""),".Net, MySQL, AWS, NodeJS, Flutter, HTML5")</f>
        <v>.Net, MySQL, AWS, NodeJS, Flutter, HTML5</v>
      </c>
      <c r="B635" s="42"/>
      <c r="N635" s="38"/>
      <c r="P635" s="42"/>
      <c r="AB635" s="38"/>
    </row>
    <row r="636">
      <c r="A636" s="41" t="str">
        <f>IFERROR(__xludf.DUMMYFUNCTION("""COMPUTED_VALUE"""),"react")</f>
        <v>react</v>
      </c>
      <c r="B636" s="42"/>
      <c r="N636" s="38"/>
      <c r="P636" s="42"/>
      <c r="AB636" s="38"/>
    </row>
    <row r="637">
      <c r="A637" s="41" t="str">
        <f>IFERROR(__xludf.DUMMYFUNCTION("""COMPUTED_VALUE"""),"Java Spring, AngularJS")</f>
        <v>Java Spring, AngularJS</v>
      </c>
      <c r="B637" s="42"/>
      <c r="N637" s="38"/>
      <c r="P637" s="42"/>
      <c r="AB637" s="38"/>
    </row>
    <row r="638">
      <c r="A638" s="41" t="str">
        <f>IFERROR(__xludf.DUMMYFUNCTION("""COMPUTED_VALUE"""),"C, Linux, Python, Networking")</f>
        <v>C, Linux, Python, Networking</v>
      </c>
      <c r="B638" s="42"/>
      <c r="N638" s="38"/>
      <c r="P638" s="42"/>
      <c r="AB638" s="38"/>
    </row>
    <row r="639">
      <c r="A639" s="41" t="str">
        <f>IFERROR(__xludf.DUMMYFUNCTION("""COMPUTED_VALUE"""),"Burp Suite")</f>
        <v>Burp Suite</v>
      </c>
      <c r="B639" s="42"/>
      <c r="N639" s="38"/>
      <c r="P639" s="42"/>
      <c r="AB639" s="38"/>
    </row>
    <row r="640">
      <c r="A640" s="41" t="str">
        <f>IFERROR(__xludf.DUMMYFUNCTION("""COMPUTED_VALUE"""),"Typescript, JavaScript, Python, React, NestJS, Azure")</f>
        <v>Typescript, JavaScript, Python, React, NestJS, Azure</v>
      </c>
      <c r="B640" s="42"/>
      <c r="N640" s="38"/>
      <c r="P640" s="42"/>
      <c r="AB640" s="38"/>
    </row>
    <row r="641">
      <c r="A641" s="41" t="str">
        <f>IFERROR(__xludf.DUMMYFUNCTION("""COMPUTED_VALUE"""),"Angular, PHP Laravel, MySQL")</f>
        <v>Angular, PHP Laravel, MySQL</v>
      </c>
      <c r="B641" s="42"/>
      <c r="N641" s="38"/>
      <c r="P641" s="42"/>
      <c r="AB641" s="38"/>
    </row>
    <row r="642">
      <c r="A642" s="41" t="str">
        <f>IFERROR(__xludf.DUMMYFUNCTION("""COMPUTED_VALUE"""),"AWS, Python, PHP")</f>
        <v>AWS, Python, PHP</v>
      </c>
      <c r="B642" s="42"/>
      <c r="N642" s="38"/>
      <c r="P642" s="42"/>
      <c r="AB642" s="38"/>
    </row>
    <row r="643">
      <c r="A643" s="41" t="str">
        <f>IFERROR(__xludf.DUMMYFUNCTION("""COMPUTED_VALUE"""),"Java, NodeJS, AWS")</f>
        <v>Java, NodeJS, AWS</v>
      </c>
      <c r="B643" s="42"/>
      <c r="N643" s="38"/>
      <c r="P643" s="42"/>
      <c r="AB643" s="38"/>
    </row>
    <row r="644">
      <c r="A644" s="41" t="str">
        <f>IFERROR(__xludf.DUMMYFUNCTION("""COMPUTED_VALUE"""),"Linux, lynx")</f>
        <v>Linux, lynx</v>
      </c>
      <c r="B644" s="42"/>
      <c r="N644" s="38"/>
      <c r="P644" s="42"/>
      <c r="AB644" s="38"/>
    </row>
    <row r="645">
      <c r="A645" s="41" t="str">
        <f>IFERROR(__xludf.DUMMYFUNCTION("""COMPUTED_VALUE"""),"Elixir, Elm, Rust, Postgresql, AWS")</f>
        <v>Elixir, Elm, Rust, Postgresql, AWS</v>
      </c>
      <c r="B645" s="42"/>
      <c r="N645" s="38"/>
      <c r="P645" s="42"/>
      <c r="AB645" s="38"/>
    </row>
    <row r="646">
      <c r="A646" s="41" t="str">
        <f>IFERROR(__xludf.DUMMYFUNCTION("""COMPUTED_VALUE"""),"Python")</f>
        <v>Python</v>
      </c>
      <c r="B646" s="42"/>
      <c r="N646" s="38"/>
      <c r="P646" s="42"/>
      <c r="AB646" s="38"/>
    </row>
    <row r="647">
      <c r="A647" s="41" t="str">
        <f>IFERROR(__xludf.DUMMYFUNCTION("""COMPUTED_VALUE"""),"Don't get it what topic of the question ")</f>
        <v>Don't get it what topic of the question </v>
      </c>
      <c r="B647" s="42"/>
      <c r="N647" s="38"/>
      <c r="P647" s="42"/>
      <c r="AB647" s="38"/>
    </row>
    <row r="648">
      <c r="A648" s="41" t="str">
        <f>IFERROR(__xludf.DUMMYFUNCTION("""COMPUTED_VALUE"""),"Php, Javascript")</f>
        <v>Php, Javascript</v>
      </c>
      <c r="B648" s="42"/>
      <c r="N648" s="38"/>
      <c r="P648" s="42"/>
      <c r="AB648" s="38"/>
    </row>
    <row r="649">
      <c r="A649" s="41" t="str">
        <f>IFERROR(__xludf.DUMMYFUNCTION("""COMPUTED_VALUE"""),"Python, Java")</f>
        <v>Python, Java</v>
      </c>
      <c r="B649" s="42"/>
      <c r="N649" s="38"/>
      <c r="P649" s="42"/>
      <c r="AB649" s="38"/>
    </row>
    <row r="650">
      <c r="A650" s="41" t="str">
        <f>IFERROR(__xludf.DUMMYFUNCTION("""COMPUTED_VALUE"""),".Net")</f>
        <v>.Net</v>
      </c>
      <c r="B650" s="42"/>
      <c r="N650" s="38"/>
      <c r="P650" s="42"/>
      <c r="AB650" s="38"/>
    </row>
    <row r="651">
      <c r="A651" s="41" t="str">
        <f>IFERROR(__xludf.DUMMYFUNCTION("""COMPUTED_VALUE"""),"Unity3D, Flutter, Kotlin")</f>
        <v>Unity3D, Flutter, Kotlin</v>
      </c>
      <c r="B651" s="42"/>
      <c r="N651" s="38"/>
      <c r="P651" s="42"/>
      <c r="AB651" s="38"/>
    </row>
    <row r="652">
      <c r="A652" s="41" t="str">
        <f>IFERROR(__xludf.DUMMYFUNCTION("""COMPUTED_VALUE"""),"Laravel, Vue.js, Flutter")</f>
        <v>Laravel, Vue.js, Flutter</v>
      </c>
      <c r="B652" s="42"/>
      <c r="N652" s="38"/>
      <c r="P652" s="42"/>
      <c r="AB652" s="38"/>
    </row>
    <row r="653">
      <c r="A653" s="41" t="str">
        <f>IFERROR(__xludf.DUMMYFUNCTION("""COMPUTED_VALUE"""),"AngularJs, Ionic, Cordova, Java, Spring, JasperReport")</f>
        <v>AngularJs, Ionic, Cordova, Java, Spring, JasperReport</v>
      </c>
      <c r="B653" s="42"/>
      <c r="N653" s="38"/>
      <c r="P653" s="42"/>
      <c r="AB653" s="38"/>
    </row>
    <row r="654">
      <c r="A654" s="41" t="str">
        <f>IFERROR(__xludf.DUMMYFUNCTION("""COMPUTED_VALUE"""),"HTML5, CSS3, JavaScript, React JS")</f>
        <v>HTML5, CSS3, JavaScript, React JS</v>
      </c>
      <c r="B654" s="42"/>
      <c r="N654" s="38"/>
      <c r="P654" s="42"/>
      <c r="AB654" s="38"/>
    </row>
    <row r="655">
      <c r="A655" s="41" t="str">
        <f>IFERROR(__xludf.DUMMYFUNCTION("""COMPUTED_VALUE"""),"PHYTON, NODEJS, EYE-TRACKING")</f>
        <v>PHYTON, NODEJS, EYE-TRACKING</v>
      </c>
      <c r="B655" s="42"/>
      <c r="N655" s="38"/>
      <c r="P655" s="42"/>
      <c r="AB655" s="38"/>
    </row>
    <row r="656">
      <c r="A656" s="41" t="str">
        <f>IFERROR(__xludf.DUMMYFUNCTION("""COMPUTED_VALUE"""),"node.js")</f>
        <v>node.js</v>
      </c>
      <c r="B656" s="42"/>
      <c r="N656" s="38"/>
      <c r="P656" s="42"/>
      <c r="AB656" s="38"/>
    </row>
    <row r="657">
      <c r="A657" s="41" t="str">
        <f>IFERROR(__xludf.DUMMYFUNCTION("""COMPUTED_VALUE"""),"Java ")</f>
        <v>Java </v>
      </c>
      <c r="B657" s="42"/>
      <c r="N657" s="38"/>
      <c r="P657" s="42"/>
      <c r="AB657" s="38"/>
    </row>
    <row r="658">
      <c r="A658" s="41" t="str">
        <f>IFERROR(__xludf.DUMMYFUNCTION("""COMPUTED_VALUE"""),"Javascript, java, postgres, centos, nodejs")</f>
        <v>Javascript, java, postgres, centos, nodejs</v>
      </c>
      <c r="B658" s="42"/>
      <c r="N658" s="38"/>
      <c r="P658" s="42"/>
      <c r="AB658" s="38"/>
    </row>
    <row r="659">
      <c r="A659" s="41" t="str">
        <f>IFERROR(__xludf.DUMMYFUNCTION("""COMPUTED_VALUE"""),"Xwiki")</f>
        <v>Xwiki</v>
      </c>
      <c r="B659" s="42"/>
      <c r="N659" s="38"/>
      <c r="P659" s="42"/>
      <c r="AB659" s="38"/>
    </row>
    <row r="660">
      <c r="A660" s="41" t="str">
        <f>IFERROR(__xludf.DUMMYFUNCTION("""COMPUTED_VALUE"""),"Jira,BitBucket,Git,Java,Confluence")</f>
        <v>Jira,BitBucket,Git,Java,Confluence</v>
      </c>
      <c r="B660" s="42"/>
      <c r="N660" s="38"/>
      <c r="P660" s="42"/>
      <c r="AB660" s="38"/>
    </row>
    <row r="661">
      <c r="A661" s="41" t="str">
        <f>IFERROR(__xludf.DUMMYFUNCTION("""COMPUTED_VALUE"""),"Java, sql")</f>
        <v>Java, sql</v>
      </c>
      <c r="B661" s="42"/>
      <c r="N661" s="38"/>
      <c r="P661" s="42"/>
      <c r="AB661" s="38"/>
    </row>
    <row r="662">
      <c r="A662" s="41" t="str">
        <f>IFERROR(__xludf.DUMMYFUNCTION("""COMPUTED_VALUE"""),"Nodejs,react ")</f>
        <v>Nodejs,react </v>
      </c>
      <c r="B662" s="42"/>
      <c r="N662" s="38"/>
      <c r="P662" s="42"/>
      <c r="AB662" s="38"/>
    </row>
    <row r="663">
      <c r="A663" s="41" t="str">
        <f>IFERROR(__xludf.DUMMYFUNCTION("""COMPUTED_VALUE"""),"Java")</f>
        <v>Java</v>
      </c>
      <c r="B663" s="42"/>
      <c r="N663" s="38"/>
      <c r="P663" s="42"/>
      <c r="AB663" s="38"/>
    </row>
    <row r="664">
      <c r="A664" s="41" t="str">
        <f>IFERROR(__xludf.DUMMYFUNCTION("""COMPUTED_VALUE"""),"Jenkins, AWS")</f>
        <v>Jenkins, AWS</v>
      </c>
      <c r="B664" s="42"/>
      <c r="N664" s="38"/>
      <c r="P664" s="42"/>
      <c r="AB664" s="38"/>
    </row>
    <row r="665">
      <c r="A665" s="41" t="str">
        <f>IFERROR(__xludf.DUMMYFUNCTION("""COMPUTED_VALUE"""),"Laravel, Vue.js, Node Js")</f>
        <v>Laravel, Vue.js, Node Js</v>
      </c>
      <c r="B665" s="42"/>
      <c r="N665" s="38"/>
      <c r="P665" s="42"/>
      <c r="AB665" s="38"/>
    </row>
    <row r="666">
      <c r="A666" s="41" t="str">
        <f>IFERROR(__xludf.DUMMYFUNCTION("""COMPUTED_VALUE"""),"Java, MySQL, Spring, Hibernate")</f>
        <v>Java, MySQL, Spring, Hibernate</v>
      </c>
      <c r="B666" s="42"/>
      <c r="N666" s="38"/>
      <c r="P666" s="42"/>
      <c r="AB666" s="38"/>
    </row>
    <row r="667">
      <c r="A667" s="41" t="str">
        <f>IFERROR(__xludf.DUMMYFUNCTION("""COMPUTED_VALUE"""),".Net, ASP Classic, PHP, JS")</f>
        <v>.Net, ASP Classic, PHP, JS</v>
      </c>
      <c r="B667" s="42"/>
      <c r="N667" s="38"/>
      <c r="P667" s="42"/>
      <c r="AB667" s="38"/>
    </row>
    <row r="668">
      <c r="A668" s="41" t="str">
        <f>IFERROR(__xludf.DUMMYFUNCTION("""COMPUTED_VALUE"""),"android kotlin")</f>
        <v>android kotlin</v>
      </c>
      <c r="B668" s="42"/>
      <c r="N668" s="38"/>
      <c r="P668" s="42"/>
      <c r="AB668" s="38"/>
    </row>
    <row r="669">
      <c r="A669" s="41" t="str">
        <f>IFERROR(__xludf.DUMMYFUNCTION("""COMPUTED_VALUE"""),"Kotlin, Java")</f>
        <v>Kotlin, Java</v>
      </c>
      <c r="B669" s="42"/>
      <c r="N669" s="38"/>
      <c r="P669" s="42"/>
      <c r="AB669" s="38"/>
    </row>
    <row r="670">
      <c r="A670" s="41" t="str">
        <f>IFERROR(__xludf.DUMMYFUNCTION("""COMPUTED_VALUE"""),"Python, Go")</f>
        <v>Python, Go</v>
      </c>
      <c r="B670" s="42"/>
      <c r="N670" s="38"/>
      <c r="P670" s="42"/>
      <c r="AB670" s="38"/>
    </row>
    <row r="671">
      <c r="A671" s="41" t="str">
        <f>IFERROR(__xludf.DUMMYFUNCTION("""COMPUTED_VALUE"""),"vuejs")</f>
        <v>vuejs</v>
      </c>
      <c r="B671" s="42"/>
      <c r="N671" s="38"/>
      <c r="P671" s="42"/>
      <c r="AB671" s="38"/>
    </row>
    <row r="672">
      <c r="A672" s="41" t="str">
        <f>IFERROR(__xludf.DUMMYFUNCTION("""COMPUTED_VALUE"""),"Java, Spring Boot, Microservices")</f>
        <v>Java, Spring Boot, Microservices</v>
      </c>
      <c r="B672" s="42"/>
      <c r="N672" s="38"/>
      <c r="P672" s="42"/>
      <c r="AB672" s="38"/>
    </row>
    <row r="673">
      <c r="A673" s="41" t="str">
        <f>IFERROR(__xludf.DUMMYFUNCTION("""COMPUTED_VALUE"""),"Laptop")</f>
        <v>Laptop</v>
      </c>
      <c r="B673" s="42"/>
      <c r="N673" s="38"/>
      <c r="P673" s="42"/>
      <c r="AB673" s="38"/>
    </row>
    <row r="674">
      <c r="A674" s="41" t="str">
        <f>IFERROR(__xludf.DUMMYFUNCTION("""COMPUTED_VALUE"""),"Flutter")</f>
        <v>Flutter</v>
      </c>
      <c r="B674" s="42"/>
      <c r="N674" s="38"/>
      <c r="P674" s="42"/>
      <c r="AB674" s="38"/>
    </row>
    <row r="675">
      <c r="A675" s="41" t="str">
        <f>IFERROR(__xludf.DUMMYFUNCTION("""COMPUTED_VALUE"""),"c#, sql, js, angular")</f>
        <v>c#, sql, js, angular</v>
      </c>
      <c r="B675" s="42"/>
      <c r="N675" s="38"/>
      <c r="P675" s="42"/>
      <c r="AB675" s="38"/>
    </row>
    <row r="676">
      <c r="A676" s="41" t="str">
        <f>IFERROR(__xludf.DUMMYFUNCTION("""COMPUTED_VALUE"""),"Power BI")</f>
        <v>Power BI</v>
      </c>
      <c r="B676" s="42"/>
      <c r="N676" s="38"/>
      <c r="P676" s="42"/>
      <c r="AB676" s="38"/>
    </row>
    <row r="677">
      <c r="A677" s="41" t="str">
        <f>IFERROR(__xludf.DUMMYFUNCTION("""COMPUTED_VALUE"""),"Vue, CSS, HTML, WordPress &amp; etc")</f>
        <v>Vue, CSS, HTML, WordPress &amp; etc</v>
      </c>
      <c r="B677" s="42"/>
      <c r="N677" s="38"/>
      <c r="P677" s="42"/>
      <c r="AB677" s="38"/>
    </row>
    <row r="678">
      <c r="A678" s="41" t="str">
        <f>IFERROR(__xludf.DUMMYFUNCTION("""COMPUTED_VALUE"""),"Java")</f>
        <v>Java</v>
      </c>
      <c r="B678" s="42"/>
      <c r="N678" s="38"/>
      <c r="P678" s="42"/>
      <c r="AB678" s="38"/>
    </row>
    <row r="679">
      <c r="A679" s="41" t="str">
        <f>IFERROR(__xludf.DUMMYFUNCTION("""COMPUTED_VALUE"""),"Hh")</f>
        <v>Hh</v>
      </c>
      <c r="B679" s="42"/>
      <c r="N679" s="38"/>
      <c r="P679" s="42"/>
      <c r="AB679" s="38"/>
    </row>
    <row r="680">
      <c r="A680" s="41" t="str">
        <f>IFERROR(__xludf.DUMMYFUNCTION("""COMPUTED_VALUE"""),"Alot. MEAN or MERN")</f>
        <v>Alot. MEAN or MERN</v>
      </c>
      <c r="B680" s="42"/>
      <c r="N680" s="38"/>
      <c r="P680" s="42"/>
      <c r="AB680" s="38"/>
    </row>
    <row r="681">
      <c r="A681" s="41" t="str">
        <f>IFERROR(__xludf.DUMMYFUNCTION("""COMPUTED_VALUE"""),"Java, Spring Boot, Play Framework")</f>
        <v>Java, Spring Boot, Play Framework</v>
      </c>
      <c r="B681" s="42"/>
      <c r="N681" s="38"/>
      <c r="P681" s="42"/>
      <c r="AB681" s="38"/>
    </row>
    <row r="682">
      <c r="A682" s="41" t="str">
        <f>IFERROR(__xludf.DUMMYFUNCTION("""COMPUTED_VALUE"""),"Go, Java, Spark, Flink")</f>
        <v>Go, Java, Spark, Flink</v>
      </c>
      <c r="B682" s="42"/>
      <c r="N682" s="38"/>
      <c r="P682" s="42"/>
      <c r="AB682" s="38"/>
    </row>
    <row r="683">
      <c r="A683" s="41" t="str">
        <f>IFERROR(__xludf.DUMMYFUNCTION("""COMPUTED_VALUE"""),"React Native")</f>
        <v>React Native</v>
      </c>
      <c r="B683" s="42"/>
      <c r="N683" s="38"/>
      <c r="P683" s="42"/>
      <c r="AB683" s="38"/>
    </row>
    <row r="684">
      <c r="A684" s="41" t="str">
        <f>IFERROR(__xludf.DUMMYFUNCTION("""COMPUTED_VALUE"""),"Python")</f>
        <v>Python</v>
      </c>
      <c r="B684" s="42"/>
      <c r="N684" s="38"/>
      <c r="P684" s="42"/>
      <c r="AB684" s="38"/>
    </row>
    <row r="685">
      <c r="A685" s="41" t="str">
        <f>IFERROR(__xludf.DUMMYFUNCTION("""COMPUTED_VALUE"""),"big data")</f>
        <v>big data</v>
      </c>
      <c r="B685" s="42"/>
      <c r="N685" s="38"/>
      <c r="P685" s="42"/>
      <c r="AB685" s="38"/>
    </row>
    <row r="686">
      <c r="A686" s="41" t="str">
        <f>IFERROR(__xludf.DUMMYFUNCTION("""COMPUTED_VALUE"""),"UIPath")</f>
        <v>UIPath</v>
      </c>
      <c r="B686" s="42"/>
      <c r="N686" s="38"/>
      <c r="P686" s="42"/>
      <c r="AB686" s="38"/>
    </row>
    <row r="687">
      <c r="A687" s="41" t="str">
        <f>IFERROR(__xludf.DUMMYFUNCTION("""COMPUTED_VALUE"""),"Microsoft 365, company internal software")</f>
        <v>Microsoft 365, company internal software</v>
      </c>
      <c r="B687" s="42"/>
      <c r="N687" s="38"/>
      <c r="P687" s="42"/>
      <c r="AB687" s="38"/>
    </row>
    <row r="688">
      <c r="A688" s="41" t="str">
        <f>IFERROR(__xludf.DUMMYFUNCTION("""COMPUTED_VALUE"""),"Android, Kotlin")</f>
        <v>Android, Kotlin</v>
      </c>
      <c r="B688" s="42"/>
      <c r="N688" s="38"/>
      <c r="P688" s="42"/>
      <c r="AB688" s="38"/>
    </row>
    <row r="689">
      <c r="A689" s="41" t="str">
        <f>IFERROR(__xludf.DUMMYFUNCTION("""COMPUTED_VALUE"""),"C#, ASP.NET, MVC, GITHUB, ANGULAR, JAVASCRIPT, JQUERY, BOOTSTRAP")</f>
        <v>C#, ASP.NET, MVC, GITHUB, ANGULAR, JAVASCRIPT, JQUERY, BOOTSTRAP</v>
      </c>
      <c r="B689" s="42"/>
      <c r="N689" s="38"/>
      <c r="P689" s="42"/>
      <c r="AB689" s="38"/>
    </row>
    <row r="690">
      <c r="A690" s="41" t="str">
        <f>IFERROR(__xludf.DUMMYFUNCTION("""COMPUTED_VALUE"""),"python web-framework plc uiux")</f>
        <v>python web-framework plc uiux</v>
      </c>
      <c r="B690" s="42"/>
      <c r="N690" s="38"/>
      <c r="P690" s="42"/>
      <c r="AB690" s="38"/>
    </row>
    <row r="691">
      <c r="A691" s="41" t="str">
        <f>IFERROR(__xludf.DUMMYFUNCTION("""COMPUTED_VALUE"""),"PHP")</f>
        <v>PHP</v>
      </c>
      <c r="B691" s="42"/>
      <c r="N691" s="38"/>
      <c r="P691" s="42"/>
      <c r="AB691" s="38"/>
    </row>
    <row r="692">
      <c r="A692" s="41" t="str">
        <f>IFERROR(__xludf.DUMMYFUNCTION("""COMPUTED_VALUE"""),"Excel")</f>
        <v>Excel</v>
      </c>
      <c r="B692" s="42"/>
      <c r="N692" s="38"/>
      <c r="P692" s="42"/>
      <c r="AB692" s="38"/>
    </row>
    <row r="693">
      <c r="A693" s="41" t="str">
        <f>IFERROR(__xludf.DUMMYFUNCTION("""COMPUTED_VALUE"""),"-")</f>
        <v>-</v>
      </c>
      <c r="B693" s="42"/>
      <c r="N693" s="38"/>
      <c r="P693" s="42"/>
      <c r="AB693" s="38"/>
    </row>
    <row r="694">
      <c r="A694" s="41" t="str">
        <f>IFERROR(__xludf.DUMMYFUNCTION("""COMPUTED_VALUE"""),"Java Spring Boot, Postman, SQL")</f>
        <v>Java Spring Boot, Postman, SQL</v>
      </c>
      <c r="B694" s="42"/>
      <c r="N694" s="38"/>
      <c r="P694" s="42"/>
      <c r="AB694" s="38"/>
    </row>
    <row r="695">
      <c r="A695" s="41" t="str">
        <f>IFERROR(__xludf.DUMMYFUNCTION("""COMPUTED_VALUE"""),"C#")</f>
        <v>C#</v>
      </c>
      <c r="B695" s="42"/>
      <c r="N695" s="38"/>
      <c r="P695" s="42"/>
      <c r="AB695" s="38"/>
    </row>
    <row r="696">
      <c r="A696" s="41" t="str">
        <f>IFERROR(__xludf.DUMMYFUNCTION("""COMPUTED_VALUE"""),".net core(Xamarin)")</f>
        <v>.net core(Xamarin)</v>
      </c>
      <c r="B696" s="42"/>
      <c r="N696" s="38"/>
      <c r="P696" s="42"/>
      <c r="AB696" s="38"/>
    </row>
    <row r="697">
      <c r="A697" s="41" t="str">
        <f>IFERROR(__xludf.DUMMYFUNCTION("""COMPUTED_VALUE"""),"React Native, Objective - C, Swift")</f>
        <v>React Native, Objective - C, Swift</v>
      </c>
      <c r="B697" s="42"/>
      <c r="N697" s="38"/>
      <c r="P697" s="42"/>
      <c r="AB697" s="38"/>
    </row>
    <row r="698">
      <c r="A698" s="41" t="str">
        <f>IFERROR(__xludf.DUMMYFUNCTION("""COMPUTED_VALUE"""),"Node,react,mysql")</f>
        <v>Node,react,mysql</v>
      </c>
      <c r="B698" s="42"/>
      <c r="N698" s="38"/>
      <c r="P698" s="42"/>
      <c r="AB698" s="38"/>
    </row>
    <row r="699">
      <c r="A699" s="41" t="str">
        <f>IFERROR(__xludf.DUMMYFUNCTION("""COMPUTED_VALUE"""),"C#, .Net")</f>
        <v>C#, .Net</v>
      </c>
      <c r="B699" s="42"/>
      <c r="N699" s="38"/>
      <c r="P699" s="42"/>
      <c r="AB699" s="38"/>
    </row>
    <row r="700">
      <c r="A700" s="41" t="str">
        <f>IFERROR(__xludf.DUMMYFUNCTION("""COMPUTED_VALUE"""),"PHP Yii")</f>
        <v>PHP Yii</v>
      </c>
      <c r="B700" s="42"/>
      <c r="N700" s="38"/>
      <c r="P700" s="42"/>
      <c r="AB700" s="38"/>
    </row>
    <row r="701">
      <c r="A701" s="41" t="str">
        <f>IFERROR(__xludf.DUMMYFUNCTION("""COMPUTED_VALUE"""),"ASP.net Core, React, Laravel")</f>
        <v>ASP.net Core, React, Laravel</v>
      </c>
      <c r="B701" s="42"/>
      <c r="N701" s="38"/>
      <c r="P701" s="42"/>
      <c r="AB701" s="38"/>
    </row>
    <row r="702">
      <c r="A702" s="41" t="str">
        <f>IFERROR(__xludf.DUMMYFUNCTION("""COMPUTED_VALUE"""),"JIRA, Zephyr, Postman, Charles Proxy")</f>
        <v>JIRA, Zephyr, Postman, Charles Proxy</v>
      </c>
      <c r="B702" s="42"/>
      <c r="N702" s="38"/>
      <c r="P702" s="42"/>
      <c r="AB702" s="38"/>
    </row>
    <row r="703">
      <c r="A703" s="41" t="str">
        <f>IFERROR(__xludf.DUMMYFUNCTION("""COMPUTED_VALUE"""),"c# c++")</f>
        <v>c# c++</v>
      </c>
      <c r="B703" s="42"/>
      <c r="N703" s="38"/>
      <c r="P703" s="42"/>
      <c r="AB703" s="38"/>
    </row>
    <row r="704">
      <c r="A704" s="41" t="str">
        <f>IFERROR(__xludf.DUMMYFUNCTION("""COMPUTED_VALUE"""),"web")</f>
        <v>web</v>
      </c>
      <c r="B704" s="42"/>
      <c r="N704" s="38"/>
      <c r="P704" s="42"/>
      <c r="AB704" s="38"/>
    </row>
    <row r="705">
      <c r="A705" s="41" t="str">
        <f>IFERROR(__xludf.DUMMYFUNCTION("""COMPUTED_VALUE"""),"Kubernetes, Python, Docker, Nifi, Kafka, Azure")</f>
        <v>Kubernetes, Python, Docker, Nifi, Kafka, Azure</v>
      </c>
      <c r="B705" s="42"/>
      <c r="N705" s="38"/>
      <c r="P705" s="42"/>
      <c r="AB705" s="38"/>
    </row>
    <row r="706">
      <c r="A706" s="41" t="str">
        <f>IFERROR(__xludf.DUMMYFUNCTION("""COMPUTED_VALUE"""),"Ruby on Rails")</f>
        <v>Ruby on Rails</v>
      </c>
      <c r="B706" s="42"/>
      <c r="N706" s="38"/>
      <c r="P706" s="42"/>
      <c r="AB706" s="38"/>
    </row>
    <row r="707">
      <c r="A707" s="41" t="str">
        <f>IFERROR(__xludf.DUMMYFUNCTION("""COMPUTED_VALUE"""),"go, python")</f>
        <v>go, python</v>
      </c>
      <c r="B707" s="42"/>
      <c r="N707" s="38"/>
      <c r="P707" s="42"/>
      <c r="AB707" s="38"/>
    </row>
    <row r="708">
      <c r="A708" s="41" t="str">
        <f>IFERROR(__xludf.DUMMYFUNCTION("""COMPUTED_VALUE"""),"Java web")</f>
        <v>Java web</v>
      </c>
      <c r="B708" s="42"/>
      <c r="N708" s="38"/>
      <c r="P708" s="42"/>
      <c r="AB708" s="38"/>
    </row>
    <row r="709">
      <c r="A709" s="41" t="str">
        <f>IFERROR(__xludf.DUMMYFUNCTION("""COMPUTED_VALUE"""),"nodejs, react, nestjs")</f>
        <v>nodejs, react, nestjs</v>
      </c>
      <c r="B709" s="42"/>
      <c r="N709" s="38"/>
      <c r="P709" s="42"/>
      <c r="AB709" s="38"/>
    </row>
    <row r="710">
      <c r="A710" s="41" t="str">
        <f>IFERROR(__xludf.DUMMYFUNCTION("""COMPUTED_VALUE"""),"Atlassian suites, git, Javascript")</f>
        <v>Atlassian suites, git, Javascript</v>
      </c>
      <c r="B710" s="42"/>
      <c r="N710" s="38"/>
      <c r="P710" s="42"/>
      <c r="AB710" s="38"/>
    </row>
    <row r="711">
      <c r="A711" s="41" t="str">
        <f>IFERROR(__xludf.DUMMYFUNCTION("""COMPUTED_VALUE"""),"Spring Boot, React Native")</f>
        <v>Spring Boot, React Native</v>
      </c>
      <c r="B711" s="42"/>
      <c r="N711" s="38"/>
      <c r="P711" s="42"/>
      <c r="AB711" s="38"/>
    </row>
    <row r="712">
      <c r="A712" s="41" t="str">
        <f>IFERROR(__xludf.DUMMYFUNCTION("""COMPUTED_VALUE"""),"angular,.net,html,css,js,ts,tsql,python,react")</f>
        <v>angular,.net,html,css,js,ts,tsql,python,react</v>
      </c>
      <c r="B712" s="42"/>
      <c r="N712" s="38"/>
      <c r="P712" s="42"/>
      <c r="AB712" s="38"/>
    </row>
    <row r="713">
      <c r="A713" s="41" t="str">
        <f>IFERROR(__xludf.DUMMYFUNCTION("""COMPUTED_VALUE"""),"IBM AS400, SQL")</f>
        <v>IBM AS400, SQL</v>
      </c>
      <c r="B713" s="42"/>
      <c r="N713" s="38"/>
      <c r="P713" s="42"/>
      <c r="AB713" s="38"/>
    </row>
    <row r="714">
      <c r="A714" s="45" t="str">
        <f>IFERROR(__xludf.DUMMYFUNCTION("""COMPUTED_VALUE"""),"ASP.NET")</f>
        <v>ASP.NET</v>
      </c>
      <c r="B714" s="42"/>
      <c r="N714" s="38"/>
      <c r="P714" s="42"/>
      <c r="AB714" s="38"/>
    </row>
    <row r="715">
      <c r="A715" s="41" t="str">
        <f>IFERROR(__xludf.DUMMYFUNCTION("""COMPUTED_VALUE"""),"React, Javascript, AWS, CSS, Sass, JSX")</f>
        <v>React, Javascript, AWS, CSS, Sass, JSX</v>
      </c>
      <c r="B715" s="42"/>
      <c r="N715" s="38"/>
      <c r="P715" s="42"/>
      <c r="AB715" s="38"/>
    </row>
    <row r="716">
      <c r="A716" s="41" t="str">
        <f>IFERROR(__xludf.DUMMYFUNCTION("""COMPUTED_VALUE"""),"Github")</f>
        <v>Github</v>
      </c>
      <c r="B716" s="42"/>
      <c r="N716" s="38"/>
      <c r="P716" s="42"/>
      <c r="AB716" s="38"/>
    </row>
    <row r="717">
      <c r="A717" s="41" t="str">
        <f>IFERROR(__xludf.DUMMYFUNCTION("""COMPUTED_VALUE"""),"GCP, AWS")</f>
        <v>GCP, AWS</v>
      </c>
      <c r="B717" s="42"/>
      <c r="N717" s="38"/>
      <c r="P717" s="42"/>
      <c r="AB717" s="38"/>
    </row>
    <row r="718">
      <c r="A718" s="41" t="str">
        <f>IFERROR(__xludf.DUMMYFUNCTION("""COMPUTED_VALUE"""),".net, c#")</f>
        <v>.net, c#</v>
      </c>
      <c r="B718" s="42"/>
      <c r="N718" s="38"/>
      <c r="P718" s="42"/>
      <c r="AB718" s="38"/>
    </row>
    <row r="719">
      <c r="A719" s="41" t="str">
        <f>IFERROR(__xludf.DUMMYFUNCTION("""COMPUTED_VALUE"""),"Many")</f>
        <v>Many</v>
      </c>
      <c r="B719" s="42"/>
      <c r="N719" s="38"/>
      <c r="P719" s="42"/>
      <c r="AB719" s="38"/>
    </row>
    <row r="720">
      <c r="A720" s="41" t="str">
        <f>IFERROR(__xludf.DUMMYFUNCTION("""COMPUTED_VALUE"""),"Reactjs, vuejs, .net core, cubejs, nodejs, kubernete, docker, rest api")</f>
        <v>Reactjs, vuejs, .net core, cubejs, nodejs, kubernete, docker, rest api</v>
      </c>
      <c r="B720" s="42"/>
      <c r="N720" s="38"/>
      <c r="P720" s="42"/>
      <c r="AB720" s="38"/>
    </row>
    <row r="721">
      <c r="A721" s="41" t="str">
        <f>IFERROR(__xludf.DUMMYFUNCTION("""COMPUTED_VALUE"""),"Mulesoft, cloud")</f>
        <v>Mulesoft, cloud</v>
      </c>
      <c r="B721" s="42"/>
      <c r="N721" s="38"/>
      <c r="P721" s="42"/>
      <c r="AB721" s="38"/>
    </row>
    <row r="722">
      <c r="A722" s="41" t="str">
        <f>IFERROR(__xludf.DUMMYFUNCTION("""COMPUTED_VALUE"""),"Laravel, vue")</f>
        <v>Laravel, vue</v>
      </c>
      <c r="B722" s="42"/>
      <c r="N722" s="38"/>
      <c r="P722" s="42"/>
      <c r="AB722" s="38"/>
    </row>
    <row r="723">
      <c r="A723" s="41" t="str">
        <f>IFERROR(__xludf.DUMMYFUNCTION("""COMPUTED_VALUE"""),"C#")</f>
        <v>C#</v>
      </c>
      <c r="B723" s="42"/>
      <c r="N723" s="38"/>
      <c r="P723" s="42"/>
      <c r="AB723" s="38"/>
    </row>
    <row r="724">
      <c r="A724" s="41" t="str">
        <f>IFERROR(__xludf.DUMMYFUNCTION("""COMPUTED_VALUE"""),"Flutter")</f>
        <v>Flutter</v>
      </c>
      <c r="B724" s="42"/>
      <c r="N724" s="38"/>
      <c r="P724" s="42"/>
      <c r="AB724" s="38"/>
    </row>
    <row r="725">
      <c r="A725" s="41" t="str">
        <f>IFERROR(__xludf.DUMMYFUNCTION("""COMPUTED_VALUE"""),"Python, Javascript")</f>
        <v>Python, Javascript</v>
      </c>
      <c r="B725" s="42"/>
      <c r="N725" s="38"/>
      <c r="P725" s="42"/>
      <c r="AB725" s="38"/>
    </row>
    <row r="726">
      <c r="A726" s="41" t="str">
        <f>IFERROR(__xludf.DUMMYFUNCTION("""COMPUTED_VALUE"""),"Java")</f>
        <v>Java</v>
      </c>
      <c r="B726" s="42"/>
      <c r="N726" s="38"/>
      <c r="P726" s="42"/>
      <c r="AB726" s="38"/>
    </row>
    <row r="727">
      <c r="A727" s="41" t="str">
        <f>IFERROR(__xludf.DUMMYFUNCTION("""COMPUTED_VALUE"""),"Qlikview, business intelligence, sap")</f>
        <v>Qlikview, business intelligence, sap</v>
      </c>
      <c r="B727" s="42"/>
      <c r="N727" s="38"/>
      <c r="P727" s="42"/>
      <c r="AB727" s="38"/>
    </row>
    <row r="728">
      <c r="A728" s="41" t="str">
        <f>IFERROR(__xludf.DUMMYFUNCTION("""COMPUTED_VALUE"""),"serviceNow")</f>
        <v>serviceNow</v>
      </c>
      <c r="B728" s="42"/>
      <c r="N728" s="38"/>
      <c r="P728" s="42"/>
      <c r="AB728" s="38"/>
    </row>
    <row r="729">
      <c r="A729" s="41" t="str">
        <f>IFERROR(__xludf.DUMMYFUNCTION("""COMPUTED_VALUE"""),"ReactJS, HTML, CSS, JavaScript, Java, bash, groovy")</f>
        <v>ReactJS, HTML, CSS, JavaScript, Java, bash, groovy</v>
      </c>
      <c r="B729" s="42"/>
      <c r="N729" s="38"/>
      <c r="P729" s="42"/>
      <c r="AB729" s="38"/>
    </row>
    <row r="730">
      <c r="A730" s="41" t="str">
        <f>IFERROR(__xludf.DUMMYFUNCTION("""COMPUTED_VALUE"""),"React, laravel, heidisql, nextjs")</f>
        <v>React, laravel, heidisql, nextjs</v>
      </c>
      <c r="B730" s="42"/>
      <c r="N730" s="38"/>
      <c r="P730" s="42"/>
      <c r="AB730" s="38"/>
    </row>
    <row r="731">
      <c r="A731" s="41" t="str">
        <f>IFERROR(__xludf.DUMMYFUNCTION("""COMPUTED_VALUE"""),"JS, PHP, MySQL")</f>
        <v>JS, PHP, MySQL</v>
      </c>
      <c r="B731" s="42"/>
      <c r="N731" s="38"/>
      <c r="P731" s="42"/>
      <c r="AB731" s="38"/>
    </row>
    <row r="732">
      <c r="A732" s="41" t="str">
        <f>IFERROR(__xludf.DUMMYFUNCTION("""COMPUTED_VALUE"""),"ReactJs, golang, docker, kubernetes, gcp, big query, spark")</f>
        <v>ReactJs, golang, docker, kubernetes, gcp, big query, spark</v>
      </c>
      <c r="B732" s="42"/>
      <c r="N732" s="38"/>
      <c r="P732" s="42"/>
      <c r="AB732" s="38"/>
    </row>
    <row r="733">
      <c r="A733" s="41" t="str">
        <f>IFERROR(__xludf.DUMMYFUNCTION("""COMPUTED_VALUE"""),"Python, Flask, Nodejs")</f>
        <v>Python, Flask, Nodejs</v>
      </c>
      <c r="B733" s="42"/>
      <c r="N733" s="38"/>
      <c r="P733" s="42"/>
      <c r="AB733" s="38"/>
    </row>
    <row r="734">
      <c r="A734" s="41" t="str">
        <f>IFERROR(__xludf.DUMMYFUNCTION("""COMPUTED_VALUE"""),"docker, java, springboot, microservices")</f>
        <v>docker, java, springboot, microservices</v>
      </c>
      <c r="B734" s="42"/>
      <c r="N734" s="38"/>
      <c r="P734" s="42"/>
      <c r="AB734" s="38"/>
    </row>
    <row r="735">
      <c r="A735" s="41" t="str">
        <f>IFERROR(__xludf.DUMMYFUNCTION("""COMPUTED_VALUE"""),"Java Spingboot, Angular, Jenkins, Oracle Weblogic")</f>
        <v>Java Spingboot, Angular, Jenkins, Oracle Weblogic</v>
      </c>
      <c r="B735" s="42"/>
      <c r="N735" s="38"/>
      <c r="P735" s="42"/>
      <c r="AB735" s="38"/>
    </row>
    <row r="736">
      <c r="A736" s="41" t="str">
        <f>IFERROR(__xludf.DUMMYFUNCTION("""COMPUTED_VALUE"""),"Java, Jira, PL/SQL")</f>
        <v>Java, Jira, PL/SQL</v>
      </c>
      <c r="B736" s="42"/>
      <c r="N736" s="38"/>
      <c r="P736" s="42"/>
      <c r="AB736" s="38"/>
    </row>
    <row r="737">
      <c r="A737" s="41" t="str">
        <f>IFERROR(__xludf.DUMMYFUNCTION("""COMPUTED_VALUE"""),"Js, .net, css, git")</f>
        <v>Js, .net, css, git</v>
      </c>
      <c r="B737" s="42"/>
      <c r="N737" s="38"/>
      <c r="P737" s="42"/>
      <c r="AB737" s="38"/>
    </row>
    <row r="738">
      <c r="A738" s="41" t="str">
        <f>IFERROR(__xludf.DUMMYFUNCTION("""COMPUTED_VALUE"""),"Flutter")</f>
        <v>Flutter</v>
      </c>
      <c r="B738" s="42"/>
      <c r="N738" s="38"/>
      <c r="P738" s="42"/>
      <c r="AB738" s="38"/>
    </row>
    <row r="739">
      <c r="A739" s="41" t="str">
        <f>IFERROR(__xludf.DUMMYFUNCTION("""COMPUTED_VALUE"""),"Flask, Spring Boot, Azure, AWS")</f>
        <v>Flask, Spring Boot, Azure, AWS</v>
      </c>
      <c r="B739" s="42"/>
      <c r="N739" s="38"/>
      <c r="P739" s="42"/>
      <c r="AB739" s="38"/>
    </row>
    <row r="740">
      <c r="A740" s="41" t="str">
        <f>IFERROR(__xludf.DUMMYFUNCTION("""COMPUTED_VALUE"""),"Flutter")</f>
        <v>Flutter</v>
      </c>
      <c r="B740" s="42"/>
      <c r="N740" s="38"/>
      <c r="P740" s="42"/>
      <c r="AB740" s="38"/>
    </row>
    <row r="741">
      <c r="A741" s="41" t="str">
        <f>IFERROR(__xludf.DUMMYFUNCTION("""COMPUTED_VALUE"""),"Codeignitor, Javascript, Webix UI")</f>
        <v>Codeignitor, Javascript, Webix UI</v>
      </c>
      <c r="B741" s="42"/>
      <c r="N741" s="38"/>
      <c r="P741" s="42"/>
      <c r="AB741" s="38"/>
    </row>
    <row r="742">
      <c r="A742" s="41" t="str">
        <f>IFERROR(__xludf.DUMMYFUNCTION("""COMPUTED_VALUE"""),"java, jenkins, alicloud, angular, mysql, oracle db")</f>
        <v>java, jenkins, alicloud, angular, mysql, oracle db</v>
      </c>
      <c r="B742" s="42"/>
      <c r="N742" s="38"/>
      <c r="P742" s="42"/>
      <c r="AB742" s="38"/>
    </row>
    <row r="743">
      <c r="A743" s="41" t="str">
        <f>IFERROR(__xludf.DUMMYFUNCTION("""COMPUTED_VALUE"""),"Sofaboot ")</f>
        <v>Sofaboot </v>
      </c>
      <c r="B743" s="42"/>
      <c r="N743" s="38"/>
      <c r="P743" s="42"/>
      <c r="AB743" s="38"/>
    </row>
    <row r="744">
      <c r="A744" s="41" t="str">
        <f>IFERROR(__xludf.DUMMYFUNCTION("""COMPUTED_VALUE"""),"Android, kotlin")</f>
        <v>Android, kotlin</v>
      </c>
      <c r="B744" s="42"/>
      <c r="N744" s="38"/>
      <c r="P744" s="42"/>
      <c r="AB744" s="38"/>
    </row>
    <row r="745">
      <c r="A745" s="41" t="str">
        <f>IFERROR(__xludf.DUMMYFUNCTION("""COMPUTED_VALUE"""),"ASP.NET,Angular,Azure")</f>
        <v>ASP.NET,Angular,Azure</v>
      </c>
      <c r="B745" s="42"/>
      <c r="N745" s="38"/>
      <c r="P745" s="42"/>
      <c r="AB745" s="38"/>
    </row>
    <row r="746">
      <c r="A746" s="41" t="str">
        <f>IFERROR(__xludf.DUMMYFUNCTION("""COMPUTED_VALUE"""),"Kubernetes , openshift, micro service")</f>
        <v>Kubernetes , openshift, micro service</v>
      </c>
      <c r="B746" s="42"/>
      <c r="N746" s="38"/>
      <c r="P746" s="42"/>
      <c r="AB746" s="38"/>
    </row>
    <row r="747">
      <c r="A747" s="41" t="str">
        <f>IFERROR(__xludf.DUMMYFUNCTION("""COMPUTED_VALUE"""),"Angular,. Net core, kubernetes, docker")</f>
        <v>Angular,. Net core, kubernetes, docker</v>
      </c>
      <c r="B747" s="42"/>
      <c r="N747" s="38"/>
      <c r="P747" s="42"/>
      <c r="AB747" s="38"/>
    </row>
    <row r="748">
      <c r="A748" s="41" t="str">
        <f>IFERROR(__xludf.DUMMYFUNCTION("""COMPUTED_VALUE"""),"Laptop")</f>
        <v>Laptop</v>
      </c>
      <c r="B748" s="42"/>
      <c r="N748" s="38"/>
      <c r="P748" s="42"/>
      <c r="AB748" s="38"/>
    </row>
    <row r="749">
      <c r="A749" s="41" t="str">
        <f>IFERROR(__xludf.DUMMYFUNCTION("""COMPUTED_VALUE"""),"SAP,JAVA")</f>
        <v>SAP,JAVA</v>
      </c>
      <c r="B749" s="42"/>
      <c r="N749" s="38"/>
      <c r="P749" s="42"/>
      <c r="AB749" s="38"/>
    </row>
    <row r="750">
      <c r="A750" s="41" t="str">
        <f>IFERROR(__xludf.DUMMYFUNCTION("""COMPUTED_VALUE"""),"C# , SQL")</f>
        <v>C# , SQL</v>
      </c>
      <c r="B750" s="42"/>
      <c r="N750" s="38"/>
      <c r="P750" s="42"/>
      <c r="AB750" s="38"/>
    </row>
    <row r="751">
      <c r="A751" s="41" t="str">
        <f>IFERROR(__xludf.DUMMYFUNCTION("""COMPUTED_VALUE"""),"C++")</f>
        <v>C++</v>
      </c>
      <c r="B751" s="42"/>
      <c r="N751" s="38"/>
      <c r="P751" s="42"/>
      <c r="AB751" s="38"/>
    </row>
    <row r="752">
      <c r="A752" s="41" t="str">
        <f>IFERROR(__xludf.DUMMYFUNCTION("""COMPUTED_VALUE"""),"SpringBoot")</f>
        <v>SpringBoot</v>
      </c>
      <c r="B752" s="42"/>
      <c r="N752" s="38"/>
      <c r="P752" s="42"/>
      <c r="AB752" s="38"/>
    </row>
    <row r="753">
      <c r="A753" s="41" t="str">
        <f>IFERROR(__xludf.DUMMYFUNCTION("""COMPUTED_VALUE"""),"Docker")</f>
        <v>Docker</v>
      </c>
      <c r="B753" s="42"/>
      <c r="N753" s="38"/>
      <c r="P753" s="42"/>
      <c r="AB753" s="38"/>
    </row>
    <row r="754">
      <c r="A754" s="41" t="str">
        <f>IFERROR(__xludf.DUMMYFUNCTION("""COMPUTED_VALUE"""),"C#")</f>
        <v>C#</v>
      </c>
      <c r="B754" s="42"/>
      <c r="N754" s="38"/>
      <c r="P754" s="42"/>
      <c r="AB754" s="38"/>
    </row>
    <row r="755">
      <c r="A755" s="41" t="str">
        <f>IFERROR(__xludf.DUMMYFUNCTION("""COMPUTED_VALUE"""),"Android Studio, Intelli J ")</f>
        <v>Android Studio, Intelli J </v>
      </c>
      <c r="B755" s="42"/>
      <c r="N755" s="38"/>
      <c r="P755" s="42"/>
      <c r="AB755" s="38"/>
    </row>
    <row r="756">
      <c r="A756" s="41" t="str">
        <f>IFERROR(__xludf.DUMMYFUNCTION("""COMPUTED_VALUE"""),"Typescript, Javascript, Webflow, AWS, React, Vue")</f>
        <v>Typescript, Javascript, Webflow, AWS, React, Vue</v>
      </c>
      <c r="B756" s="42"/>
      <c r="N756" s="38"/>
      <c r="P756" s="42"/>
      <c r="AB756" s="38"/>
    </row>
    <row r="757">
      <c r="A757" s="41" t="str">
        <f>IFERROR(__xludf.DUMMYFUNCTION("""COMPUTED_VALUE"""),"golang, aws")</f>
        <v>golang, aws</v>
      </c>
      <c r="B757" s="42"/>
      <c r="N757" s="38"/>
      <c r="P757" s="42"/>
      <c r="AB757" s="38"/>
    </row>
    <row r="758">
      <c r="A758" s="41" t="str">
        <f>IFERROR(__xludf.DUMMYFUNCTION("""COMPUTED_VALUE"""),"React, .net core, C#, MSSQL, SQL, alibaba, aws")</f>
        <v>React, .net core, C#, MSSQL, SQL, alibaba, aws</v>
      </c>
      <c r="B758" s="42"/>
      <c r="N758" s="38"/>
      <c r="P758" s="42"/>
      <c r="AB758" s="38"/>
    </row>
    <row r="759">
      <c r="A759" s="41" t="str">
        <f>IFERROR(__xludf.DUMMYFUNCTION("""COMPUTED_VALUE"""),"Blockchain API, Discord API")</f>
        <v>Blockchain API, Discord API</v>
      </c>
      <c r="B759" s="42"/>
      <c r="N759" s="38"/>
      <c r="P759" s="42"/>
      <c r="AB759" s="38"/>
    </row>
    <row r="760">
      <c r="A760" s="41" t="str">
        <f>IFERROR(__xludf.DUMMYFUNCTION("""COMPUTED_VALUE"""),"Web development")</f>
        <v>Web development</v>
      </c>
      <c r="B760" s="42"/>
      <c r="N760" s="38"/>
      <c r="P760" s="42"/>
      <c r="AB760" s="38"/>
    </row>
    <row r="761">
      <c r="A761" s="41" t="str">
        <f>IFERROR(__xludf.DUMMYFUNCTION("""COMPUTED_VALUE"""),"React")</f>
        <v>React</v>
      </c>
      <c r="B761" s="42"/>
      <c r="N761" s="38"/>
      <c r="P761" s="42"/>
      <c r="AB761" s="38"/>
    </row>
    <row r="762">
      <c r="A762" s="41" t="str">
        <f>IFERROR(__xludf.DUMMYFUNCTION("""COMPUTED_VALUE"""),"JAVA, JSP, J2EE")</f>
        <v>JAVA, JSP, J2EE</v>
      </c>
      <c r="B762" s="42"/>
      <c r="N762" s="38"/>
      <c r="P762" s="42"/>
      <c r="AB762" s="38"/>
    </row>
    <row r="763">
      <c r="A763" s="41" t="str">
        <f>IFERROR(__xludf.DUMMYFUNCTION("""COMPUTED_VALUE"""),"VueJS, HTML, CSS, JAVASCRIPT")</f>
        <v>VueJS, HTML, CSS, JAVASCRIPT</v>
      </c>
      <c r="B763" s="42"/>
      <c r="N763" s="38"/>
      <c r="P763" s="42"/>
      <c r="AB763" s="38"/>
    </row>
    <row r="764">
      <c r="A764" s="41" t="str">
        <f>IFERROR(__xludf.DUMMYFUNCTION("""COMPUTED_VALUE"""),"aws")</f>
        <v>aws</v>
      </c>
      <c r="B764" s="42"/>
      <c r="N764" s="38"/>
      <c r="P764" s="42"/>
      <c r="AB764" s="38"/>
    </row>
    <row r="765">
      <c r="A765" s="41" t="str">
        <f>IFERROR(__xludf.DUMMYFUNCTION("""COMPUTED_VALUE"""),"Javascript, CSS, React, Vue")</f>
        <v>Javascript, CSS, React, Vue</v>
      </c>
      <c r="B765" s="42"/>
      <c r="N765" s="38"/>
      <c r="P765" s="42"/>
      <c r="AB765" s="38"/>
    </row>
    <row r="766">
      <c r="A766" s="41" t="str">
        <f>IFERROR(__xludf.DUMMYFUNCTION("""COMPUTED_VALUE"""),"Visual Studio")</f>
        <v>Visual Studio</v>
      </c>
      <c r="B766" s="42"/>
      <c r="N766" s="38"/>
      <c r="P766" s="42"/>
      <c r="AB766" s="38"/>
    </row>
    <row r="767">
      <c r="A767" s="41" t="str">
        <f>IFERROR(__xludf.DUMMYFUNCTION("""COMPUTED_VALUE"""),"Unity")</f>
        <v>Unity</v>
      </c>
      <c r="B767" s="42"/>
      <c r="N767" s="38"/>
      <c r="P767" s="42"/>
      <c r="AB767" s="38"/>
    </row>
    <row r="768">
      <c r="A768" s="41" t="str">
        <f>IFERROR(__xludf.DUMMYFUNCTION("""COMPUTED_VALUE"""),".net, sql server")</f>
        <v>.net, sql server</v>
      </c>
      <c r="B768" s="42"/>
      <c r="N768" s="38"/>
      <c r="P768" s="42"/>
      <c r="AB768" s="38"/>
    </row>
    <row r="769">
      <c r="A769" s="41" t="str">
        <f>IFERROR(__xludf.DUMMYFUNCTION("""COMPUTED_VALUE"""),"Vuejs")</f>
        <v>Vuejs</v>
      </c>
      <c r="B769" s="42"/>
      <c r="N769" s="38"/>
      <c r="P769" s="42"/>
      <c r="AB769" s="38"/>
    </row>
    <row r="770">
      <c r="A770" s="41" t="str">
        <f>IFERROR(__xludf.DUMMYFUNCTION("""COMPUTED_VALUE"""),"Laptop,smartphone")</f>
        <v>Laptop,smartphone</v>
      </c>
      <c r="B770" s="42"/>
      <c r="N770" s="38"/>
      <c r="P770" s="42"/>
      <c r="AB770" s="38"/>
    </row>
    <row r="771">
      <c r="A771" s="41" t="str">
        <f>IFERROR(__xludf.DUMMYFUNCTION("""COMPUTED_VALUE"""),"Vue, HTML, CSS")</f>
        <v>Vue, HTML, CSS</v>
      </c>
      <c r="B771" s="42"/>
      <c r="N771" s="38"/>
      <c r="P771" s="42"/>
      <c r="AB771" s="38"/>
    </row>
    <row r="772">
      <c r="A772" s="41" t="str">
        <f>IFERROR(__xludf.DUMMYFUNCTION("""COMPUTED_VALUE"""),"Vuejs, Aws")</f>
        <v>Vuejs, Aws</v>
      </c>
      <c r="B772" s="42"/>
      <c r="N772" s="38"/>
      <c r="P772" s="42"/>
      <c r="AB772" s="38"/>
    </row>
    <row r="773">
      <c r="A773" s="41" t="str">
        <f>IFERROR(__xludf.DUMMYFUNCTION("""COMPUTED_VALUE"""),"Spring, Sofa, Alibaba Cloud, Ant Financial Cloud")</f>
        <v>Spring, Sofa, Alibaba Cloud, Ant Financial Cloud</v>
      </c>
      <c r="B773" s="42"/>
      <c r="N773" s="38"/>
      <c r="P773" s="42"/>
      <c r="AB773" s="38"/>
    </row>
    <row r="774">
      <c r="A774" s="41" t="str">
        <f>IFERROR(__xludf.DUMMYFUNCTION("""COMPUTED_VALUE"""),"Java, mysql, oracle, html, Linux, putty")</f>
        <v>Java, mysql, oracle, html, Linux, putty</v>
      </c>
      <c r="B774" s="42"/>
      <c r="N774" s="38"/>
      <c r="P774" s="42"/>
      <c r="AB774" s="38"/>
    </row>
    <row r="775">
      <c r="A775" s="41" t="str">
        <f>IFERROR(__xludf.DUMMYFUNCTION("""COMPUTED_VALUE"""),"laptop")</f>
        <v>laptop</v>
      </c>
      <c r="B775" s="42"/>
      <c r="N775" s="38"/>
      <c r="P775" s="42"/>
      <c r="AB775" s="38"/>
    </row>
    <row r="776">
      <c r="A776" s="41" t="str">
        <f>IFERROR(__xludf.DUMMYFUNCTION("""COMPUTED_VALUE"""),"Java, Maven, Git, JFrog Artifactory, Jenkins, AWS EKS")</f>
        <v>Java, Maven, Git, JFrog Artifactory, Jenkins, AWS EKS</v>
      </c>
      <c r="B776" s="42"/>
      <c r="N776" s="38"/>
      <c r="P776" s="42"/>
      <c r="AB776" s="38"/>
    </row>
    <row r="777">
      <c r="A777" s="41" t="str">
        <f>IFERROR(__xludf.DUMMYFUNCTION("""COMPUTED_VALUE"""),"GCP, Azure, Python, Vue, JavaScript, ML, SQL")</f>
        <v>GCP, Azure, Python, Vue, JavaScript, ML, SQL</v>
      </c>
      <c r="B777" s="42"/>
      <c r="N777" s="38"/>
      <c r="P777" s="42"/>
      <c r="AB777" s="38"/>
    </row>
    <row r="778">
      <c r="A778" s="41" t="str">
        <f>IFERROR(__xludf.DUMMYFUNCTION("""COMPUTED_VALUE"""),"Struts framework, msSQL, hibernate, putty")</f>
        <v>Struts framework, msSQL, hibernate, putty</v>
      </c>
      <c r="B778" s="42"/>
      <c r="N778" s="38"/>
      <c r="P778" s="42"/>
      <c r="AB778" s="38"/>
    </row>
    <row r="779">
      <c r="A779" s="41" t="str">
        <f>IFERROR(__xludf.DUMMYFUNCTION("""COMPUTED_VALUE"""),"PHP")</f>
        <v>PHP</v>
      </c>
      <c r="B779" s="42"/>
      <c r="N779" s="38"/>
      <c r="P779" s="42"/>
      <c r="AB779" s="38"/>
    </row>
    <row r="780">
      <c r="A780" s="41" t="str">
        <f>IFERROR(__xludf.DUMMYFUNCTION("""COMPUTED_VALUE"""),"Application &amp; Cloud")</f>
        <v>Application &amp; Cloud</v>
      </c>
      <c r="B780" s="42"/>
      <c r="N780" s="38"/>
      <c r="P780" s="42"/>
      <c r="AB780" s="38"/>
    </row>
    <row r="781">
      <c r="A781" s="41" t="str">
        <f>IFERROR(__xludf.DUMMYFUNCTION("""COMPUTED_VALUE"""),"PHP")</f>
        <v>PHP</v>
      </c>
      <c r="B781" s="42"/>
      <c r="N781" s="38"/>
      <c r="P781" s="42"/>
      <c r="AB781" s="38"/>
    </row>
    <row r="782">
      <c r="A782" s="41" t="str">
        <f>IFERROR(__xludf.DUMMYFUNCTION("""COMPUTED_VALUE"""),"App")</f>
        <v>App</v>
      </c>
      <c r="B782" s="42"/>
      <c r="N782" s="38"/>
      <c r="P782" s="42"/>
      <c r="AB782" s="38"/>
    </row>
    <row r="783">
      <c r="A783" s="41" t="str">
        <f>IFERROR(__xludf.DUMMYFUNCTION("""COMPUTED_VALUE"""),"laptop?")</f>
        <v>laptop?</v>
      </c>
      <c r="B783" s="42"/>
      <c r="N783" s="38"/>
      <c r="P783" s="42"/>
      <c r="AB783" s="38"/>
    </row>
    <row r="784">
      <c r="A784" s="41" t="str">
        <f>IFERROR(__xludf.DUMMYFUNCTION("""COMPUTED_VALUE"""),"1. GitLab 2. Visual Studio 2022 3. ASP.NET Core 4. Blazor")</f>
        <v>1. GitLab 2. Visual Studio 2022 3. ASP.NET Core 4. Blazor</v>
      </c>
      <c r="B784" s="42"/>
      <c r="N784" s="38"/>
      <c r="P784" s="42"/>
      <c r="AB784" s="38"/>
    </row>
    <row r="785">
      <c r="A785" s="41" t="str">
        <f>IFERROR(__xludf.DUMMYFUNCTION("""COMPUTED_VALUE"""),"C, Debugging")</f>
        <v>C, Debugging</v>
      </c>
      <c r="B785" s="42"/>
      <c r="N785" s="38"/>
      <c r="P785" s="42"/>
      <c r="AB785" s="38"/>
    </row>
    <row r="786">
      <c r="A786" s="41" t="str">
        <f>IFERROR(__xludf.DUMMYFUNCTION("""COMPUTED_VALUE"""),".NET, Flutter, MySql")</f>
        <v>.NET, Flutter, MySql</v>
      </c>
      <c r="B786" s="42"/>
      <c r="N786" s="38"/>
      <c r="P786" s="42"/>
      <c r="AB786" s="38"/>
    </row>
    <row r="787">
      <c r="A787" s="41" t="str">
        <f>IFERROR(__xludf.DUMMYFUNCTION("""COMPUTED_VALUE"""),"Angular framework, Flutter")</f>
        <v>Angular framework, Flutter</v>
      </c>
      <c r="B787" s="42"/>
      <c r="N787" s="38"/>
      <c r="P787" s="42"/>
      <c r="AB787" s="38"/>
    </row>
    <row r="788">
      <c r="A788" s="41" t="str">
        <f>IFERROR(__xludf.DUMMYFUNCTION("""COMPUTED_VALUE"""),"React, JavaScript, PHP")</f>
        <v>React, JavaScript, PHP</v>
      </c>
      <c r="B788" s="42"/>
      <c r="N788" s="38"/>
      <c r="P788" s="42"/>
      <c r="AB788" s="38"/>
    </row>
    <row r="789">
      <c r="A789" s="41" t="str">
        <f>IFERROR(__xludf.DUMMYFUNCTION("""COMPUTED_VALUE"""),"Php, mysql, Javascript, html, aws stack")</f>
        <v>Php, mysql, Javascript, html, aws stack</v>
      </c>
      <c r="B789" s="42"/>
      <c r="N789" s="38"/>
      <c r="P789" s="42"/>
      <c r="AB789" s="38"/>
    </row>
    <row r="790">
      <c r="A790" s="41" t="str">
        <f>IFERROR(__xludf.DUMMYFUNCTION("""COMPUTED_VALUE"""),"Java, React")</f>
        <v>Java, React</v>
      </c>
      <c r="B790" s="42"/>
      <c r="N790" s="38"/>
      <c r="P790" s="42"/>
      <c r="AB790" s="38"/>
    </row>
    <row r="791">
      <c r="A791" s="41" t="str">
        <f>IFERROR(__xludf.DUMMYFUNCTION("""COMPUTED_VALUE"""),"Android")</f>
        <v>Android</v>
      </c>
      <c r="B791" s="42"/>
      <c r="N791" s="38"/>
      <c r="P791" s="42"/>
      <c r="AB791" s="38"/>
    </row>
    <row r="792">
      <c r="A792" s="41" t="str">
        <f>IFERROR(__xludf.DUMMYFUNCTION("""COMPUTED_VALUE"""),"Java")</f>
        <v>Java</v>
      </c>
      <c r="B792" s="42"/>
      <c r="N792" s="38"/>
      <c r="P792" s="42"/>
      <c r="AB792" s="38"/>
    </row>
    <row r="793">
      <c r="A793" s="41" t="str">
        <f>IFERROR(__xludf.DUMMYFUNCTION("""COMPUTED_VALUE"""),"Elixir/Phoenix, Postgresql, Typescript, React")</f>
        <v>Elixir/Phoenix, Postgresql, Typescript, React</v>
      </c>
      <c r="B793" s="42"/>
      <c r="N793" s="38"/>
      <c r="P793" s="42"/>
      <c r="AB793" s="38"/>
    </row>
    <row r="794">
      <c r="A794" s="41" t="str">
        <f>IFERROR(__xludf.DUMMYFUNCTION("""COMPUTED_VALUE"""),"Node.js, Postgresql, Redis, RabbitMQ")</f>
        <v>Node.js, Postgresql, Redis, RabbitMQ</v>
      </c>
      <c r="B794" s="42"/>
      <c r="N794" s="38"/>
      <c r="P794" s="42"/>
      <c r="AB794" s="38"/>
    </row>
    <row r="795">
      <c r="A795" s="41" t="str">
        <f>IFERROR(__xludf.DUMMYFUNCTION("""COMPUTED_VALUE"""),"PHP, AngularJS, Ionic, AWS")</f>
        <v>PHP, AngularJS, Ionic, AWS</v>
      </c>
      <c r="B795" s="42"/>
      <c r="N795" s="38"/>
      <c r="P795" s="42"/>
      <c r="AB795" s="38"/>
    </row>
    <row r="796">
      <c r="A796" s="41" t="str">
        <f>IFERROR(__xludf.DUMMYFUNCTION("""COMPUTED_VALUE"""),"ASP, Java, SQL Server")</f>
        <v>ASP, Java, SQL Server</v>
      </c>
      <c r="B796" s="42"/>
      <c r="N796" s="38"/>
      <c r="P796" s="42"/>
      <c r="AB796" s="38"/>
    </row>
    <row r="797">
      <c r="A797" s="41" t="str">
        <f>IFERROR(__xludf.DUMMYFUNCTION("""COMPUTED_VALUE"""),"Java, JSP, spring boot, hibernate, JPA, gradle, maven ")</f>
        <v>Java, JSP, spring boot, hibernate, JPA, gradle, maven </v>
      </c>
      <c r="B797" s="42"/>
      <c r="N797" s="38"/>
      <c r="P797" s="42"/>
      <c r="AB797" s="38"/>
    </row>
    <row r="798">
      <c r="A798" s="41" t="str">
        <f>IFERROR(__xludf.DUMMYFUNCTION("""COMPUTED_VALUE"""),"C#")</f>
        <v>C#</v>
      </c>
      <c r="B798" s="42"/>
      <c r="N798" s="38"/>
      <c r="P798" s="42"/>
      <c r="AB798" s="38"/>
    </row>
    <row r="799">
      <c r="A799" s="41" t="str">
        <f>IFERROR(__xludf.DUMMYFUNCTION("""COMPUTED_VALUE"""),"C++")</f>
        <v>C++</v>
      </c>
      <c r="B799" s="42"/>
      <c r="N799" s="38"/>
      <c r="P799" s="42"/>
      <c r="AB799" s="38"/>
    </row>
    <row r="800">
      <c r="A800" s="41" t="str">
        <f>IFERROR(__xludf.DUMMYFUNCTION("""COMPUTED_VALUE"""),"Java 8,Maven,Spring Boot,PostgreSql,")</f>
        <v>Java 8,Maven,Spring Boot,PostgreSql,</v>
      </c>
      <c r="B800" s="42"/>
      <c r="N800" s="38"/>
      <c r="P800" s="42"/>
      <c r="AB800" s="38"/>
    </row>
    <row r="801">
      <c r="A801" s="41" t="str">
        <f>IFERROR(__xludf.DUMMYFUNCTION("""COMPUTED_VALUE"""),"AWS, Google Drive, Facebook Ads")</f>
        <v>AWS, Google Drive, Facebook Ads</v>
      </c>
      <c r="B801" s="42"/>
      <c r="N801" s="38"/>
      <c r="P801" s="42"/>
      <c r="AB801" s="38"/>
    </row>
    <row r="802">
      <c r="A802" s="41" t="str">
        <f>IFERROR(__xludf.DUMMYFUNCTION("""COMPUTED_VALUE"""),"Typescript (NodeJS, React)")</f>
        <v>Typescript (NodeJS, React)</v>
      </c>
      <c r="B802" s="42"/>
      <c r="N802" s="38"/>
      <c r="P802" s="42"/>
      <c r="AB802" s="38"/>
    </row>
    <row r="803">
      <c r="A803" s="41" t="str">
        <f>IFERROR(__xludf.DUMMYFUNCTION("""COMPUTED_VALUE"""),"C#,C++,Qt,Python")</f>
        <v>C#,C++,Qt,Python</v>
      </c>
      <c r="B803" s="42"/>
      <c r="N803" s="38"/>
      <c r="P803" s="42"/>
      <c r="AB803" s="38"/>
    </row>
    <row r="804">
      <c r="A804" s="41" t="str">
        <f>IFERROR(__xludf.DUMMYFUNCTION("""COMPUTED_VALUE"""),"React Native")</f>
        <v>React Native</v>
      </c>
      <c r="B804" s="42"/>
      <c r="N804" s="38"/>
      <c r="P804" s="42"/>
      <c r="AB804" s="38"/>
    </row>
    <row r="805">
      <c r="A805" s="41" t="str">
        <f>IFERROR(__xludf.DUMMYFUNCTION("""COMPUTED_VALUE"""),"Match client workflows and tech, huge assortment")</f>
        <v>Match client workflows and tech, huge assortment</v>
      </c>
      <c r="B805" s="42"/>
      <c r="N805" s="38"/>
      <c r="P805" s="42"/>
      <c r="AB805" s="38"/>
    </row>
    <row r="806">
      <c r="A806" s="45" t="str">
        <f>IFERROR(__xludf.DUMMYFUNCTION("""COMPUTED_VALUE"""),"Asp.net/devexpress")</f>
        <v>Asp.net/devexpress</v>
      </c>
      <c r="B806" s="42"/>
      <c r="N806" s="38"/>
      <c r="P806" s="42"/>
      <c r="AB806" s="38"/>
    </row>
    <row r="807">
      <c r="A807" s="41" t="str">
        <f>IFERROR(__xludf.DUMMYFUNCTION("""COMPUTED_VALUE"""),"javascript")</f>
        <v>javascript</v>
      </c>
      <c r="B807" s="42"/>
      <c r="N807" s="38"/>
      <c r="P807" s="42"/>
      <c r="AB807" s="38"/>
    </row>
    <row r="808">
      <c r="A808" s="41" t="str">
        <f>IFERROR(__xludf.DUMMYFUNCTION("""COMPUTED_VALUE"""),"iOS, Android, Swift, Objc, Java")</f>
        <v>iOS, Android, Swift, Objc, Java</v>
      </c>
      <c r="B808" s="42"/>
      <c r="N808" s="38"/>
      <c r="P808" s="42"/>
      <c r="AB808" s="38"/>
    </row>
    <row r="809">
      <c r="A809" s="41" t="str">
        <f>IFERROR(__xludf.DUMMYFUNCTION("""COMPUTED_VALUE"""),"ReactJS, NodeJS, NestJS, GCP")</f>
        <v>ReactJS, NodeJS, NestJS, GCP</v>
      </c>
      <c r="B809" s="42"/>
      <c r="N809" s="38"/>
      <c r="P809" s="42"/>
      <c r="AB809" s="38"/>
    </row>
    <row r="810">
      <c r="A810" s="41" t="str">
        <f>IFERROR(__xludf.DUMMYFUNCTION("""COMPUTED_VALUE"""),"React, Angular, Vue JS")</f>
        <v>React, Angular, Vue JS</v>
      </c>
      <c r="B810" s="42"/>
      <c r="N810" s="38"/>
      <c r="P810" s="42"/>
      <c r="AB810" s="38"/>
    </row>
    <row r="811">
      <c r="A811" s="41" t="str">
        <f>IFERROR(__xludf.DUMMYFUNCTION("""COMPUTED_VALUE"""),"Laptop")</f>
        <v>Laptop</v>
      </c>
      <c r="B811" s="42"/>
      <c r="N811" s="38"/>
      <c r="P811" s="42"/>
      <c r="AB811" s="38"/>
    </row>
    <row r="812">
      <c r="A812" s="41" t="str">
        <f>IFERROR(__xludf.DUMMYFUNCTION("""COMPUTED_VALUE"""),"laptop")</f>
        <v>laptop</v>
      </c>
      <c r="B812" s="42"/>
      <c r="N812" s="38"/>
      <c r="P812" s="42"/>
      <c r="AB812" s="38"/>
    </row>
    <row r="813">
      <c r="A813" s="41" t="str">
        <f>IFERROR(__xludf.DUMMYFUNCTION("""COMPUTED_VALUE"""),"Airflow, Python, HDFS, Pyspark")</f>
        <v>Airflow, Python, HDFS, Pyspark</v>
      </c>
      <c r="B813" s="42"/>
      <c r="N813" s="38"/>
      <c r="P813" s="42"/>
      <c r="AB813" s="38"/>
    </row>
    <row r="814">
      <c r="A814" s="41" t="str">
        <f>IFERROR(__xludf.DUMMYFUNCTION("""COMPUTED_VALUE"""),"-")</f>
        <v>-</v>
      </c>
      <c r="B814" s="42"/>
      <c r="N814" s="38"/>
      <c r="P814" s="42"/>
      <c r="AB814" s="38"/>
    </row>
    <row r="815">
      <c r="A815" s="41" t="str">
        <f>IFERROR(__xludf.DUMMYFUNCTION("""COMPUTED_VALUE"""),"Django, Vue, Postgresql, Docker")</f>
        <v>Django, Vue, Postgresql, Docker</v>
      </c>
      <c r="B815" s="42"/>
      <c r="N815" s="38"/>
      <c r="P815" s="42"/>
      <c r="AB815" s="38"/>
    </row>
    <row r="816">
      <c r="A816" s="41" t="str">
        <f>IFERROR(__xludf.DUMMYFUNCTION("""COMPUTED_VALUE"""),"Laravel")</f>
        <v>Laravel</v>
      </c>
      <c r="B816" s="42"/>
      <c r="N816" s="38"/>
      <c r="P816" s="42"/>
      <c r="AB816" s="38"/>
    </row>
    <row r="817">
      <c r="A817" s="41" t="str">
        <f>IFERROR(__xludf.DUMMYFUNCTION("""COMPUTED_VALUE"""),".Net Framework ")</f>
        <v>.Net Framework </v>
      </c>
      <c r="B817" s="42"/>
      <c r="N817" s="38"/>
      <c r="P817" s="42"/>
      <c r="AB817" s="38"/>
    </row>
    <row r="818">
      <c r="A818" s="41" t="str">
        <f>IFERROR(__xludf.DUMMYFUNCTION("""COMPUTED_VALUE"""),"ETL/ELT Tools, AWS redshift, tableau")</f>
        <v>ETL/ELT Tools, AWS redshift, tableau</v>
      </c>
      <c r="B818" s="42"/>
      <c r="N818" s="38"/>
      <c r="P818" s="42"/>
      <c r="AB818" s="38"/>
    </row>
    <row r="819">
      <c r="A819" s="41" t="str">
        <f>IFERROR(__xludf.DUMMYFUNCTION("""COMPUTED_VALUE"""),".Net, Cloud computing (Huawei, AWS etc), ServiceNow")</f>
        <v>.Net, Cloud computing (Huawei, AWS etc), ServiceNow</v>
      </c>
      <c r="B819" s="42"/>
      <c r="N819" s="38"/>
      <c r="P819" s="42"/>
      <c r="AB819" s="38"/>
    </row>
    <row r="820">
      <c r="A820" s="41" t="str">
        <f>IFERROR(__xludf.DUMMYFUNCTION("""COMPUTED_VALUE"""),"Kubernetes")</f>
        <v>Kubernetes</v>
      </c>
      <c r="B820" s="42"/>
      <c r="N820" s="38"/>
      <c r="P820" s="42"/>
      <c r="AB820" s="38"/>
    </row>
    <row r="821">
      <c r="A821" s="41" t="str">
        <f>IFERROR(__xludf.DUMMYFUNCTION("""COMPUTED_VALUE"""),"Java")</f>
        <v>Java</v>
      </c>
      <c r="B821" s="42"/>
      <c r="N821" s="38"/>
      <c r="P821" s="42"/>
      <c r="AB821" s="38"/>
    </row>
    <row r="822">
      <c r="A822" s="41" t="str">
        <f>IFERROR(__xludf.DUMMYFUNCTION("""COMPUTED_VALUE"""),"Java, JavaScript, HTML, css, react")</f>
        <v>Java, JavaScript, HTML, css, react</v>
      </c>
      <c r="B822" s="42"/>
      <c r="N822" s="38"/>
      <c r="P822" s="42"/>
      <c r="AB822" s="38"/>
    </row>
    <row r="823">
      <c r="A823" s="41" t="str">
        <f>IFERROR(__xludf.DUMMYFUNCTION("""COMPUTED_VALUE"""),"Coldfusion")</f>
        <v>Coldfusion</v>
      </c>
      <c r="B823" s="42"/>
      <c r="N823" s="38"/>
      <c r="P823" s="42"/>
      <c r="AB823" s="38"/>
    </row>
    <row r="824">
      <c r="A824" s="41" t="str">
        <f>IFERROR(__xludf.DUMMYFUNCTION("""COMPUTED_VALUE"""),"PHP, Python, React, React Native")</f>
        <v>PHP, Python, React, React Native</v>
      </c>
      <c r="B824" s="42"/>
      <c r="N824" s="38"/>
      <c r="P824" s="42"/>
      <c r="AB824" s="38"/>
    </row>
    <row r="825">
      <c r="A825" s="41" t="str">
        <f>IFERROR(__xludf.DUMMYFUNCTION("""COMPUTED_VALUE"""),"C#,Java,powershell,azure,AWS,SQL,mongoDB,NOSQL")</f>
        <v>C#,Java,powershell,azure,AWS,SQL,mongoDB,NOSQL</v>
      </c>
      <c r="B825" s="42"/>
      <c r="N825" s="38"/>
      <c r="P825" s="42"/>
      <c r="AB825" s="38"/>
    </row>
    <row r="826">
      <c r="A826" s="41" t="str">
        <f>IFERROR(__xludf.DUMMYFUNCTION("""COMPUTED_VALUE"""),"Java")</f>
        <v>Java</v>
      </c>
      <c r="B826" s="42"/>
      <c r="N826" s="38"/>
      <c r="P826" s="42"/>
      <c r="AB826" s="38"/>
    </row>
    <row r="827">
      <c r="A827" s="41" t="str">
        <f>IFERROR(__xludf.DUMMYFUNCTION("""COMPUTED_VALUE"""),"react, javascript, kotlin,  html, css, nodejs")</f>
        <v>react, javascript, kotlin,  html, css, nodejs</v>
      </c>
      <c r="B827" s="42"/>
      <c r="N827" s="38"/>
      <c r="P827" s="42"/>
      <c r="AB827" s="38"/>
    </row>
    <row r="828">
      <c r="A828" s="41">
        <f>IFERROR(__xludf.DUMMYFUNCTION("""COMPUTED_VALUE"""),99.0)</f>
        <v>99</v>
      </c>
      <c r="B828" s="42"/>
      <c r="N828" s="38"/>
      <c r="P828" s="42"/>
      <c r="AB828" s="38"/>
    </row>
    <row r="829">
      <c r="A829" s="41" t="str">
        <f>IFERROR(__xludf.DUMMYFUNCTION("""COMPUTED_VALUE"""),"Dotnet, java, mysql, oracle")</f>
        <v>Dotnet, java, mysql, oracle</v>
      </c>
      <c r="B829" s="42"/>
      <c r="N829" s="38"/>
      <c r="P829" s="42"/>
      <c r="AB829" s="38"/>
    </row>
    <row r="830">
      <c r="A830" s="41" t="str">
        <f>IFERROR(__xludf.DUMMYFUNCTION("""COMPUTED_VALUE"""),"ElectronJS, ReactJS, ExpressJS, NodeJS, MongoDB, C++, Python")</f>
        <v>ElectronJS, ReactJS, ExpressJS, NodeJS, MongoDB, C++, Python</v>
      </c>
      <c r="B830" s="42"/>
      <c r="N830" s="38"/>
      <c r="P830" s="42"/>
      <c r="AB830" s="38"/>
    </row>
    <row r="831">
      <c r="A831" s="41" t="str">
        <f>IFERROR(__xludf.DUMMYFUNCTION("""COMPUTED_VALUE"""),"Node.js, Mongodb, AWS, firebase")</f>
        <v>Node.js, Mongodb, AWS, firebase</v>
      </c>
      <c r="B831" s="42"/>
      <c r="N831" s="38"/>
      <c r="P831" s="42"/>
      <c r="AB831" s="38"/>
    </row>
    <row r="832">
      <c r="A832" s="41" t="str">
        <f>IFERROR(__xludf.DUMMYFUNCTION("""COMPUTED_VALUE"""),"SQL")</f>
        <v>SQL</v>
      </c>
      <c r="B832" s="42"/>
      <c r="N832" s="38"/>
      <c r="P832" s="42"/>
      <c r="AB832" s="38"/>
    </row>
    <row r="833">
      <c r="A833" s="41" t="str">
        <f>IFERROR(__xludf.DUMMYFUNCTION("""COMPUTED_VALUE"""),"Ruby,JS,Linux")</f>
        <v>Ruby,JS,Linux</v>
      </c>
      <c r="B833" s="42"/>
      <c r="N833" s="38"/>
      <c r="P833" s="42"/>
      <c r="AB833" s="38"/>
    </row>
    <row r="834">
      <c r="A834" s="41" t="str">
        <f>IFERROR(__xludf.DUMMYFUNCTION("""COMPUTED_VALUE"""),"Vue.js,Laravel,MariaDB")</f>
        <v>Vue.js,Laravel,MariaDB</v>
      </c>
      <c r="B834" s="42"/>
      <c r="N834" s="38"/>
      <c r="P834" s="42"/>
      <c r="AB834" s="38"/>
    </row>
    <row r="835">
      <c r="A835" s="41"/>
      <c r="B835" s="42"/>
      <c r="N835" s="38"/>
      <c r="P835" s="42"/>
      <c r="AB835" s="38"/>
    </row>
    <row r="836">
      <c r="A836" s="41"/>
      <c r="B836" s="42"/>
      <c r="N836" s="38"/>
      <c r="P836" s="42"/>
      <c r="AB836" s="38"/>
    </row>
    <row r="837">
      <c r="A837" s="41"/>
      <c r="B837" s="42"/>
      <c r="N837" s="38"/>
      <c r="P837" s="42"/>
      <c r="AB837" s="38"/>
    </row>
    <row r="838">
      <c r="A838" s="41"/>
      <c r="B838" s="42"/>
      <c r="N838" s="38"/>
      <c r="P838" s="42"/>
      <c r="AB838" s="38"/>
    </row>
    <row r="839">
      <c r="A839" s="41"/>
      <c r="B839" s="42"/>
      <c r="N839" s="38"/>
      <c r="P839" s="42"/>
      <c r="AB839" s="38"/>
    </row>
    <row r="840">
      <c r="A840" s="41"/>
      <c r="B840" s="42"/>
      <c r="N840" s="38"/>
      <c r="P840" s="42"/>
      <c r="AB840" s="38"/>
    </row>
    <row r="841">
      <c r="A841" s="41"/>
      <c r="B841" s="42"/>
      <c r="N841" s="38"/>
      <c r="P841" s="42"/>
      <c r="AB841" s="38"/>
    </row>
    <row r="842">
      <c r="A842" s="41"/>
      <c r="B842" s="42"/>
      <c r="N842" s="38"/>
      <c r="P842" s="42"/>
      <c r="AB842" s="38"/>
    </row>
    <row r="843">
      <c r="A843" s="41"/>
      <c r="B843" s="42"/>
      <c r="N843" s="38"/>
      <c r="P843" s="42"/>
      <c r="AB843" s="38"/>
    </row>
    <row r="844">
      <c r="A844" s="41"/>
      <c r="B844" s="42"/>
      <c r="N844" s="38"/>
      <c r="P844" s="42"/>
      <c r="AB844" s="38"/>
    </row>
    <row r="845">
      <c r="A845" s="41"/>
      <c r="B845" s="42"/>
      <c r="N845" s="38"/>
      <c r="P845" s="42"/>
      <c r="AB845" s="38"/>
    </row>
    <row r="846">
      <c r="A846" s="41"/>
      <c r="B846" s="42"/>
      <c r="N846" s="38"/>
      <c r="P846" s="42"/>
      <c r="AB846" s="38"/>
    </row>
    <row r="847">
      <c r="A847" s="41"/>
      <c r="B847" s="42"/>
      <c r="N847" s="38"/>
      <c r="P847" s="42"/>
      <c r="AB847" s="38"/>
    </row>
    <row r="848">
      <c r="A848" s="41"/>
      <c r="B848" s="42"/>
      <c r="N848" s="38"/>
      <c r="P848" s="42"/>
      <c r="AB848" s="38"/>
    </row>
    <row r="849">
      <c r="A849" s="41"/>
      <c r="B849" s="42"/>
      <c r="N849" s="38"/>
      <c r="P849" s="42"/>
      <c r="AB849" s="38"/>
    </row>
    <row r="850">
      <c r="A850" s="41"/>
      <c r="B850" s="42"/>
      <c r="N850" s="38"/>
      <c r="P850" s="42"/>
      <c r="AB850" s="38"/>
    </row>
    <row r="851">
      <c r="A851" s="41"/>
      <c r="B851" s="42"/>
      <c r="N851" s="38"/>
      <c r="P851" s="42"/>
      <c r="AB851" s="38"/>
    </row>
    <row r="852">
      <c r="A852" s="41"/>
      <c r="B852" s="42"/>
      <c r="N852" s="38"/>
      <c r="P852" s="42"/>
      <c r="AB852" s="38"/>
    </row>
    <row r="853">
      <c r="A853" s="41"/>
      <c r="B853" s="42"/>
      <c r="N853" s="38"/>
      <c r="P853" s="42"/>
      <c r="AB853" s="38"/>
    </row>
    <row r="854">
      <c r="A854" s="41"/>
      <c r="B854" s="42"/>
      <c r="N854" s="38"/>
      <c r="P854" s="42"/>
      <c r="AB854" s="38"/>
    </row>
    <row r="855">
      <c r="A855" s="41"/>
      <c r="B855" s="42"/>
      <c r="N855" s="38"/>
      <c r="P855" s="42"/>
      <c r="AB855" s="38"/>
    </row>
    <row r="856">
      <c r="A856" s="41"/>
      <c r="B856" s="42"/>
      <c r="N856" s="38"/>
      <c r="P856" s="42"/>
      <c r="AB856" s="38"/>
    </row>
    <row r="857">
      <c r="A857" s="41"/>
      <c r="B857" s="42"/>
      <c r="N857" s="38"/>
      <c r="P857" s="42"/>
      <c r="AB857" s="38"/>
    </row>
    <row r="858">
      <c r="A858" s="41"/>
      <c r="B858" s="42"/>
      <c r="N858" s="38"/>
      <c r="P858" s="42"/>
      <c r="AB858" s="38"/>
    </row>
    <row r="859">
      <c r="A859" s="41"/>
      <c r="B859" s="42"/>
      <c r="N859" s="38"/>
      <c r="P859" s="42"/>
      <c r="AB859" s="38"/>
    </row>
    <row r="860">
      <c r="A860" s="41"/>
      <c r="B860" s="42"/>
      <c r="N860" s="38"/>
      <c r="P860" s="42"/>
      <c r="AB860" s="38"/>
    </row>
    <row r="861">
      <c r="A861" s="41"/>
      <c r="B861" s="42"/>
      <c r="N861" s="38"/>
      <c r="P861" s="42"/>
      <c r="AB861" s="38"/>
    </row>
    <row r="862">
      <c r="A862" s="41"/>
      <c r="B862" s="42"/>
      <c r="N862" s="38"/>
      <c r="P862" s="42"/>
      <c r="AB862" s="38"/>
    </row>
    <row r="863">
      <c r="A863" s="41"/>
      <c r="B863" s="42"/>
      <c r="N863" s="38"/>
      <c r="P863" s="42"/>
      <c r="AB863" s="38"/>
    </row>
    <row r="864">
      <c r="A864" s="41"/>
      <c r="B864" s="42"/>
      <c r="N864" s="38"/>
      <c r="P864" s="42"/>
      <c r="AB864" s="38"/>
    </row>
    <row r="865">
      <c r="A865" s="41"/>
      <c r="B865" s="42"/>
      <c r="N865" s="38"/>
      <c r="P865" s="42"/>
      <c r="AB865" s="38"/>
    </row>
    <row r="866">
      <c r="A866" s="41"/>
      <c r="B866" s="42"/>
      <c r="N866" s="38"/>
      <c r="P866" s="42"/>
      <c r="AB866" s="38"/>
    </row>
    <row r="867">
      <c r="A867" s="41"/>
      <c r="B867" s="42"/>
      <c r="N867" s="38"/>
      <c r="P867" s="42"/>
      <c r="AB867" s="38"/>
    </row>
    <row r="868">
      <c r="A868" s="41"/>
      <c r="B868" s="42"/>
      <c r="N868" s="38"/>
      <c r="P868" s="42"/>
      <c r="AB868" s="38"/>
    </row>
    <row r="869">
      <c r="A869" s="41"/>
      <c r="B869" s="42"/>
      <c r="N869" s="38"/>
      <c r="P869" s="42"/>
      <c r="AB869" s="38"/>
    </row>
    <row r="870">
      <c r="A870" s="41"/>
      <c r="B870" s="42"/>
      <c r="N870" s="38"/>
      <c r="P870" s="42"/>
      <c r="AB870" s="38"/>
    </row>
    <row r="871">
      <c r="A871" s="41"/>
      <c r="B871" s="42"/>
      <c r="N871" s="38"/>
      <c r="P871" s="42"/>
      <c r="AB871" s="38"/>
    </row>
    <row r="872">
      <c r="A872" s="41"/>
      <c r="B872" s="42"/>
      <c r="N872" s="38"/>
      <c r="P872" s="42"/>
      <c r="AB872" s="38"/>
    </row>
    <row r="873">
      <c r="A873" s="41"/>
      <c r="B873" s="42"/>
      <c r="N873" s="38"/>
      <c r="P873" s="42"/>
      <c r="AB873" s="38"/>
    </row>
    <row r="874">
      <c r="A874" s="41"/>
      <c r="B874" s="42"/>
      <c r="N874" s="38"/>
      <c r="P874" s="42"/>
      <c r="AB874" s="38"/>
    </row>
    <row r="875">
      <c r="A875" s="41"/>
      <c r="B875" s="42"/>
      <c r="N875" s="38"/>
      <c r="P875" s="42"/>
      <c r="AB875" s="38"/>
    </row>
    <row r="876">
      <c r="A876" s="41"/>
      <c r="B876" s="42"/>
      <c r="N876" s="38"/>
      <c r="P876" s="42"/>
      <c r="AB876" s="38"/>
    </row>
    <row r="877">
      <c r="A877" s="41"/>
      <c r="B877" s="42"/>
      <c r="N877" s="38"/>
      <c r="P877" s="42"/>
      <c r="AB877" s="38"/>
    </row>
    <row r="878">
      <c r="A878" s="41"/>
      <c r="B878" s="42"/>
      <c r="N878" s="38"/>
      <c r="P878" s="42"/>
      <c r="AB878" s="38"/>
    </row>
    <row r="879">
      <c r="A879" s="41"/>
      <c r="B879" s="42"/>
      <c r="N879" s="38"/>
      <c r="P879" s="42"/>
      <c r="AB879" s="38"/>
    </row>
    <row r="880">
      <c r="A880" s="41"/>
      <c r="B880" s="42"/>
      <c r="N880" s="38"/>
      <c r="P880" s="42"/>
      <c r="AB880" s="38"/>
    </row>
    <row r="881">
      <c r="A881" s="41"/>
      <c r="B881" s="42"/>
      <c r="N881" s="38"/>
      <c r="P881" s="42"/>
      <c r="AB881" s="38"/>
    </row>
    <row r="882">
      <c r="A882" s="41"/>
      <c r="B882" s="42"/>
      <c r="N882" s="38"/>
      <c r="P882" s="42"/>
      <c r="AB882" s="38"/>
    </row>
    <row r="883">
      <c r="A883" s="41"/>
      <c r="B883" s="42"/>
      <c r="N883" s="38"/>
      <c r="P883" s="42"/>
      <c r="AB883" s="38"/>
    </row>
    <row r="884">
      <c r="A884" s="41"/>
      <c r="B884" s="42"/>
      <c r="N884" s="38"/>
      <c r="P884" s="42"/>
      <c r="AB884" s="38"/>
    </row>
    <row r="885">
      <c r="A885" s="41"/>
      <c r="B885" s="42"/>
      <c r="N885" s="38"/>
      <c r="P885" s="42"/>
      <c r="AB885" s="38"/>
    </row>
    <row r="886">
      <c r="A886" s="41"/>
      <c r="B886" s="42"/>
      <c r="N886" s="38"/>
      <c r="P886" s="42"/>
      <c r="AB886" s="38"/>
    </row>
    <row r="887">
      <c r="A887" s="41"/>
      <c r="B887" s="42"/>
      <c r="N887" s="38"/>
      <c r="P887" s="42"/>
      <c r="AB887" s="38"/>
    </row>
    <row r="888">
      <c r="A888" s="41"/>
      <c r="B888" s="42"/>
      <c r="N888" s="38"/>
      <c r="P888" s="42"/>
      <c r="AB888" s="38"/>
    </row>
    <row r="889">
      <c r="A889" s="41"/>
      <c r="B889" s="42"/>
      <c r="N889" s="38"/>
      <c r="P889" s="42"/>
      <c r="AB889" s="38"/>
    </row>
    <row r="890">
      <c r="A890" s="41"/>
      <c r="B890" s="42"/>
      <c r="N890" s="38"/>
      <c r="P890" s="42"/>
      <c r="AB890" s="38"/>
    </row>
    <row r="891">
      <c r="A891" s="41"/>
      <c r="B891" s="42"/>
      <c r="N891" s="38"/>
      <c r="P891" s="42"/>
      <c r="AB891" s="38"/>
    </row>
    <row r="892">
      <c r="A892" s="41"/>
      <c r="B892" s="42"/>
      <c r="N892" s="38"/>
      <c r="P892" s="42"/>
      <c r="AB892" s="38"/>
    </row>
    <row r="893">
      <c r="A893" s="41"/>
      <c r="B893" s="42"/>
      <c r="N893" s="38"/>
      <c r="P893" s="42"/>
      <c r="AB893" s="38"/>
    </row>
    <row r="894">
      <c r="A894" s="41"/>
      <c r="B894" s="42"/>
      <c r="N894" s="38"/>
      <c r="P894" s="42"/>
      <c r="AB894" s="38"/>
    </row>
    <row r="895">
      <c r="A895" s="41"/>
      <c r="B895" s="42"/>
      <c r="N895" s="38"/>
      <c r="P895" s="42"/>
      <c r="AB895" s="38"/>
    </row>
    <row r="896">
      <c r="A896" s="41"/>
      <c r="B896" s="42"/>
      <c r="N896" s="38"/>
      <c r="P896" s="42"/>
      <c r="AB896" s="38"/>
    </row>
    <row r="897">
      <c r="A897" s="41"/>
      <c r="B897" s="42"/>
      <c r="N897" s="38"/>
      <c r="P897" s="42"/>
      <c r="AB897" s="38"/>
    </row>
    <row r="898">
      <c r="A898" s="41"/>
      <c r="B898" s="42"/>
      <c r="N898" s="38"/>
      <c r="P898" s="42"/>
      <c r="AB898" s="38"/>
    </row>
    <row r="899">
      <c r="A899" s="41"/>
      <c r="B899" s="42"/>
      <c r="N899" s="38"/>
      <c r="P899" s="42"/>
      <c r="AB899" s="38"/>
    </row>
    <row r="900">
      <c r="A900" s="41"/>
      <c r="B900" s="42"/>
      <c r="N900" s="38"/>
      <c r="P900" s="42"/>
      <c r="AB900" s="38"/>
    </row>
    <row r="901">
      <c r="A901" s="41"/>
      <c r="B901" s="42"/>
      <c r="N901" s="38"/>
      <c r="P901" s="42"/>
      <c r="AB901" s="38"/>
    </row>
    <row r="902">
      <c r="A902" s="41"/>
      <c r="B902" s="42"/>
      <c r="N902" s="38"/>
      <c r="P902" s="42"/>
      <c r="AB902" s="38"/>
    </row>
    <row r="903">
      <c r="A903" s="41"/>
      <c r="B903" s="42"/>
      <c r="N903" s="38"/>
      <c r="P903" s="42"/>
      <c r="AB903" s="38"/>
    </row>
    <row r="904">
      <c r="A904" s="41"/>
      <c r="B904" s="42"/>
      <c r="N904" s="38"/>
      <c r="P904" s="42"/>
      <c r="AB904" s="38"/>
    </row>
    <row r="905">
      <c r="A905" s="41"/>
      <c r="B905" s="42"/>
      <c r="N905" s="38"/>
      <c r="P905" s="42"/>
      <c r="AB905" s="38"/>
    </row>
    <row r="906">
      <c r="A906" s="41"/>
      <c r="B906" s="42"/>
      <c r="N906" s="38"/>
      <c r="P906" s="42"/>
      <c r="AB906" s="38"/>
    </row>
    <row r="907">
      <c r="A907" s="41"/>
      <c r="B907" s="42"/>
      <c r="N907" s="38"/>
      <c r="P907" s="42"/>
      <c r="AB907" s="38"/>
    </row>
    <row r="908">
      <c r="A908" s="41"/>
      <c r="B908" s="42"/>
      <c r="N908" s="38"/>
      <c r="P908" s="42"/>
      <c r="AB908" s="38"/>
    </row>
    <row r="909">
      <c r="A909" s="41"/>
      <c r="B909" s="42"/>
      <c r="N909" s="38"/>
      <c r="P909" s="42"/>
      <c r="AB909" s="38"/>
    </row>
    <row r="910">
      <c r="A910" s="41"/>
      <c r="B910" s="42"/>
      <c r="N910" s="38"/>
      <c r="P910" s="42"/>
      <c r="AB910" s="38"/>
    </row>
    <row r="911">
      <c r="A911" s="41"/>
      <c r="B911" s="42"/>
      <c r="N911" s="38"/>
      <c r="P911" s="42"/>
      <c r="AB911" s="38"/>
    </row>
    <row r="912">
      <c r="A912" s="41"/>
      <c r="B912" s="42"/>
      <c r="N912" s="38"/>
      <c r="P912" s="42"/>
      <c r="AB912" s="38"/>
    </row>
    <row r="913">
      <c r="A913" s="41"/>
      <c r="B913" s="42"/>
      <c r="N913" s="38"/>
      <c r="P913" s="42"/>
      <c r="AB913" s="38"/>
    </row>
    <row r="914">
      <c r="A914" s="41"/>
      <c r="B914" s="42"/>
      <c r="N914" s="38"/>
      <c r="P914" s="42"/>
      <c r="AB914" s="38"/>
    </row>
    <row r="915">
      <c r="A915" s="41"/>
      <c r="B915" s="42"/>
      <c r="N915" s="38"/>
      <c r="P915" s="42"/>
      <c r="AB915" s="38"/>
    </row>
    <row r="916">
      <c r="A916" s="41"/>
      <c r="B916" s="42"/>
      <c r="N916" s="38"/>
      <c r="P916" s="42"/>
      <c r="AB916" s="38"/>
    </row>
    <row r="917">
      <c r="A917" s="41"/>
      <c r="B917" s="42"/>
      <c r="N917" s="38"/>
      <c r="P917" s="42"/>
      <c r="AB917" s="38"/>
    </row>
    <row r="918">
      <c r="A918" s="41"/>
      <c r="B918" s="42"/>
      <c r="N918" s="38"/>
      <c r="P918" s="42"/>
      <c r="AB918" s="38"/>
    </row>
    <row r="919">
      <c r="A919" s="41"/>
      <c r="B919" s="42"/>
      <c r="N919" s="38"/>
      <c r="P919" s="42"/>
      <c r="AB919" s="38"/>
    </row>
    <row r="920">
      <c r="A920" s="41"/>
      <c r="B920" s="42"/>
      <c r="N920" s="38"/>
      <c r="P920" s="42"/>
      <c r="AB920" s="38"/>
    </row>
    <row r="921">
      <c r="A921" s="41"/>
      <c r="B921" s="42"/>
      <c r="N921" s="38"/>
      <c r="P921" s="42"/>
      <c r="AB921" s="38"/>
    </row>
    <row r="922">
      <c r="A922" s="41"/>
      <c r="B922" s="42"/>
      <c r="N922" s="38"/>
      <c r="P922" s="42"/>
      <c r="AB922" s="38"/>
    </row>
    <row r="923">
      <c r="A923" s="41"/>
      <c r="B923" s="42"/>
      <c r="N923" s="38"/>
      <c r="P923" s="42"/>
      <c r="AB923" s="38"/>
    </row>
    <row r="924">
      <c r="A924" s="41"/>
      <c r="B924" s="42"/>
      <c r="N924" s="38"/>
      <c r="P924" s="42"/>
      <c r="AB924" s="38"/>
    </row>
    <row r="925">
      <c r="A925" s="41"/>
      <c r="B925" s="42"/>
      <c r="N925" s="38"/>
      <c r="P925" s="42"/>
      <c r="AB925" s="38"/>
    </row>
    <row r="926">
      <c r="A926" s="41"/>
      <c r="B926" s="42"/>
      <c r="N926" s="38"/>
      <c r="P926" s="42"/>
      <c r="AB926" s="38"/>
    </row>
    <row r="927">
      <c r="A927" s="41"/>
      <c r="B927" s="42"/>
      <c r="N927" s="38"/>
      <c r="P927" s="42"/>
      <c r="AB927" s="38"/>
    </row>
    <row r="928">
      <c r="A928" s="41"/>
      <c r="B928" s="42"/>
      <c r="N928" s="38"/>
      <c r="P928" s="42"/>
      <c r="AB928" s="38"/>
    </row>
    <row r="929">
      <c r="A929" s="41"/>
      <c r="B929" s="42"/>
      <c r="N929" s="38"/>
      <c r="P929" s="42"/>
      <c r="AB929" s="38"/>
    </row>
    <row r="930">
      <c r="A930" s="41"/>
      <c r="B930" s="42"/>
      <c r="N930" s="38"/>
      <c r="P930" s="42"/>
      <c r="AB930" s="38"/>
    </row>
    <row r="931">
      <c r="A931" s="41"/>
      <c r="B931" s="42"/>
      <c r="N931" s="38"/>
      <c r="P931" s="42"/>
      <c r="AB931" s="38"/>
    </row>
    <row r="932">
      <c r="A932" s="41"/>
      <c r="B932" s="42"/>
      <c r="N932" s="38"/>
      <c r="P932" s="42"/>
      <c r="AB932" s="38"/>
    </row>
    <row r="933">
      <c r="A933" s="41"/>
      <c r="B933" s="42"/>
      <c r="N933" s="38"/>
      <c r="P933" s="42"/>
      <c r="AB933" s="38"/>
    </row>
    <row r="934">
      <c r="A934" s="41"/>
      <c r="B934" s="42"/>
      <c r="N934" s="38"/>
      <c r="P934" s="42"/>
      <c r="AB934" s="38"/>
    </row>
    <row r="935">
      <c r="B935" s="42"/>
      <c r="N935" s="38"/>
      <c r="P935" s="42"/>
      <c r="AB935" s="38"/>
    </row>
    <row r="936">
      <c r="B936" s="42"/>
      <c r="N936" s="38"/>
      <c r="P936" s="42"/>
      <c r="AB936" s="38"/>
    </row>
    <row r="937">
      <c r="B937" s="42"/>
      <c r="N937" s="38"/>
      <c r="P937" s="42"/>
      <c r="AB937" s="38"/>
    </row>
    <row r="938">
      <c r="B938" s="42"/>
      <c r="N938" s="38"/>
      <c r="P938" s="42"/>
      <c r="AB938" s="38"/>
    </row>
    <row r="939">
      <c r="B939" s="42"/>
      <c r="N939" s="38"/>
      <c r="P939" s="42"/>
      <c r="AB939" s="38"/>
    </row>
    <row r="940">
      <c r="B940" s="42"/>
      <c r="N940" s="38"/>
      <c r="P940" s="42"/>
      <c r="AB940" s="38"/>
    </row>
    <row r="941">
      <c r="B941" s="42"/>
      <c r="N941" s="38"/>
      <c r="P941" s="42"/>
      <c r="AB941" s="38"/>
    </row>
    <row r="942">
      <c r="B942" s="42"/>
      <c r="N942" s="38"/>
      <c r="P942" s="42"/>
      <c r="AB942" s="38"/>
    </row>
    <row r="943">
      <c r="B943" s="42"/>
      <c r="N943" s="38"/>
      <c r="P943" s="42"/>
      <c r="AB943" s="38"/>
    </row>
    <row r="944">
      <c r="B944" s="42"/>
      <c r="N944" s="38"/>
      <c r="P944" s="42"/>
      <c r="AB944" s="38"/>
    </row>
    <row r="945">
      <c r="B945" s="42"/>
      <c r="N945" s="38"/>
      <c r="P945" s="42"/>
      <c r="AB945" s="38"/>
    </row>
    <row r="946">
      <c r="B946" s="42"/>
      <c r="N946" s="38"/>
      <c r="P946" s="42"/>
      <c r="AB946" s="38"/>
    </row>
    <row r="947">
      <c r="B947" s="42"/>
      <c r="N947" s="38"/>
      <c r="P947" s="42"/>
      <c r="AB947" s="38"/>
    </row>
    <row r="948">
      <c r="B948" s="42"/>
      <c r="N948" s="38"/>
      <c r="P948" s="42"/>
      <c r="AB948" s="38"/>
    </row>
    <row r="949">
      <c r="B949" s="42"/>
      <c r="N949" s="38"/>
      <c r="P949" s="42"/>
      <c r="AB949" s="38"/>
    </row>
    <row r="950">
      <c r="B950" s="42"/>
      <c r="N950" s="38"/>
      <c r="P950" s="42"/>
      <c r="AB950" s="38"/>
    </row>
    <row r="951">
      <c r="B951" s="42"/>
      <c r="N951" s="38"/>
      <c r="P951" s="42"/>
      <c r="AB951" s="38"/>
    </row>
    <row r="952">
      <c r="B952" s="42"/>
      <c r="N952" s="38"/>
      <c r="P952" s="42"/>
      <c r="AB952" s="38"/>
    </row>
    <row r="953">
      <c r="B953" s="42"/>
      <c r="N953" s="38"/>
      <c r="P953" s="42"/>
      <c r="AB953" s="38"/>
    </row>
    <row r="954">
      <c r="B954" s="42"/>
      <c r="N954" s="38"/>
      <c r="P954" s="42"/>
      <c r="AB954" s="38"/>
    </row>
    <row r="955">
      <c r="B955" s="42"/>
      <c r="N955" s="38"/>
      <c r="P955" s="42"/>
      <c r="AB955" s="38"/>
    </row>
    <row r="956">
      <c r="B956" s="42"/>
      <c r="N956" s="38"/>
      <c r="P956" s="42"/>
      <c r="AB956" s="38"/>
    </row>
    <row r="957">
      <c r="B957" s="42"/>
      <c r="N957" s="38"/>
      <c r="P957" s="42"/>
      <c r="AB957" s="38"/>
    </row>
    <row r="958">
      <c r="B958" s="42"/>
      <c r="N958" s="38"/>
      <c r="P958" s="42"/>
      <c r="AB958" s="38"/>
    </row>
    <row r="959">
      <c r="B959" s="42"/>
      <c r="N959" s="38"/>
      <c r="P959" s="42"/>
      <c r="AB959" s="38"/>
    </row>
    <row r="960">
      <c r="B960" s="42"/>
      <c r="N960" s="38"/>
      <c r="P960" s="42"/>
      <c r="AB960" s="38"/>
    </row>
    <row r="961">
      <c r="B961" s="42"/>
      <c r="N961" s="38"/>
      <c r="P961" s="42"/>
      <c r="AB961" s="38"/>
    </row>
    <row r="962">
      <c r="B962" s="42"/>
      <c r="N962" s="38"/>
      <c r="P962" s="42"/>
      <c r="AB962" s="38"/>
    </row>
    <row r="963">
      <c r="B963" s="42"/>
      <c r="N963" s="38"/>
      <c r="P963" s="42"/>
      <c r="AB963" s="38"/>
    </row>
    <row r="964">
      <c r="B964" s="42"/>
      <c r="N964" s="38"/>
      <c r="P964" s="42"/>
      <c r="AB964" s="38"/>
    </row>
    <row r="965">
      <c r="B965" s="42"/>
      <c r="N965" s="38"/>
      <c r="P965" s="42"/>
      <c r="AB965" s="38"/>
    </row>
    <row r="966">
      <c r="B966" s="42"/>
      <c r="N966" s="38"/>
      <c r="P966" s="42"/>
      <c r="AB966" s="38"/>
    </row>
    <row r="967">
      <c r="B967" s="42"/>
      <c r="N967" s="38"/>
      <c r="P967" s="42"/>
      <c r="AB967" s="38"/>
    </row>
    <row r="968">
      <c r="B968" s="42"/>
      <c r="N968" s="38"/>
      <c r="P968" s="42"/>
      <c r="AB968" s="38"/>
    </row>
    <row r="969">
      <c r="B969" s="42"/>
      <c r="N969" s="38"/>
      <c r="P969" s="42"/>
      <c r="AB969" s="38"/>
    </row>
    <row r="970">
      <c r="B970" s="42"/>
      <c r="N970" s="38"/>
      <c r="P970" s="42"/>
      <c r="AB970" s="38"/>
    </row>
    <row r="971">
      <c r="B971" s="42"/>
      <c r="N971" s="38"/>
      <c r="P971" s="42"/>
      <c r="AB971" s="38"/>
    </row>
    <row r="972">
      <c r="B972" s="42"/>
      <c r="N972" s="38"/>
      <c r="P972" s="42"/>
      <c r="AB972" s="38"/>
    </row>
    <row r="973">
      <c r="B973" s="42"/>
      <c r="N973" s="38"/>
      <c r="P973" s="42"/>
      <c r="AB973" s="38"/>
    </row>
    <row r="974">
      <c r="B974" s="42"/>
      <c r="N974" s="38"/>
      <c r="P974" s="42"/>
      <c r="AB974" s="38"/>
    </row>
    <row r="975">
      <c r="B975" s="42"/>
      <c r="N975" s="38"/>
      <c r="P975" s="42"/>
      <c r="AB975" s="38"/>
    </row>
    <row r="976">
      <c r="B976" s="42"/>
      <c r="N976" s="38"/>
      <c r="P976" s="42"/>
      <c r="AB976" s="38"/>
    </row>
    <row r="977">
      <c r="B977" s="42"/>
      <c r="N977" s="38"/>
      <c r="P977" s="42"/>
      <c r="AB977" s="38"/>
    </row>
    <row r="978">
      <c r="B978" s="42"/>
      <c r="N978" s="38"/>
      <c r="P978" s="42"/>
      <c r="AB978" s="38"/>
    </row>
    <row r="979">
      <c r="B979" s="42"/>
      <c r="N979" s="38"/>
      <c r="P979" s="42"/>
      <c r="AB979" s="38"/>
    </row>
    <row r="980">
      <c r="B980" s="42"/>
      <c r="N980" s="38"/>
      <c r="P980" s="42"/>
      <c r="AB980" s="38"/>
    </row>
    <row r="981">
      <c r="B981" s="42"/>
      <c r="N981" s="38"/>
      <c r="P981" s="42"/>
      <c r="AB981" s="38"/>
    </row>
    <row r="982">
      <c r="B982" s="42"/>
      <c r="N982" s="38"/>
      <c r="P982" s="42"/>
      <c r="AB982" s="38"/>
    </row>
    <row r="983">
      <c r="B983" s="42"/>
      <c r="N983" s="38"/>
      <c r="P983" s="42"/>
      <c r="AB983" s="38"/>
    </row>
    <row r="984">
      <c r="B984" s="42"/>
      <c r="N984" s="38"/>
      <c r="P984" s="42"/>
      <c r="AB984" s="38"/>
    </row>
    <row r="985">
      <c r="B985" s="42"/>
      <c r="N985" s="38"/>
      <c r="P985" s="42"/>
      <c r="AB985" s="38"/>
    </row>
    <row r="986">
      <c r="B986" s="42"/>
      <c r="N986" s="38"/>
      <c r="P986" s="42"/>
      <c r="AB986" s="38"/>
    </row>
    <row r="987">
      <c r="B987" s="42"/>
      <c r="N987" s="38"/>
      <c r="P987" s="42"/>
      <c r="AB987" s="38"/>
    </row>
    <row r="988">
      <c r="B988" s="42"/>
      <c r="N988" s="38"/>
      <c r="P988" s="42"/>
      <c r="AB988" s="38"/>
    </row>
    <row r="989">
      <c r="B989" s="42"/>
      <c r="N989" s="38"/>
      <c r="P989" s="42"/>
      <c r="AB989" s="38"/>
    </row>
    <row r="990">
      <c r="B990" s="42"/>
      <c r="N990" s="38"/>
      <c r="P990" s="42"/>
      <c r="AB990" s="38"/>
    </row>
    <row r="991">
      <c r="B991" s="42"/>
      <c r="N991" s="38"/>
      <c r="P991" s="42"/>
      <c r="AB991" s="38"/>
    </row>
    <row r="992">
      <c r="B992" s="42"/>
      <c r="N992" s="38"/>
      <c r="P992" s="42"/>
      <c r="AB992" s="38"/>
    </row>
    <row r="993">
      <c r="B993" s="42"/>
      <c r="N993" s="38"/>
      <c r="P993" s="42"/>
      <c r="AB993" s="38"/>
    </row>
    <row r="994">
      <c r="B994" s="42"/>
      <c r="N994" s="38"/>
      <c r="P994" s="42"/>
      <c r="AB994" s="38"/>
    </row>
    <row r="995">
      <c r="B995" s="42"/>
      <c r="N995" s="38"/>
      <c r="P995" s="42"/>
      <c r="AB995" s="38"/>
    </row>
    <row r="996">
      <c r="B996" s="42"/>
      <c r="N996" s="38"/>
      <c r="P996" s="42"/>
      <c r="AB996" s="38"/>
    </row>
    <row r="997">
      <c r="B997" s="42"/>
      <c r="N997" s="38"/>
      <c r="P997" s="42"/>
      <c r="AB997" s="38"/>
    </row>
    <row r="998">
      <c r="B998" s="42"/>
      <c r="N998" s="38"/>
      <c r="P998" s="42"/>
      <c r="AB998" s="38"/>
    </row>
    <row r="999">
      <c r="B999" s="42"/>
      <c r="N999" s="38"/>
      <c r="P999" s="42"/>
      <c r="AB999" s="38"/>
    </row>
    <row r="1000">
      <c r="B1000" s="47"/>
      <c r="C1000" s="48"/>
      <c r="D1000" s="48"/>
      <c r="E1000" s="48"/>
      <c r="F1000" s="48"/>
      <c r="G1000" s="48"/>
      <c r="H1000" s="48"/>
      <c r="I1000" s="48"/>
      <c r="J1000" s="48"/>
      <c r="N1000" s="38"/>
      <c r="P1000" s="42"/>
      <c r="AB1000" s="38"/>
    </row>
    <row r="1001">
      <c r="P1001" s="42"/>
      <c r="AB1001" s="38"/>
    </row>
    <row r="1002">
      <c r="P1002" s="42"/>
      <c r="AB1002" s="38"/>
    </row>
    <row r="1003">
      <c r="P1003" s="42"/>
      <c r="AB1003" s="38"/>
    </row>
    <row r="1004">
      <c r="P1004" s="42"/>
      <c r="AB1004" s="38"/>
    </row>
    <row r="1005">
      <c r="P1005" s="42"/>
      <c r="AB1005" s="38"/>
    </row>
    <row r="1006">
      <c r="P1006" s="42"/>
      <c r="AB1006" s="38"/>
    </row>
    <row r="1007">
      <c r="P1007" s="42"/>
      <c r="AB1007" s="38"/>
    </row>
    <row r="1008">
      <c r="P1008" s="42"/>
      <c r="AB1008" s="38"/>
    </row>
    <row r="1009">
      <c r="P1009" s="42"/>
      <c r="AB1009" s="38"/>
    </row>
    <row r="1010">
      <c r="P1010" s="42"/>
      <c r="AB1010" s="38"/>
    </row>
    <row r="1011">
      <c r="P1011" s="42"/>
      <c r="AB1011" s="38"/>
    </row>
    <row r="1012">
      <c r="P1012" s="42"/>
      <c r="AB1012" s="38"/>
    </row>
    <row r="1013">
      <c r="P1013" s="42"/>
      <c r="AB1013" s="38"/>
    </row>
    <row r="1014">
      <c r="P1014" s="42"/>
      <c r="AB1014" s="38"/>
    </row>
    <row r="1015">
      <c r="P1015" s="42"/>
      <c r="AB1015" s="38"/>
    </row>
    <row r="1016">
      <c r="P1016" s="42"/>
      <c r="AB1016" s="38"/>
    </row>
    <row r="1017">
      <c r="P1017" s="42"/>
      <c r="AB1017" s="38"/>
    </row>
    <row r="1018">
      <c r="P1018" s="42"/>
      <c r="AB1018" s="38"/>
    </row>
    <row r="1019">
      <c r="P1019" s="42"/>
      <c r="AB1019" s="38"/>
    </row>
    <row r="1020">
      <c r="P1020" s="42"/>
      <c r="AB1020" s="38"/>
    </row>
    <row r="1021">
      <c r="P1021" s="42"/>
      <c r="AB1021" s="38"/>
    </row>
    <row r="1022">
      <c r="P1022" s="42"/>
      <c r="AB1022" s="38"/>
    </row>
    <row r="1023">
      <c r="P1023" s="42"/>
      <c r="AB1023" s="38"/>
    </row>
    <row r="1024">
      <c r="P1024" s="42"/>
      <c r="AB1024" s="38"/>
    </row>
    <row r="1025">
      <c r="P1025" s="42"/>
      <c r="AB1025" s="38"/>
    </row>
    <row r="1026">
      <c r="P1026" s="42"/>
      <c r="AB1026" s="38"/>
    </row>
    <row r="1027">
      <c r="P1027" s="42"/>
      <c r="AB1027" s="38"/>
    </row>
    <row r="1028">
      <c r="P1028" s="42"/>
      <c r="AB1028" s="38"/>
    </row>
    <row r="1029">
      <c r="P1029" s="42"/>
      <c r="AB1029" s="38"/>
    </row>
    <row r="1030">
      <c r="P1030" s="42"/>
      <c r="AB1030" s="38"/>
    </row>
    <row r="1031">
      <c r="P1031" s="42"/>
      <c r="AB1031" s="38"/>
    </row>
    <row r="1032">
      <c r="P1032" s="42"/>
      <c r="AB1032" s="38"/>
    </row>
    <row r="1033">
      <c r="P1033" s="42"/>
      <c r="AB1033" s="38"/>
    </row>
    <row r="1034">
      <c r="P1034" s="42"/>
      <c r="AB1034" s="38"/>
    </row>
    <row r="1035">
      <c r="P1035" s="42"/>
      <c r="AB1035" s="38"/>
    </row>
    <row r="1036">
      <c r="P1036" s="42"/>
      <c r="AB1036" s="38"/>
    </row>
    <row r="1037">
      <c r="P1037" s="42"/>
      <c r="AB1037" s="38"/>
    </row>
    <row r="1038">
      <c r="P1038" s="42"/>
      <c r="AB1038" s="38"/>
    </row>
    <row r="1039">
      <c r="P1039" s="42"/>
      <c r="AB1039" s="38"/>
    </row>
    <row r="1040">
      <c r="P1040" s="42"/>
      <c r="AB1040" s="38"/>
    </row>
    <row r="1041">
      <c r="P1041" s="42"/>
      <c r="AB1041" s="38"/>
    </row>
    <row r="1042">
      <c r="P1042" s="42"/>
      <c r="AB1042" s="38"/>
    </row>
    <row r="1043">
      <c r="P1043" s="42"/>
      <c r="AB1043" s="38"/>
    </row>
    <row r="1044">
      <c r="P1044" s="42"/>
      <c r="AB1044" s="38"/>
    </row>
    <row r="1045">
      <c r="P1045" s="42"/>
      <c r="AB1045" s="38"/>
    </row>
    <row r="1046">
      <c r="P1046" s="42"/>
      <c r="AB1046" s="38"/>
    </row>
    <row r="1047">
      <c r="P1047" s="42"/>
      <c r="AB1047" s="38"/>
    </row>
    <row r="1048">
      <c r="P1048" s="42"/>
      <c r="AB1048" s="38"/>
    </row>
    <row r="1049">
      <c r="P1049" s="42"/>
      <c r="AB1049" s="38"/>
    </row>
    <row r="1050">
      <c r="P1050" s="42"/>
      <c r="AB1050" s="38"/>
    </row>
    <row r="1051">
      <c r="P1051" s="42"/>
      <c r="AB1051" s="38"/>
    </row>
    <row r="1052">
      <c r="P1052" s="42"/>
      <c r="AB1052" s="38"/>
    </row>
    <row r="1053">
      <c r="P1053" s="42"/>
      <c r="AB1053" s="38"/>
    </row>
    <row r="1054">
      <c r="P1054" s="42"/>
      <c r="AB1054" s="38"/>
    </row>
    <row r="1055">
      <c r="P1055" s="42"/>
      <c r="AB1055" s="38"/>
    </row>
    <row r="1056">
      <c r="P1056" s="42"/>
      <c r="AB1056" s="38"/>
    </row>
    <row r="1057">
      <c r="P1057" s="42"/>
      <c r="AB1057" s="38"/>
    </row>
    <row r="1058">
      <c r="P1058" s="42"/>
      <c r="AB1058" s="38"/>
    </row>
    <row r="1059">
      <c r="P1059" s="42"/>
      <c r="AB1059" s="38"/>
    </row>
    <row r="1060">
      <c r="P1060" s="42"/>
      <c r="AB1060" s="38"/>
    </row>
    <row r="1061">
      <c r="P1061" s="42"/>
      <c r="AB1061" s="38"/>
    </row>
    <row r="1062">
      <c r="P1062" s="42"/>
      <c r="AB1062" s="38"/>
    </row>
    <row r="1063">
      <c r="P1063" s="42"/>
      <c r="AB1063" s="38"/>
    </row>
    <row r="1064">
      <c r="P1064" s="42"/>
      <c r="AB1064" s="38"/>
    </row>
    <row r="1065">
      <c r="P1065" s="42"/>
      <c r="AB1065" s="38"/>
    </row>
    <row r="1066">
      <c r="P1066" s="42"/>
      <c r="AB1066" s="38"/>
    </row>
    <row r="1067">
      <c r="P1067" s="42"/>
      <c r="AB1067" s="38"/>
    </row>
    <row r="1068">
      <c r="P1068" s="42"/>
      <c r="AB1068" s="38"/>
    </row>
    <row r="1069">
      <c r="P1069" s="42"/>
      <c r="AB1069" s="38"/>
    </row>
    <row r="1070">
      <c r="P1070" s="42"/>
      <c r="AB1070" s="38"/>
    </row>
    <row r="1071">
      <c r="P1071" s="42"/>
      <c r="AB1071" s="38"/>
    </row>
    <row r="1072">
      <c r="P1072" s="42"/>
      <c r="AB1072" s="38"/>
    </row>
    <row r="1073">
      <c r="P1073" s="42"/>
      <c r="AB1073" s="38"/>
    </row>
    <row r="1074">
      <c r="P1074" s="42"/>
      <c r="AB1074" s="38"/>
    </row>
    <row r="1075">
      <c r="P1075" s="42"/>
      <c r="AB1075" s="38"/>
    </row>
    <row r="1076">
      <c r="P1076" s="42"/>
      <c r="AB1076" s="38"/>
    </row>
    <row r="1077">
      <c r="P1077" s="42"/>
      <c r="AB1077" s="38"/>
    </row>
    <row r="1078">
      <c r="P1078" s="42"/>
      <c r="AB1078" s="38"/>
    </row>
    <row r="1079">
      <c r="P1079" s="42"/>
      <c r="AB1079" s="38"/>
    </row>
    <row r="1080">
      <c r="P1080" s="42"/>
      <c r="AB1080" s="38"/>
    </row>
    <row r="1081">
      <c r="P1081" s="42"/>
      <c r="AB1081" s="38"/>
    </row>
    <row r="1082">
      <c r="P1082" s="42"/>
      <c r="AB1082" s="38"/>
    </row>
    <row r="1083">
      <c r="P1083" s="42"/>
      <c r="AB1083" s="38"/>
    </row>
    <row r="1084">
      <c r="P1084" s="42"/>
      <c r="AB1084" s="38"/>
    </row>
    <row r="1085">
      <c r="P1085" s="42"/>
      <c r="AB1085" s="38"/>
    </row>
    <row r="1086">
      <c r="P1086" s="42"/>
      <c r="AB1086" s="38"/>
    </row>
    <row r="1087">
      <c r="P1087" s="42"/>
      <c r="AB1087" s="38"/>
    </row>
    <row r="1088">
      <c r="P1088" s="42"/>
      <c r="AB1088" s="38"/>
    </row>
    <row r="1089">
      <c r="P1089" s="42"/>
      <c r="AB1089" s="38"/>
    </row>
    <row r="1090">
      <c r="P1090" s="42"/>
      <c r="AB1090" s="38"/>
    </row>
    <row r="1091">
      <c r="P1091" s="42"/>
      <c r="AB1091" s="38"/>
    </row>
    <row r="1092">
      <c r="P1092" s="42"/>
      <c r="AB1092" s="38"/>
    </row>
    <row r="1093">
      <c r="P1093" s="42"/>
      <c r="AB1093" s="38"/>
    </row>
    <row r="1094">
      <c r="P1094" s="42"/>
      <c r="AB1094" s="38"/>
    </row>
    <row r="1095">
      <c r="P1095" s="42"/>
      <c r="AB1095" s="38"/>
    </row>
    <row r="1096">
      <c r="P1096" s="42"/>
      <c r="AB1096" s="38"/>
    </row>
    <row r="1097">
      <c r="P1097" s="42"/>
      <c r="AB1097" s="38"/>
    </row>
    <row r="1098">
      <c r="P1098" s="42"/>
      <c r="AB1098" s="38"/>
    </row>
    <row r="1099">
      <c r="P1099" s="42"/>
      <c r="AB1099" s="38"/>
    </row>
    <row r="1100">
      <c r="P1100" s="42"/>
      <c r="AB1100" s="38"/>
    </row>
    <row r="1101">
      <c r="P1101" s="42"/>
      <c r="AB1101" s="38"/>
    </row>
    <row r="1102">
      <c r="P1102" s="42"/>
      <c r="AB1102" s="38"/>
    </row>
    <row r="1103">
      <c r="P1103" s="42"/>
      <c r="AB1103" s="38"/>
    </row>
    <row r="1104">
      <c r="P1104" s="42"/>
      <c r="AB1104" s="38"/>
    </row>
    <row r="1105">
      <c r="P1105" s="42"/>
      <c r="AB1105" s="38"/>
    </row>
    <row r="1106">
      <c r="P1106" s="42"/>
      <c r="AB1106" s="38"/>
    </row>
    <row r="1107">
      <c r="P1107" s="42"/>
      <c r="AB1107" s="38"/>
    </row>
    <row r="1108">
      <c r="P1108" s="42"/>
      <c r="AB1108" s="38"/>
    </row>
    <row r="1109">
      <c r="P1109" s="42"/>
      <c r="AB1109" s="38"/>
    </row>
    <row r="1110">
      <c r="P1110" s="42"/>
      <c r="AB1110" s="38"/>
    </row>
    <row r="1111">
      <c r="P1111" s="42"/>
      <c r="AB1111" s="38"/>
    </row>
    <row r="1112">
      <c r="P1112" s="42"/>
      <c r="AB1112" s="38"/>
    </row>
    <row r="1113">
      <c r="P1113" s="42"/>
      <c r="AB1113" s="38"/>
    </row>
    <row r="1114">
      <c r="P1114" s="42"/>
      <c r="AB1114" s="38"/>
    </row>
    <row r="1115">
      <c r="P1115" s="42"/>
      <c r="AB1115" s="38"/>
    </row>
    <row r="1116">
      <c r="P1116" s="42"/>
      <c r="AB1116" s="38"/>
    </row>
    <row r="1117">
      <c r="P1117" s="42"/>
      <c r="AB1117" s="38"/>
    </row>
    <row r="1118">
      <c r="P1118" s="42"/>
      <c r="AB1118" s="38"/>
    </row>
    <row r="1119">
      <c r="P1119" s="42"/>
      <c r="AB1119" s="38"/>
    </row>
    <row r="1120">
      <c r="P1120" s="42"/>
      <c r="AB1120" s="38"/>
    </row>
    <row r="1121">
      <c r="P1121" s="42"/>
      <c r="AB1121" s="38"/>
    </row>
    <row r="1122">
      <c r="P1122" s="42"/>
      <c r="AB1122" s="38"/>
    </row>
    <row r="1123">
      <c r="P1123" s="42"/>
      <c r="AB1123" s="38"/>
    </row>
    <row r="1124">
      <c r="P1124" s="42"/>
      <c r="AB1124" s="38"/>
    </row>
    <row r="1125">
      <c r="P1125" s="42"/>
      <c r="AB1125" s="38"/>
    </row>
    <row r="1126">
      <c r="P1126" s="42"/>
      <c r="AB1126" s="38"/>
    </row>
    <row r="1127">
      <c r="P1127" s="42"/>
      <c r="AB1127" s="38"/>
    </row>
    <row r="1128">
      <c r="P1128" s="42"/>
      <c r="AB1128" s="38"/>
    </row>
    <row r="1129">
      <c r="P1129" s="42"/>
      <c r="AB1129" s="38"/>
    </row>
    <row r="1130">
      <c r="P1130" s="42"/>
      <c r="AB1130" s="38"/>
    </row>
    <row r="1131">
      <c r="P1131" s="42"/>
      <c r="AB1131" s="38"/>
    </row>
    <row r="1132">
      <c r="P1132" s="42"/>
      <c r="AB1132" s="38"/>
    </row>
    <row r="1133">
      <c r="P1133" s="42"/>
      <c r="AB1133" s="38"/>
    </row>
    <row r="1134">
      <c r="P1134" s="42"/>
      <c r="AB1134" s="38"/>
    </row>
    <row r="1135">
      <c r="P1135" s="42"/>
      <c r="AB1135" s="38"/>
    </row>
    <row r="1136">
      <c r="P1136" s="42"/>
      <c r="AB1136" s="38"/>
    </row>
    <row r="1137">
      <c r="P1137" s="42"/>
      <c r="AB1137" s="38"/>
    </row>
    <row r="1138">
      <c r="P1138" s="42"/>
      <c r="AB1138" s="38"/>
    </row>
    <row r="1139">
      <c r="P1139" s="42"/>
      <c r="AB1139" s="38"/>
    </row>
    <row r="1140">
      <c r="P1140" s="42"/>
      <c r="AB1140" s="38"/>
    </row>
    <row r="1141">
      <c r="P1141" s="42"/>
      <c r="AB1141" s="38"/>
    </row>
    <row r="1142">
      <c r="P1142" s="42"/>
      <c r="AB1142" s="38"/>
    </row>
    <row r="1143">
      <c r="P1143" s="42"/>
      <c r="AB1143" s="38"/>
    </row>
    <row r="1144">
      <c r="P1144" s="42"/>
      <c r="AB1144" s="38"/>
    </row>
    <row r="1145">
      <c r="P1145" s="42"/>
      <c r="AB1145" s="38"/>
    </row>
    <row r="1146">
      <c r="P1146" s="42"/>
      <c r="AB1146" s="38"/>
    </row>
    <row r="1147">
      <c r="P1147" s="42"/>
      <c r="AB1147" s="38"/>
    </row>
    <row r="1148">
      <c r="P1148" s="42"/>
      <c r="AB1148" s="38"/>
    </row>
    <row r="1149">
      <c r="P1149" s="42"/>
      <c r="AB1149" s="38"/>
    </row>
    <row r="1150">
      <c r="P1150" s="42"/>
      <c r="AB1150" s="38"/>
    </row>
    <row r="1151">
      <c r="P1151" s="42"/>
      <c r="AB1151" s="38"/>
    </row>
    <row r="1152">
      <c r="P1152" s="42"/>
      <c r="AB1152" s="38"/>
    </row>
    <row r="1153">
      <c r="P1153" s="42"/>
      <c r="AB1153" s="38"/>
    </row>
    <row r="1154">
      <c r="P1154" s="42"/>
      <c r="AB1154" s="38"/>
    </row>
    <row r="1155">
      <c r="P1155" s="42"/>
      <c r="AB1155" s="38"/>
    </row>
    <row r="1156">
      <c r="P1156" s="42"/>
      <c r="AB1156" s="38"/>
    </row>
    <row r="1157">
      <c r="P1157" s="42"/>
      <c r="AB1157" s="38"/>
    </row>
    <row r="1158">
      <c r="P1158" s="42"/>
      <c r="AB1158" s="38"/>
    </row>
    <row r="1159">
      <c r="P1159" s="42"/>
      <c r="AB1159" s="38"/>
    </row>
    <row r="1160">
      <c r="P1160" s="42"/>
      <c r="AB1160" s="38"/>
    </row>
    <row r="1161">
      <c r="P1161" s="42"/>
      <c r="AB1161" s="38"/>
    </row>
    <row r="1162">
      <c r="P1162" s="42"/>
      <c r="AB1162" s="38"/>
    </row>
    <row r="1163">
      <c r="P1163" s="42"/>
      <c r="AB1163" s="38"/>
    </row>
    <row r="1164">
      <c r="P1164" s="42"/>
      <c r="AB1164" s="38"/>
    </row>
    <row r="1165">
      <c r="P1165" s="42"/>
      <c r="AB1165" s="38"/>
    </row>
    <row r="1166">
      <c r="P1166" s="42"/>
      <c r="AB1166" s="38"/>
    </row>
    <row r="1167">
      <c r="P1167" s="42"/>
      <c r="AB1167" s="38"/>
    </row>
    <row r="1168">
      <c r="P1168" s="42"/>
      <c r="AB1168" s="38"/>
    </row>
    <row r="1169">
      <c r="P1169" s="42"/>
      <c r="AB1169" s="38"/>
    </row>
    <row r="1170">
      <c r="P1170" s="42"/>
      <c r="AB1170" s="38"/>
    </row>
    <row r="1171">
      <c r="P1171" s="42"/>
      <c r="AB1171" s="38"/>
    </row>
    <row r="1172">
      <c r="P1172" s="42"/>
      <c r="AB1172" s="38"/>
    </row>
    <row r="1173">
      <c r="P1173" s="42"/>
      <c r="AB1173" s="38"/>
    </row>
    <row r="1174">
      <c r="P1174" s="42"/>
      <c r="AB1174" s="38"/>
    </row>
    <row r="1175">
      <c r="P1175" s="42"/>
      <c r="AB1175" s="38"/>
    </row>
    <row r="1176">
      <c r="P1176" s="42"/>
      <c r="AB1176" s="38"/>
    </row>
    <row r="1177">
      <c r="P1177" s="42"/>
      <c r="AB1177" s="38"/>
    </row>
    <row r="1178">
      <c r="P1178" s="42"/>
      <c r="AB1178" s="38"/>
    </row>
    <row r="1179">
      <c r="P1179" s="42"/>
      <c r="AB1179" s="38"/>
    </row>
    <row r="1180">
      <c r="P1180" s="42"/>
      <c r="AB1180" s="38"/>
    </row>
    <row r="1181">
      <c r="P1181" s="42"/>
      <c r="AB1181" s="38"/>
    </row>
    <row r="1182">
      <c r="P1182" s="42"/>
      <c r="AB1182" s="38"/>
    </row>
    <row r="1183">
      <c r="P1183" s="42"/>
      <c r="AB1183" s="38"/>
    </row>
    <row r="1184">
      <c r="P1184" s="42"/>
      <c r="AB1184" s="38"/>
    </row>
    <row r="1185">
      <c r="P1185" s="42"/>
      <c r="AB1185" s="38"/>
    </row>
    <row r="1186">
      <c r="P1186" s="42"/>
      <c r="AB1186" s="38"/>
    </row>
    <row r="1187">
      <c r="P1187" s="42"/>
      <c r="AB1187" s="38"/>
    </row>
    <row r="1188">
      <c r="P1188" s="42"/>
      <c r="AB1188" s="38"/>
    </row>
    <row r="1189">
      <c r="P1189" s="42"/>
      <c r="AB1189" s="38"/>
    </row>
    <row r="1190">
      <c r="P1190" s="42"/>
      <c r="AB1190" s="38"/>
    </row>
    <row r="1191">
      <c r="P1191" s="42"/>
      <c r="AB1191" s="38"/>
    </row>
    <row r="1192">
      <c r="P1192" s="42"/>
      <c r="AB1192" s="38"/>
    </row>
    <row r="1193">
      <c r="P1193" s="42"/>
      <c r="AB1193" s="38"/>
    </row>
    <row r="1194">
      <c r="P1194" s="42"/>
      <c r="AB1194" s="38"/>
    </row>
    <row r="1195">
      <c r="P1195" s="42"/>
      <c r="AB1195" s="38"/>
    </row>
    <row r="1196">
      <c r="P1196" s="42"/>
      <c r="AB1196" s="38"/>
    </row>
    <row r="1197">
      <c r="P1197" s="42"/>
      <c r="AB1197" s="38"/>
    </row>
    <row r="1198">
      <c r="P1198" s="42"/>
      <c r="AB1198" s="38"/>
    </row>
    <row r="1199">
      <c r="P1199" s="42"/>
      <c r="AB1199" s="38"/>
    </row>
    <row r="1200">
      <c r="P1200" s="42"/>
      <c r="AB1200" s="38"/>
    </row>
    <row r="1201">
      <c r="P1201" s="42"/>
      <c r="AB1201" s="38"/>
    </row>
    <row r="1202">
      <c r="P1202" s="42"/>
      <c r="AB1202" s="38"/>
    </row>
    <row r="1203">
      <c r="P1203" s="42"/>
      <c r="AB1203" s="38"/>
    </row>
    <row r="1204">
      <c r="P1204" s="42"/>
      <c r="AB1204" s="38"/>
    </row>
    <row r="1205">
      <c r="P1205" s="42"/>
      <c r="AB1205" s="38"/>
    </row>
    <row r="1206">
      <c r="P1206" s="42"/>
      <c r="AB1206" s="38"/>
    </row>
    <row r="1207">
      <c r="P1207" s="42"/>
      <c r="AB1207" s="38"/>
    </row>
    <row r="1208">
      <c r="P1208" s="42"/>
      <c r="AB1208" s="38"/>
    </row>
    <row r="1209">
      <c r="P1209" s="42"/>
      <c r="AB1209" s="38"/>
    </row>
    <row r="1210">
      <c r="P1210" s="42"/>
      <c r="AB1210" s="38"/>
    </row>
    <row r="1211">
      <c r="P1211" s="42"/>
      <c r="AB1211" s="38"/>
    </row>
    <row r="1212">
      <c r="P1212" s="42"/>
      <c r="AB1212" s="38"/>
    </row>
    <row r="1213">
      <c r="P1213" s="42"/>
      <c r="AB1213" s="38"/>
    </row>
    <row r="1214">
      <c r="P1214" s="42"/>
      <c r="AB1214" s="38"/>
    </row>
    <row r="1215">
      <c r="P1215" s="42"/>
      <c r="AB1215" s="38"/>
    </row>
    <row r="1216">
      <c r="P1216" s="42"/>
      <c r="AB1216" s="38"/>
    </row>
    <row r="1217">
      <c r="P1217" s="42"/>
      <c r="AB1217" s="38"/>
    </row>
    <row r="1218">
      <c r="P1218" s="42"/>
      <c r="AB1218" s="38"/>
    </row>
    <row r="1219">
      <c r="P1219" s="42"/>
      <c r="AB1219" s="38"/>
    </row>
    <row r="1220">
      <c r="P1220" s="42"/>
      <c r="AB1220" s="38"/>
    </row>
    <row r="1221">
      <c r="P1221" s="42"/>
      <c r="AB1221" s="38"/>
    </row>
    <row r="1222">
      <c r="P1222" s="42"/>
      <c r="AB1222" s="38"/>
    </row>
    <row r="1223">
      <c r="P1223" s="42"/>
      <c r="AB1223" s="38"/>
    </row>
    <row r="1224">
      <c r="P1224" s="42"/>
      <c r="AB1224" s="38"/>
    </row>
    <row r="1225">
      <c r="P1225" s="42"/>
      <c r="AB1225" s="38"/>
    </row>
    <row r="1226">
      <c r="P1226" s="42"/>
      <c r="AB1226" s="38"/>
    </row>
    <row r="1227">
      <c r="P1227" s="42"/>
      <c r="AB1227" s="38"/>
    </row>
    <row r="1228">
      <c r="P1228" s="42"/>
      <c r="AB1228" s="38"/>
    </row>
    <row r="1229">
      <c r="P1229" s="42"/>
      <c r="AB1229" s="38"/>
    </row>
    <row r="1230">
      <c r="P1230" s="42"/>
      <c r="AB1230" s="38"/>
    </row>
    <row r="1231">
      <c r="P1231" s="42"/>
      <c r="AB1231" s="38"/>
    </row>
    <row r="1232">
      <c r="P1232" s="42"/>
      <c r="AB1232" s="38"/>
    </row>
    <row r="1233">
      <c r="P1233" s="42"/>
      <c r="AB1233" s="38"/>
    </row>
    <row r="1234">
      <c r="P1234" s="42"/>
      <c r="AB1234" s="38"/>
    </row>
    <row r="1235">
      <c r="P1235" s="42"/>
      <c r="AB1235" s="38"/>
    </row>
    <row r="1236">
      <c r="P1236" s="42"/>
      <c r="AB1236" s="38"/>
    </row>
    <row r="1237">
      <c r="P1237" s="42"/>
      <c r="AB1237" s="38"/>
    </row>
    <row r="1238">
      <c r="P1238" s="42"/>
      <c r="AB1238" s="38"/>
    </row>
    <row r="1239">
      <c r="P1239" s="42"/>
      <c r="AB1239" s="38"/>
    </row>
    <row r="1240">
      <c r="P1240" s="42"/>
      <c r="AB1240" s="38"/>
    </row>
    <row r="1241">
      <c r="P1241" s="42"/>
      <c r="AB1241" s="38"/>
    </row>
    <row r="1242">
      <c r="P1242" s="42"/>
      <c r="AB1242" s="38"/>
    </row>
    <row r="1243">
      <c r="P1243" s="42"/>
      <c r="AB1243" s="38"/>
    </row>
    <row r="1244">
      <c r="P1244" s="42"/>
      <c r="AB1244" s="38"/>
    </row>
    <row r="1245">
      <c r="P1245" s="42"/>
      <c r="AB1245" s="38"/>
    </row>
    <row r="1246">
      <c r="P1246" s="42"/>
      <c r="AB1246" s="38"/>
    </row>
    <row r="1247">
      <c r="P1247" s="42"/>
      <c r="AB1247" s="38"/>
    </row>
    <row r="1248">
      <c r="P1248" s="42"/>
      <c r="AB1248" s="38"/>
    </row>
    <row r="1249">
      <c r="P1249" s="42"/>
      <c r="AB1249" s="38"/>
    </row>
    <row r="1250">
      <c r="P1250" s="42"/>
      <c r="AB1250" s="38"/>
    </row>
    <row r="1251">
      <c r="P1251" s="42"/>
      <c r="AB1251" s="38"/>
    </row>
    <row r="1252">
      <c r="P1252" s="42"/>
      <c r="AB1252" s="38"/>
    </row>
    <row r="1253">
      <c r="P1253" s="42"/>
      <c r="AB1253" s="38"/>
    </row>
    <row r="1254">
      <c r="P1254" s="42"/>
      <c r="AB1254" s="38"/>
    </row>
    <row r="1255">
      <c r="P1255" s="42"/>
      <c r="AB1255" s="38"/>
    </row>
    <row r="1256">
      <c r="P1256" s="42"/>
      <c r="AB1256" s="38"/>
    </row>
    <row r="1257">
      <c r="P1257" s="42"/>
      <c r="AB1257" s="38"/>
    </row>
    <row r="1258">
      <c r="P1258" s="42"/>
      <c r="AB1258" s="38"/>
    </row>
    <row r="1259">
      <c r="P1259" s="42"/>
      <c r="AB1259" s="38"/>
    </row>
    <row r="1260">
      <c r="P1260" s="42"/>
      <c r="AB1260" s="38"/>
    </row>
    <row r="1261">
      <c r="P1261" s="42"/>
      <c r="AB1261" s="38"/>
    </row>
    <row r="1262">
      <c r="P1262" s="42"/>
      <c r="AB1262" s="38"/>
    </row>
    <row r="1263">
      <c r="P1263" s="42"/>
      <c r="AB1263" s="38"/>
    </row>
    <row r="1264">
      <c r="P1264" s="42"/>
      <c r="AB1264" s="38"/>
    </row>
    <row r="1265">
      <c r="P1265" s="42"/>
      <c r="AB1265" s="38"/>
    </row>
    <row r="1266">
      <c r="P1266" s="42"/>
      <c r="AB1266" s="38"/>
    </row>
    <row r="1267">
      <c r="P1267" s="42"/>
      <c r="AB1267" s="38"/>
    </row>
    <row r="1268">
      <c r="P1268" s="42"/>
      <c r="AB1268" s="38"/>
    </row>
    <row r="1269">
      <c r="P1269" s="42"/>
      <c r="AB1269" s="38"/>
    </row>
    <row r="1270">
      <c r="P1270" s="42"/>
      <c r="AB1270" s="38"/>
    </row>
    <row r="1271">
      <c r="P1271" s="42"/>
      <c r="AB1271" s="38"/>
    </row>
    <row r="1272">
      <c r="P1272" s="42"/>
      <c r="AB1272" s="38"/>
    </row>
    <row r="1273">
      <c r="P1273" s="42"/>
      <c r="AB1273" s="38"/>
    </row>
    <row r="1274">
      <c r="P1274" s="42"/>
      <c r="AB1274" s="38"/>
    </row>
    <row r="1275">
      <c r="P1275" s="42"/>
      <c r="AB1275" s="38"/>
    </row>
    <row r="1276">
      <c r="P1276" s="42"/>
      <c r="AB1276" s="38"/>
    </row>
    <row r="1277">
      <c r="P1277" s="42"/>
      <c r="AB1277" s="38"/>
    </row>
    <row r="1278">
      <c r="P1278" s="42"/>
      <c r="AB1278" s="38"/>
    </row>
    <row r="1279">
      <c r="P1279" s="42"/>
      <c r="AB1279" s="38"/>
    </row>
    <row r="1280">
      <c r="P1280" s="42"/>
      <c r="AB1280" s="38"/>
    </row>
    <row r="1281">
      <c r="P1281" s="42"/>
      <c r="AB1281" s="38"/>
    </row>
    <row r="1282">
      <c r="P1282" s="42"/>
      <c r="AB1282" s="38"/>
    </row>
    <row r="1283">
      <c r="P1283" s="42"/>
      <c r="AB1283" s="38"/>
    </row>
    <row r="1284">
      <c r="P1284" s="42"/>
      <c r="AB1284" s="38"/>
    </row>
    <row r="1285">
      <c r="P1285" s="42"/>
      <c r="AB1285" s="38"/>
    </row>
    <row r="1286">
      <c r="P1286" s="42"/>
      <c r="AB1286" s="38"/>
    </row>
    <row r="1287">
      <c r="P1287" s="42"/>
      <c r="AB1287" s="38"/>
    </row>
    <row r="1288">
      <c r="P1288" s="42"/>
      <c r="AB1288" s="38"/>
    </row>
    <row r="1289">
      <c r="P1289" s="42"/>
      <c r="AB1289" s="38"/>
    </row>
    <row r="1290">
      <c r="P1290" s="42"/>
      <c r="AB1290" s="38"/>
    </row>
    <row r="1291">
      <c r="P1291" s="42"/>
      <c r="AB1291" s="38"/>
    </row>
    <row r="1292">
      <c r="P1292" s="42"/>
      <c r="AB1292" s="38"/>
    </row>
    <row r="1293">
      <c r="P1293" s="42"/>
      <c r="AB1293" s="38"/>
    </row>
    <row r="1294">
      <c r="P1294" s="42"/>
      <c r="AB1294" s="38"/>
    </row>
    <row r="1295">
      <c r="P1295" s="42"/>
      <c r="AB1295" s="38"/>
    </row>
    <row r="1296">
      <c r="P1296" s="42"/>
      <c r="AB1296" s="38"/>
    </row>
    <row r="1297">
      <c r="P1297" s="42"/>
      <c r="AB1297" s="38"/>
    </row>
    <row r="1298">
      <c r="P1298" s="42"/>
      <c r="AB1298" s="38"/>
    </row>
    <row r="1299">
      <c r="P1299" s="42"/>
      <c r="AB1299" s="38"/>
    </row>
    <row r="1300">
      <c r="P1300" s="42"/>
      <c r="AB1300" s="38"/>
    </row>
    <row r="1301">
      <c r="P1301" s="42"/>
      <c r="AB1301" s="38"/>
    </row>
    <row r="1302">
      <c r="P1302" s="42"/>
      <c r="AB1302" s="38"/>
    </row>
    <row r="1303">
      <c r="P1303" s="42"/>
      <c r="AB1303" s="38"/>
    </row>
    <row r="1304">
      <c r="P1304" s="42"/>
      <c r="AB1304" s="38"/>
    </row>
    <row r="1305">
      <c r="P1305" s="42"/>
      <c r="AB1305" s="38"/>
    </row>
    <row r="1306">
      <c r="P1306" s="42"/>
      <c r="AB1306" s="38"/>
    </row>
    <row r="1307">
      <c r="P1307" s="42"/>
      <c r="AB1307" s="38"/>
    </row>
    <row r="1308">
      <c r="P1308" s="42"/>
      <c r="AB1308" s="38"/>
    </row>
    <row r="1309">
      <c r="P1309" s="42"/>
      <c r="AB1309" s="38"/>
    </row>
    <row r="1310">
      <c r="P1310" s="42"/>
      <c r="AB1310" s="38"/>
    </row>
    <row r="1311">
      <c r="P1311" s="42"/>
      <c r="AB1311" s="38"/>
    </row>
    <row r="1312">
      <c r="P1312" s="42"/>
      <c r="AB1312" s="38"/>
    </row>
    <row r="1313">
      <c r="P1313" s="42"/>
      <c r="AB1313" s="38"/>
    </row>
    <row r="1314">
      <c r="P1314" s="42"/>
      <c r="AB1314" s="38"/>
    </row>
    <row r="1315">
      <c r="P1315" s="42"/>
      <c r="AB1315" s="38"/>
    </row>
    <row r="1316">
      <c r="P1316" s="42"/>
      <c r="AB1316" s="38"/>
    </row>
    <row r="1317">
      <c r="P1317" s="42"/>
      <c r="AB1317" s="38"/>
    </row>
    <row r="1318">
      <c r="P1318" s="42"/>
      <c r="AB1318" s="38"/>
    </row>
    <row r="1319">
      <c r="P1319" s="42"/>
      <c r="AB1319" s="38"/>
    </row>
    <row r="1320">
      <c r="P1320" s="42"/>
      <c r="AB1320" s="38"/>
    </row>
    <row r="1321">
      <c r="P1321" s="42"/>
      <c r="AB1321" s="38"/>
    </row>
    <row r="1322">
      <c r="P1322" s="42"/>
      <c r="AB1322" s="38"/>
    </row>
    <row r="1323">
      <c r="P1323" s="42"/>
      <c r="AB1323" s="38"/>
    </row>
    <row r="1324">
      <c r="P1324" s="42"/>
      <c r="AB1324" s="38"/>
    </row>
    <row r="1325">
      <c r="P1325" s="42"/>
      <c r="AB1325" s="38"/>
    </row>
    <row r="1326">
      <c r="P1326" s="42"/>
      <c r="AB1326" s="38"/>
    </row>
    <row r="1327">
      <c r="P1327" s="42"/>
      <c r="AB1327" s="38"/>
    </row>
    <row r="1328">
      <c r="P1328" s="42"/>
      <c r="AB1328" s="38"/>
    </row>
    <row r="1329">
      <c r="P1329" s="42"/>
      <c r="AB1329" s="38"/>
    </row>
    <row r="1330">
      <c r="P1330" s="42"/>
      <c r="AB1330" s="38"/>
    </row>
    <row r="1331">
      <c r="P1331" s="42"/>
      <c r="AB1331" s="38"/>
    </row>
    <row r="1332">
      <c r="P1332" s="42"/>
      <c r="AB1332" s="38"/>
    </row>
    <row r="1333">
      <c r="P1333" s="42"/>
      <c r="AB1333" s="38"/>
    </row>
    <row r="1334">
      <c r="P1334" s="42"/>
      <c r="AB1334" s="38"/>
    </row>
    <row r="1335">
      <c r="P1335" s="42"/>
      <c r="AB1335" s="38"/>
    </row>
    <row r="1336">
      <c r="P1336" s="42"/>
      <c r="AB1336" s="38"/>
    </row>
    <row r="1337">
      <c r="P1337" s="42"/>
      <c r="AB1337" s="38"/>
    </row>
    <row r="1338">
      <c r="P1338" s="42"/>
      <c r="AB1338" s="38"/>
    </row>
    <row r="1339">
      <c r="P1339" s="42"/>
      <c r="AB1339" s="38"/>
    </row>
    <row r="1340">
      <c r="P1340" s="42"/>
      <c r="AB1340" s="38"/>
    </row>
    <row r="1341">
      <c r="P1341" s="42"/>
      <c r="AB1341" s="38"/>
    </row>
    <row r="1342">
      <c r="P1342" s="42"/>
      <c r="AB1342" s="38"/>
    </row>
    <row r="1343">
      <c r="P1343" s="42"/>
      <c r="AB1343" s="38"/>
    </row>
    <row r="1344">
      <c r="P1344" s="42"/>
      <c r="AB1344" s="38"/>
    </row>
    <row r="1345">
      <c r="P1345" s="42"/>
      <c r="AB1345" s="38"/>
    </row>
    <row r="1346">
      <c r="P1346" s="42"/>
      <c r="AB1346" s="38"/>
    </row>
    <row r="1347">
      <c r="P1347" s="42"/>
      <c r="AB1347" s="38"/>
    </row>
    <row r="1348">
      <c r="P1348" s="42"/>
      <c r="AB1348" s="38"/>
    </row>
    <row r="1349">
      <c r="P1349" s="42"/>
      <c r="AB1349" s="38"/>
    </row>
    <row r="1350">
      <c r="P1350" s="42"/>
      <c r="AB1350" s="38"/>
    </row>
    <row r="1351">
      <c r="P1351" s="42"/>
      <c r="AB1351" s="38"/>
    </row>
    <row r="1352">
      <c r="P1352" s="42"/>
      <c r="AB1352" s="38"/>
    </row>
    <row r="1353">
      <c r="P1353" s="42"/>
      <c r="AB1353" s="38"/>
    </row>
    <row r="1354">
      <c r="P1354" s="42"/>
      <c r="AB1354" s="38"/>
    </row>
    <row r="1355">
      <c r="P1355" s="42"/>
      <c r="AB1355" s="38"/>
    </row>
    <row r="1356">
      <c r="P1356" s="42"/>
      <c r="AB1356" s="38"/>
    </row>
    <row r="1357">
      <c r="P1357" s="42"/>
      <c r="AB1357" s="38"/>
    </row>
    <row r="1358">
      <c r="P1358" s="42"/>
      <c r="AB1358" s="38"/>
    </row>
    <row r="1359">
      <c r="P1359" s="42"/>
      <c r="AB1359" s="38"/>
    </row>
    <row r="1360">
      <c r="P1360" s="42"/>
      <c r="AB1360" s="38"/>
    </row>
    <row r="1361">
      <c r="P1361" s="42"/>
      <c r="AB1361" s="38"/>
    </row>
    <row r="1362">
      <c r="P1362" s="42"/>
      <c r="AB1362" s="38"/>
    </row>
    <row r="1363">
      <c r="P1363" s="42"/>
      <c r="AB1363" s="38"/>
    </row>
    <row r="1364">
      <c r="P1364" s="42"/>
      <c r="AB1364" s="38"/>
    </row>
    <row r="1365">
      <c r="P1365" s="42"/>
      <c r="AB1365" s="38"/>
    </row>
    <row r="1366">
      <c r="P1366" s="42"/>
      <c r="AB1366" s="38"/>
    </row>
    <row r="1367">
      <c r="P1367" s="42"/>
      <c r="AB1367" s="38"/>
    </row>
    <row r="1368">
      <c r="P1368" s="42"/>
      <c r="AB1368" s="38"/>
    </row>
    <row r="1369">
      <c r="P1369" s="42"/>
      <c r="AB1369" s="38"/>
    </row>
    <row r="1370">
      <c r="P1370" s="42"/>
      <c r="AB1370" s="38"/>
    </row>
    <row r="1371">
      <c r="P1371" s="42"/>
      <c r="AB1371" s="38"/>
    </row>
    <row r="1372">
      <c r="P1372" s="42"/>
      <c r="AB1372" s="38"/>
    </row>
    <row r="1373">
      <c r="P1373" s="42"/>
      <c r="AB1373" s="38"/>
    </row>
    <row r="1374">
      <c r="P1374" s="42"/>
      <c r="AB1374" s="38"/>
    </row>
    <row r="1375">
      <c r="P1375" s="42"/>
      <c r="AB1375" s="38"/>
    </row>
    <row r="1376">
      <c r="P1376" s="42"/>
      <c r="AB1376" s="38"/>
    </row>
    <row r="1377">
      <c r="P1377" s="42"/>
      <c r="AB1377" s="38"/>
    </row>
    <row r="1378">
      <c r="P1378" s="42"/>
      <c r="AB1378" s="38"/>
    </row>
    <row r="1379">
      <c r="P1379" s="42"/>
      <c r="AB1379" s="38"/>
    </row>
    <row r="1380">
      <c r="P1380" s="42"/>
      <c r="AB1380" s="38"/>
    </row>
    <row r="1381">
      <c r="P1381" s="42"/>
      <c r="AB1381" s="38"/>
    </row>
    <row r="1382">
      <c r="P1382" s="42"/>
      <c r="AB1382" s="38"/>
    </row>
    <row r="1383">
      <c r="P1383" s="42"/>
      <c r="AB1383" s="38"/>
    </row>
    <row r="1384">
      <c r="P1384" s="42"/>
      <c r="AB1384" s="38"/>
    </row>
    <row r="1385">
      <c r="P1385" s="42"/>
      <c r="AB1385" s="38"/>
    </row>
    <row r="1386">
      <c r="P1386" s="42"/>
      <c r="AB1386" s="38"/>
    </row>
    <row r="1387">
      <c r="P1387" s="42"/>
      <c r="AB1387" s="38"/>
    </row>
    <row r="1388">
      <c r="P1388" s="42"/>
      <c r="AB1388" s="38"/>
    </row>
    <row r="1389">
      <c r="P1389" s="42"/>
      <c r="AB1389" s="38"/>
    </row>
    <row r="1390">
      <c r="P1390" s="42"/>
      <c r="AB1390" s="38"/>
    </row>
    <row r="1391">
      <c r="P1391" s="42"/>
      <c r="AB1391" s="38"/>
    </row>
    <row r="1392">
      <c r="P1392" s="42"/>
      <c r="AB1392" s="38"/>
    </row>
    <row r="1393">
      <c r="P1393" s="42"/>
      <c r="AB1393" s="38"/>
    </row>
    <row r="1394">
      <c r="P1394" s="42"/>
      <c r="AB1394" s="38"/>
    </row>
    <row r="1395">
      <c r="P1395" s="42"/>
      <c r="AB1395" s="38"/>
    </row>
    <row r="1396">
      <c r="P1396" s="42"/>
      <c r="AB1396" s="38"/>
    </row>
    <row r="1397">
      <c r="P1397" s="42"/>
      <c r="AB1397" s="38"/>
    </row>
    <row r="1398">
      <c r="P1398" s="42"/>
      <c r="AB1398" s="38"/>
    </row>
    <row r="1399">
      <c r="P1399" s="42"/>
      <c r="AB1399" s="38"/>
    </row>
    <row r="1400">
      <c r="P1400" s="42"/>
      <c r="AB1400" s="38"/>
    </row>
    <row r="1401">
      <c r="P1401" s="42"/>
      <c r="AB1401" s="38"/>
    </row>
    <row r="1402">
      <c r="P1402" s="42"/>
      <c r="AB1402" s="38"/>
    </row>
    <row r="1403">
      <c r="P1403" s="42"/>
      <c r="AB1403" s="38"/>
    </row>
    <row r="1404">
      <c r="P1404" s="42"/>
      <c r="AB1404" s="38"/>
    </row>
    <row r="1405">
      <c r="P1405" s="42"/>
      <c r="AB1405" s="38"/>
    </row>
    <row r="1406">
      <c r="P1406" s="42"/>
      <c r="AB1406" s="38"/>
    </row>
    <row r="1407">
      <c r="P1407" s="42"/>
      <c r="AB1407" s="38"/>
    </row>
    <row r="1408">
      <c r="P1408" s="42"/>
      <c r="AB1408" s="38"/>
    </row>
    <row r="1409">
      <c r="P1409" s="42"/>
      <c r="AB1409" s="38"/>
    </row>
    <row r="1410">
      <c r="P1410" s="42"/>
      <c r="AB1410" s="38"/>
    </row>
    <row r="1411">
      <c r="P1411" s="42"/>
      <c r="AB1411" s="38"/>
    </row>
    <row r="1412">
      <c r="P1412" s="42"/>
      <c r="AB1412" s="38"/>
    </row>
    <row r="1413">
      <c r="P1413" s="42"/>
      <c r="AB1413" s="38"/>
    </row>
    <row r="1414">
      <c r="P1414" s="42"/>
      <c r="AB1414" s="38"/>
    </row>
    <row r="1415">
      <c r="P1415" s="42"/>
      <c r="AB1415" s="38"/>
    </row>
    <row r="1416">
      <c r="P1416" s="42"/>
      <c r="AB1416" s="38"/>
    </row>
    <row r="1417">
      <c r="P1417" s="42"/>
      <c r="AB1417" s="38"/>
    </row>
    <row r="1418">
      <c r="P1418" s="42"/>
      <c r="AB1418" s="38"/>
    </row>
    <row r="1419">
      <c r="P1419" s="42"/>
      <c r="AB1419" s="38"/>
    </row>
    <row r="1420">
      <c r="P1420" s="42"/>
      <c r="AB1420" s="38"/>
    </row>
    <row r="1421">
      <c r="P1421" s="42"/>
      <c r="AB1421" s="38"/>
    </row>
    <row r="1422">
      <c r="P1422" s="42"/>
      <c r="AB1422" s="38"/>
    </row>
    <row r="1423">
      <c r="P1423" s="42"/>
      <c r="AB1423" s="38"/>
    </row>
    <row r="1424">
      <c r="P1424" s="42"/>
      <c r="AB1424" s="38"/>
    </row>
    <row r="1425">
      <c r="P1425" s="42"/>
      <c r="AB1425" s="38"/>
    </row>
    <row r="1426">
      <c r="P1426" s="42"/>
      <c r="AB1426" s="38"/>
    </row>
    <row r="1427">
      <c r="P1427" s="42"/>
      <c r="AB1427" s="38"/>
    </row>
    <row r="1428">
      <c r="P1428" s="42"/>
      <c r="AB1428" s="38"/>
    </row>
    <row r="1429">
      <c r="P1429" s="42"/>
      <c r="AB1429" s="38"/>
    </row>
    <row r="1430">
      <c r="P1430" s="42"/>
      <c r="AB1430" s="38"/>
    </row>
    <row r="1431">
      <c r="P1431" s="42"/>
      <c r="AB1431" s="38"/>
    </row>
    <row r="1432">
      <c r="P1432" s="42"/>
      <c r="AB1432" s="38"/>
    </row>
    <row r="1433">
      <c r="P1433" s="42"/>
      <c r="AB1433" s="38"/>
    </row>
    <row r="1434">
      <c r="P1434" s="42"/>
      <c r="AB1434" s="38"/>
    </row>
    <row r="1435">
      <c r="P1435" s="42"/>
      <c r="AB1435" s="38"/>
    </row>
    <row r="1436">
      <c r="P1436" s="42"/>
      <c r="AB1436" s="38"/>
    </row>
    <row r="1437">
      <c r="P1437" s="42"/>
      <c r="AB1437" s="38"/>
    </row>
    <row r="1438">
      <c r="P1438" s="42"/>
      <c r="AB1438" s="38"/>
    </row>
    <row r="1439">
      <c r="P1439" s="42"/>
      <c r="AB1439" s="38"/>
    </row>
    <row r="1440">
      <c r="P1440" s="42"/>
      <c r="AB1440" s="38"/>
    </row>
    <row r="1441">
      <c r="P1441" s="42"/>
      <c r="AB1441" s="38"/>
    </row>
    <row r="1442">
      <c r="P1442" s="42"/>
      <c r="AB1442" s="38"/>
    </row>
    <row r="1443">
      <c r="P1443" s="42"/>
      <c r="AB1443" s="38"/>
    </row>
    <row r="1444">
      <c r="P1444" s="42"/>
      <c r="AB1444" s="38"/>
    </row>
    <row r="1445">
      <c r="P1445" s="42"/>
      <c r="AB1445" s="38"/>
    </row>
    <row r="1446">
      <c r="P1446" s="42"/>
      <c r="AB1446" s="38"/>
    </row>
    <row r="1447">
      <c r="P1447" s="42"/>
      <c r="AB1447" s="38"/>
    </row>
    <row r="1448">
      <c r="P1448" s="42"/>
      <c r="AB1448" s="38"/>
    </row>
    <row r="1449">
      <c r="P1449" s="42"/>
      <c r="AB1449" s="38"/>
    </row>
    <row r="1450">
      <c r="P1450" s="42"/>
      <c r="AB1450" s="38"/>
    </row>
    <row r="1451">
      <c r="P1451" s="42"/>
      <c r="AB1451" s="38"/>
    </row>
    <row r="1452">
      <c r="P1452" s="42"/>
      <c r="AB1452" s="38"/>
    </row>
    <row r="1453">
      <c r="P1453" s="42"/>
      <c r="AB1453" s="38"/>
    </row>
    <row r="1454">
      <c r="P1454" s="42"/>
      <c r="AB1454" s="38"/>
    </row>
    <row r="1455">
      <c r="P1455" s="42"/>
      <c r="AB1455" s="38"/>
    </row>
    <row r="1456">
      <c r="P1456" s="42"/>
      <c r="AB1456" s="38"/>
    </row>
    <row r="1457">
      <c r="P1457" s="42"/>
      <c r="AB1457" s="38"/>
    </row>
    <row r="1458">
      <c r="P1458" s="42"/>
      <c r="AB1458" s="38"/>
    </row>
    <row r="1459">
      <c r="P1459" s="42"/>
      <c r="AB1459" s="38"/>
    </row>
    <row r="1460">
      <c r="P1460" s="42"/>
      <c r="AB1460" s="38"/>
    </row>
    <row r="1461">
      <c r="P1461" s="42"/>
      <c r="AB1461" s="38"/>
    </row>
    <row r="1462">
      <c r="P1462" s="42"/>
      <c r="AB1462" s="38"/>
    </row>
    <row r="1463">
      <c r="P1463" s="42"/>
      <c r="AB1463" s="38"/>
    </row>
    <row r="1464">
      <c r="P1464" s="42"/>
      <c r="AB1464" s="38"/>
    </row>
    <row r="1465">
      <c r="P1465" s="42"/>
      <c r="AB1465" s="38"/>
    </row>
    <row r="1466">
      <c r="P1466" s="42"/>
      <c r="AB1466" s="38"/>
    </row>
    <row r="1467">
      <c r="P1467" s="42"/>
      <c r="AB1467" s="38"/>
    </row>
    <row r="1468">
      <c r="P1468" s="42"/>
      <c r="AB1468" s="38"/>
    </row>
    <row r="1469">
      <c r="P1469" s="42"/>
      <c r="AB1469" s="38"/>
    </row>
    <row r="1470">
      <c r="P1470" s="42"/>
      <c r="AB1470" s="38"/>
    </row>
    <row r="1471">
      <c r="P1471" s="42"/>
      <c r="AB1471" s="38"/>
    </row>
    <row r="1472">
      <c r="P1472" s="42"/>
      <c r="AB1472" s="38"/>
    </row>
    <row r="1473">
      <c r="P1473" s="42"/>
      <c r="AB1473" s="38"/>
    </row>
    <row r="1474">
      <c r="P1474" s="42"/>
      <c r="AB1474" s="38"/>
    </row>
    <row r="1475">
      <c r="P1475" s="42"/>
      <c r="AB1475" s="38"/>
    </row>
    <row r="1476">
      <c r="P1476" s="42"/>
      <c r="AB1476" s="38"/>
    </row>
    <row r="1477">
      <c r="P1477" s="42"/>
      <c r="AB1477" s="38"/>
    </row>
    <row r="1478">
      <c r="P1478" s="42"/>
      <c r="AB1478" s="38"/>
    </row>
    <row r="1479">
      <c r="P1479" s="42"/>
      <c r="AB1479" s="38"/>
    </row>
    <row r="1480">
      <c r="P1480" s="42"/>
      <c r="AB1480" s="38"/>
    </row>
    <row r="1481">
      <c r="P1481" s="42"/>
      <c r="AB1481" s="38"/>
    </row>
    <row r="1482">
      <c r="P1482" s="42"/>
      <c r="AB1482" s="38"/>
    </row>
    <row r="1483">
      <c r="P1483" s="42"/>
      <c r="AB1483" s="38"/>
    </row>
    <row r="1484">
      <c r="P1484" s="42"/>
      <c r="AB1484" s="38"/>
    </row>
    <row r="1485">
      <c r="P1485" s="42"/>
      <c r="AB1485" s="38"/>
    </row>
    <row r="1486">
      <c r="P1486" s="42"/>
      <c r="AB1486" s="38"/>
    </row>
    <row r="1487">
      <c r="P1487" s="42"/>
      <c r="AB1487" s="38"/>
    </row>
    <row r="1488">
      <c r="P1488" s="42"/>
      <c r="AB1488" s="38"/>
    </row>
    <row r="1489">
      <c r="P1489" s="42"/>
      <c r="AB1489" s="38"/>
    </row>
    <row r="1490">
      <c r="P1490" s="42"/>
      <c r="AB1490" s="38"/>
    </row>
    <row r="1491">
      <c r="P1491" s="42"/>
      <c r="AB1491" s="38"/>
    </row>
    <row r="1492">
      <c r="P1492" s="42"/>
      <c r="AB1492" s="38"/>
    </row>
    <row r="1493">
      <c r="P1493" s="42"/>
      <c r="AB1493" s="38"/>
    </row>
    <row r="1494">
      <c r="P1494" s="42"/>
      <c r="AB1494" s="38"/>
    </row>
    <row r="1495">
      <c r="P1495" s="42"/>
      <c r="AB1495" s="38"/>
    </row>
    <row r="1496">
      <c r="P1496" s="42"/>
      <c r="AB1496" s="38"/>
    </row>
    <row r="1497">
      <c r="P1497" s="42"/>
      <c r="AB1497" s="38"/>
    </row>
    <row r="1498">
      <c r="P1498" s="42"/>
      <c r="AB1498" s="38"/>
    </row>
    <row r="1499">
      <c r="P1499" s="42"/>
      <c r="AB1499" s="38"/>
    </row>
    <row r="1500">
      <c r="P1500" s="42"/>
      <c r="AB1500" s="38"/>
    </row>
    <row r="1501">
      <c r="P1501" s="42"/>
      <c r="AB1501" s="38"/>
    </row>
    <row r="1502">
      <c r="P1502" s="42"/>
      <c r="AB1502" s="38"/>
    </row>
    <row r="1503">
      <c r="P1503" s="42"/>
      <c r="AB1503" s="38"/>
    </row>
    <row r="1504">
      <c r="P1504" s="42"/>
      <c r="AB1504" s="38"/>
    </row>
    <row r="1505">
      <c r="P1505" s="42"/>
      <c r="AB1505" s="38"/>
    </row>
    <row r="1506">
      <c r="P1506" s="42"/>
      <c r="AB1506" s="38"/>
    </row>
    <row r="1507">
      <c r="P1507" s="42"/>
      <c r="AB1507" s="38"/>
    </row>
    <row r="1508">
      <c r="P1508" s="42"/>
      <c r="AB1508" s="38"/>
    </row>
    <row r="1509">
      <c r="P1509" s="42"/>
      <c r="AB1509" s="38"/>
    </row>
    <row r="1510">
      <c r="P1510" s="42"/>
      <c r="AB1510" s="38"/>
    </row>
    <row r="1511">
      <c r="P1511" s="42"/>
      <c r="AB1511" s="38"/>
    </row>
    <row r="1512">
      <c r="P1512" s="42"/>
      <c r="AB1512" s="38"/>
    </row>
    <row r="1513">
      <c r="P1513" s="42"/>
      <c r="AB1513" s="38"/>
    </row>
    <row r="1514">
      <c r="P1514" s="42"/>
      <c r="AB1514" s="38"/>
    </row>
    <row r="1515">
      <c r="P1515" s="42"/>
      <c r="AB1515" s="38"/>
    </row>
    <row r="1516">
      <c r="P1516" s="42"/>
      <c r="AB1516" s="38"/>
    </row>
    <row r="1517">
      <c r="P1517" s="42"/>
      <c r="AB1517" s="38"/>
    </row>
    <row r="1518">
      <c r="P1518" s="42"/>
      <c r="AB1518" s="38"/>
    </row>
    <row r="1519">
      <c r="P1519" s="42"/>
      <c r="AB1519" s="38"/>
    </row>
    <row r="1520">
      <c r="P1520" s="42"/>
      <c r="AB1520" s="38"/>
    </row>
    <row r="1521">
      <c r="P1521" s="42"/>
      <c r="AB1521" s="38"/>
    </row>
    <row r="1522">
      <c r="P1522" s="42"/>
      <c r="AB1522" s="38"/>
    </row>
    <row r="1523">
      <c r="P1523" s="42"/>
      <c r="AB1523" s="38"/>
    </row>
    <row r="1524">
      <c r="P1524" s="42"/>
      <c r="AB1524" s="38"/>
    </row>
    <row r="1525">
      <c r="P1525" s="42"/>
      <c r="AB1525" s="38"/>
    </row>
    <row r="1526">
      <c r="P1526" s="42"/>
      <c r="AB1526" s="38"/>
    </row>
    <row r="1527">
      <c r="P1527" s="42"/>
      <c r="AB1527" s="38"/>
    </row>
    <row r="1528">
      <c r="P1528" s="42"/>
      <c r="AB1528" s="38"/>
    </row>
    <row r="1529">
      <c r="P1529" s="42"/>
      <c r="AB1529" s="38"/>
    </row>
    <row r="1530">
      <c r="P1530" s="42"/>
      <c r="AB1530" s="38"/>
    </row>
    <row r="1531">
      <c r="P1531" s="42"/>
      <c r="AB1531" s="38"/>
    </row>
    <row r="1532">
      <c r="P1532" s="42"/>
      <c r="AB1532" s="38"/>
    </row>
    <row r="1533">
      <c r="P1533" s="42"/>
      <c r="AB1533" s="38"/>
    </row>
    <row r="1534">
      <c r="P1534" s="42"/>
      <c r="AB1534" s="38"/>
    </row>
    <row r="1535">
      <c r="P1535" s="42"/>
      <c r="AB1535" s="38"/>
    </row>
    <row r="1536">
      <c r="P1536" s="42"/>
      <c r="AB1536" s="38"/>
    </row>
    <row r="1537">
      <c r="P1537" s="42"/>
      <c r="AB1537" s="38"/>
    </row>
    <row r="1538">
      <c r="P1538" s="42"/>
      <c r="AB1538" s="38"/>
    </row>
    <row r="1539">
      <c r="P1539" s="42"/>
      <c r="AB1539" s="38"/>
    </row>
    <row r="1540">
      <c r="P1540" s="42"/>
      <c r="AB1540" s="38"/>
    </row>
    <row r="1541">
      <c r="P1541" s="42"/>
      <c r="AB1541" s="38"/>
    </row>
    <row r="1542">
      <c r="P1542" s="42"/>
      <c r="AB1542" s="38"/>
    </row>
    <row r="1543">
      <c r="P1543" s="42"/>
      <c r="AB1543" s="38"/>
    </row>
    <row r="1544">
      <c r="P1544" s="42"/>
      <c r="AB1544" s="38"/>
    </row>
    <row r="1545">
      <c r="P1545" s="42"/>
      <c r="AB1545" s="38"/>
    </row>
    <row r="1546">
      <c r="P1546" s="42"/>
      <c r="AB1546" s="38"/>
    </row>
    <row r="1547">
      <c r="P1547" s="42"/>
      <c r="AB1547" s="38"/>
    </row>
    <row r="1548">
      <c r="P1548" s="42"/>
      <c r="AB1548" s="38"/>
    </row>
    <row r="1549">
      <c r="P1549" s="42"/>
      <c r="AB1549" s="38"/>
    </row>
    <row r="1550">
      <c r="P1550" s="42"/>
      <c r="AB1550" s="38"/>
    </row>
    <row r="1551">
      <c r="P1551" s="42"/>
      <c r="AB1551" s="38"/>
    </row>
    <row r="1552">
      <c r="P1552" s="42"/>
      <c r="AB1552" s="38"/>
    </row>
    <row r="1553">
      <c r="P1553" s="42"/>
      <c r="AB1553" s="38"/>
    </row>
    <row r="1554">
      <c r="P1554" s="42"/>
      <c r="AB1554" s="38"/>
    </row>
    <row r="1555">
      <c r="P1555" s="42"/>
      <c r="AB1555" s="38"/>
    </row>
    <row r="1556">
      <c r="P1556" s="42"/>
      <c r="AB1556" s="38"/>
    </row>
    <row r="1557">
      <c r="P1557" s="42"/>
      <c r="AB1557" s="38"/>
    </row>
    <row r="1558">
      <c r="P1558" s="42"/>
      <c r="AB1558" s="38"/>
    </row>
    <row r="1559">
      <c r="P1559" s="42"/>
      <c r="AB1559" s="38"/>
    </row>
    <row r="1560">
      <c r="P1560" s="42"/>
      <c r="AB1560" s="38"/>
    </row>
    <row r="1561">
      <c r="P1561" s="42"/>
      <c r="AB1561" s="38"/>
    </row>
    <row r="1562">
      <c r="P1562" s="42"/>
      <c r="AB1562" s="38"/>
    </row>
    <row r="1563">
      <c r="P1563" s="42"/>
      <c r="AB1563" s="38"/>
    </row>
    <row r="1564">
      <c r="P1564" s="42"/>
      <c r="AB1564" s="38"/>
    </row>
    <row r="1565">
      <c r="P1565" s="42"/>
      <c r="AB1565" s="38"/>
    </row>
    <row r="1566">
      <c r="P1566" s="42"/>
      <c r="AB1566" s="38"/>
    </row>
    <row r="1567">
      <c r="P1567" s="42"/>
      <c r="AB1567" s="38"/>
    </row>
    <row r="1568">
      <c r="P1568" s="42"/>
      <c r="AB1568" s="38"/>
    </row>
    <row r="1569">
      <c r="P1569" s="42"/>
      <c r="AB1569" s="38"/>
    </row>
    <row r="1570">
      <c r="P1570" s="42"/>
      <c r="AB1570" s="38"/>
    </row>
    <row r="1571">
      <c r="P1571" s="42"/>
      <c r="AB1571" s="38"/>
    </row>
    <row r="1572">
      <c r="P1572" s="42"/>
      <c r="AB1572" s="38"/>
    </row>
    <row r="1573">
      <c r="P1573" s="42"/>
      <c r="AB1573" s="38"/>
    </row>
    <row r="1574">
      <c r="P1574" s="42"/>
      <c r="AB1574" s="38"/>
    </row>
    <row r="1575">
      <c r="P1575" s="42"/>
      <c r="AB1575" s="38"/>
    </row>
    <row r="1576">
      <c r="P1576" s="42"/>
      <c r="AB1576" s="38"/>
    </row>
    <row r="1577">
      <c r="P1577" s="42"/>
      <c r="AB1577" s="38"/>
    </row>
    <row r="1578">
      <c r="P1578" s="42"/>
      <c r="AB1578" s="38"/>
    </row>
    <row r="1579">
      <c r="P1579" s="42"/>
      <c r="AB1579" s="38"/>
    </row>
    <row r="1580">
      <c r="P1580" s="42"/>
      <c r="AB1580" s="38"/>
    </row>
    <row r="1581">
      <c r="P1581" s="42"/>
      <c r="AB1581" s="38"/>
    </row>
    <row r="1582">
      <c r="P1582" s="42"/>
      <c r="AB1582" s="38"/>
    </row>
    <row r="1583">
      <c r="P1583" s="42"/>
      <c r="AB1583" s="38"/>
    </row>
    <row r="1584">
      <c r="P1584" s="42"/>
      <c r="AB1584" s="38"/>
    </row>
    <row r="1585">
      <c r="P1585" s="42"/>
      <c r="AB1585" s="38"/>
    </row>
    <row r="1586">
      <c r="P1586" s="42"/>
      <c r="AB1586" s="38"/>
    </row>
    <row r="1587">
      <c r="P1587" s="42"/>
      <c r="AB1587" s="38"/>
    </row>
    <row r="1588">
      <c r="P1588" s="42"/>
      <c r="AB1588" s="38"/>
    </row>
    <row r="1589">
      <c r="P1589" s="42"/>
      <c r="AB1589" s="38"/>
    </row>
    <row r="1590">
      <c r="P1590" s="42"/>
      <c r="AB1590" s="38"/>
    </row>
    <row r="1591">
      <c r="P1591" s="42"/>
      <c r="AB1591" s="38"/>
    </row>
    <row r="1592">
      <c r="P1592" s="42"/>
      <c r="AB1592" s="38"/>
    </row>
    <row r="1593">
      <c r="P1593" s="42"/>
      <c r="AB1593" s="38"/>
    </row>
    <row r="1594">
      <c r="P1594" s="42"/>
      <c r="AB1594" s="38"/>
    </row>
    <row r="1595">
      <c r="P1595" s="42"/>
      <c r="AB1595" s="38"/>
    </row>
    <row r="1596">
      <c r="P1596" s="42"/>
      <c r="AB1596" s="38"/>
    </row>
    <row r="1597">
      <c r="P1597" s="42"/>
      <c r="AB1597" s="38"/>
    </row>
    <row r="1598">
      <c r="P1598" s="42"/>
      <c r="AB1598" s="38"/>
    </row>
    <row r="1599">
      <c r="P1599" s="42"/>
      <c r="AB1599" s="38"/>
    </row>
    <row r="1600">
      <c r="P1600" s="42"/>
      <c r="AB1600" s="38"/>
    </row>
    <row r="1601">
      <c r="P1601" s="42"/>
      <c r="AB1601" s="38"/>
    </row>
    <row r="1602">
      <c r="P1602" s="42"/>
      <c r="AB1602" s="38"/>
    </row>
    <row r="1603">
      <c r="P1603" s="42"/>
      <c r="AB1603" s="38"/>
    </row>
    <row r="1604">
      <c r="P1604" s="42"/>
      <c r="AB1604" s="38"/>
    </row>
    <row r="1605">
      <c r="P1605" s="42"/>
      <c r="AB1605" s="38"/>
    </row>
    <row r="1606">
      <c r="P1606" s="42"/>
      <c r="AB1606" s="38"/>
    </row>
    <row r="1607">
      <c r="P1607" s="42"/>
      <c r="AB1607" s="38"/>
    </row>
    <row r="1608">
      <c r="P1608" s="42"/>
      <c r="AB1608" s="38"/>
    </row>
    <row r="1609">
      <c r="P1609" s="42"/>
      <c r="AB1609" s="38"/>
    </row>
    <row r="1610">
      <c r="P1610" s="42"/>
      <c r="AB1610" s="38"/>
    </row>
    <row r="1611">
      <c r="P1611" s="42"/>
      <c r="AB1611" s="38"/>
    </row>
    <row r="1612">
      <c r="P1612" s="42"/>
      <c r="AB1612" s="38"/>
    </row>
    <row r="1613">
      <c r="P1613" s="42"/>
      <c r="AB1613" s="38"/>
    </row>
    <row r="1614">
      <c r="P1614" s="42"/>
      <c r="AB1614" s="38"/>
    </row>
    <row r="1615">
      <c r="P1615" s="42"/>
      <c r="AB1615" s="38"/>
    </row>
    <row r="1616">
      <c r="P1616" s="42"/>
      <c r="AB1616" s="38"/>
    </row>
    <row r="1617">
      <c r="P1617" s="42"/>
      <c r="AB1617" s="38"/>
    </row>
    <row r="1618">
      <c r="P1618" s="42"/>
      <c r="AB1618" s="38"/>
    </row>
    <row r="1619">
      <c r="P1619" s="42"/>
      <c r="AB1619" s="38"/>
    </row>
    <row r="1620">
      <c r="P1620" s="42"/>
      <c r="AB1620" s="38"/>
    </row>
    <row r="1621">
      <c r="P1621" s="42"/>
      <c r="AB1621" s="38"/>
    </row>
    <row r="1622">
      <c r="P1622" s="42"/>
      <c r="AB1622" s="38"/>
    </row>
    <row r="1623">
      <c r="P1623" s="42"/>
      <c r="AB1623" s="38"/>
    </row>
    <row r="1624">
      <c r="P1624" s="42"/>
      <c r="AB1624" s="38"/>
    </row>
    <row r="1625">
      <c r="P1625" s="42"/>
      <c r="AB1625" s="38"/>
    </row>
    <row r="1626">
      <c r="P1626" s="42"/>
      <c r="AB1626" s="38"/>
    </row>
    <row r="1627">
      <c r="P1627" s="42"/>
      <c r="AB1627" s="38"/>
    </row>
    <row r="1628">
      <c r="P1628" s="42"/>
      <c r="AB1628" s="38"/>
    </row>
    <row r="1629">
      <c r="P1629" s="42"/>
      <c r="AB1629" s="38"/>
    </row>
    <row r="1630">
      <c r="P1630" s="42"/>
      <c r="AB1630" s="38"/>
    </row>
    <row r="1631">
      <c r="P1631" s="42"/>
      <c r="AB1631" s="38"/>
    </row>
    <row r="1632">
      <c r="P1632" s="42"/>
      <c r="AB1632" s="38"/>
    </row>
    <row r="1633">
      <c r="P1633" s="42"/>
      <c r="AB1633" s="38"/>
    </row>
    <row r="1634">
      <c r="P1634" s="42"/>
      <c r="AB1634" s="38"/>
    </row>
    <row r="1635">
      <c r="P1635" s="42"/>
      <c r="AB1635" s="38"/>
    </row>
    <row r="1636">
      <c r="P1636" s="42"/>
      <c r="AB1636" s="38"/>
    </row>
    <row r="1637">
      <c r="P1637" s="42"/>
      <c r="AB1637" s="38"/>
    </row>
    <row r="1638">
      <c r="P1638" s="42"/>
      <c r="AB1638" s="38"/>
    </row>
    <row r="1639">
      <c r="P1639" s="42"/>
      <c r="AB1639" s="38"/>
    </row>
    <row r="1640">
      <c r="P1640" s="42"/>
      <c r="AB1640" s="38"/>
    </row>
    <row r="1641">
      <c r="P1641" s="42"/>
      <c r="AB1641" s="38"/>
    </row>
    <row r="1642">
      <c r="P1642" s="42"/>
      <c r="AB1642" s="38"/>
    </row>
    <row r="1643">
      <c r="P1643" s="42"/>
      <c r="AB1643" s="38"/>
    </row>
    <row r="1644">
      <c r="P1644" s="42"/>
      <c r="AB1644" s="38"/>
    </row>
    <row r="1645">
      <c r="P1645" s="42"/>
      <c r="AB1645" s="38"/>
    </row>
    <row r="1646">
      <c r="P1646" s="42"/>
      <c r="AB1646" s="38"/>
    </row>
    <row r="1647">
      <c r="P1647" s="42"/>
      <c r="AB1647" s="38"/>
    </row>
    <row r="1648">
      <c r="P1648" s="42"/>
      <c r="AB1648" s="38"/>
    </row>
    <row r="1649">
      <c r="P1649" s="42"/>
      <c r="AB1649" s="38"/>
    </row>
    <row r="1650">
      <c r="P1650" s="42"/>
      <c r="AB1650" s="38"/>
    </row>
    <row r="1651">
      <c r="P1651" s="42"/>
      <c r="AB1651" s="38"/>
    </row>
    <row r="1652">
      <c r="P1652" s="42"/>
      <c r="AB1652" s="38"/>
    </row>
    <row r="1653">
      <c r="P1653" s="42"/>
      <c r="AB1653" s="38"/>
    </row>
    <row r="1654">
      <c r="P1654" s="42"/>
      <c r="AB1654" s="38"/>
    </row>
    <row r="1655">
      <c r="P1655" s="42"/>
      <c r="AB1655" s="38"/>
    </row>
    <row r="1656">
      <c r="P1656" s="42"/>
      <c r="AB1656" s="38"/>
    </row>
    <row r="1657">
      <c r="P1657" s="42"/>
      <c r="AB1657" s="38"/>
    </row>
    <row r="1658">
      <c r="P1658" s="42"/>
      <c r="AB1658" s="38"/>
    </row>
    <row r="1659">
      <c r="P1659" s="42"/>
      <c r="AB1659" s="38"/>
    </row>
    <row r="1660">
      <c r="P1660" s="42"/>
      <c r="AB1660" s="38"/>
    </row>
    <row r="1661">
      <c r="P1661" s="42"/>
      <c r="AB1661" s="38"/>
    </row>
    <row r="1662">
      <c r="P1662" s="42"/>
      <c r="AB1662" s="38"/>
    </row>
    <row r="1663">
      <c r="P1663" s="42"/>
      <c r="AB1663" s="38"/>
    </row>
    <row r="1664">
      <c r="P1664" s="42"/>
      <c r="AB1664" s="38"/>
    </row>
    <row r="1665">
      <c r="P1665" s="42"/>
      <c r="AB1665" s="38"/>
    </row>
    <row r="1666">
      <c r="P1666" s="42"/>
      <c r="AB1666" s="38"/>
    </row>
    <row r="1667">
      <c r="P1667" s="42"/>
      <c r="AB1667" s="38"/>
    </row>
    <row r="1668">
      <c r="P1668" s="42"/>
      <c r="AB1668" s="38"/>
    </row>
    <row r="1669">
      <c r="P1669" s="42"/>
      <c r="AB1669" s="38"/>
    </row>
    <row r="1670">
      <c r="P1670" s="42"/>
      <c r="AB1670" s="38"/>
    </row>
    <row r="1671">
      <c r="P1671" s="42"/>
      <c r="AB1671" s="38"/>
    </row>
    <row r="1672">
      <c r="P1672" s="42"/>
      <c r="AB1672" s="38"/>
    </row>
    <row r="1673">
      <c r="P1673" s="42"/>
      <c r="AB1673" s="38"/>
    </row>
    <row r="1674">
      <c r="P1674" s="42"/>
      <c r="AB1674" s="38"/>
    </row>
    <row r="1675">
      <c r="P1675" s="42"/>
      <c r="AB1675" s="38"/>
    </row>
    <row r="1676">
      <c r="P1676" s="42"/>
      <c r="AB1676" s="38"/>
    </row>
    <row r="1677">
      <c r="P1677" s="42"/>
      <c r="AB1677" s="38"/>
    </row>
    <row r="1678">
      <c r="P1678" s="42"/>
      <c r="AB1678" s="38"/>
    </row>
    <row r="1679">
      <c r="P1679" s="42"/>
      <c r="AB1679" s="38"/>
    </row>
    <row r="1680">
      <c r="P1680" s="42"/>
      <c r="AB1680" s="38"/>
    </row>
    <row r="1681">
      <c r="P1681" s="42"/>
      <c r="AB1681" s="38"/>
    </row>
    <row r="1682">
      <c r="P1682" s="42"/>
      <c r="AB1682" s="38"/>
    </row>
    <row r="1683">
      <c r="P1683" s="42"/>
      <c r="AB1683" s="38"/>
    </row>
    <row r="1684">
      <c r="P1684" s="42"/>
      <c r="AB1684" s="38"/>
    </row>
    <row r="1685">
      <c r="P1685" s="42"/>
      <c r="AB1685" s="38"/>
    </row>
    <row r="1686">
      <c r="P1686" s="42"/>
      <c r="AB1686" s="38"/>
    </row>
    <row r="1687">
      <c r="P1687" s="42"/>
      <c r="AB1687" s="38"/>
    </row>
    <row r="1688">
      <c r="P1688" s="42"/>
      <c r="AB1688" s="38"/>
    </row>
    <row r="1689">
      <c r="P1689" s="42"/>
      <c r="AB1689" s="38"/>
    </row>
    <row r="1690">
      <c r="P1690" s="42"/>
      <c r="AB1690" s="38"/>
    </row>
    <row r="1691">
      <c r="P1691" s="42"/>
      <c r="AB1691" s="38"/>
    </row>
    <row r="1692">
      <c r="P1692" s="42"/>
      <c r="AB1692" s="38"/>
    </row>
    <row r="1693">
      <c r="P1693" s="42"/>
      <c r="AB1693" s="38"/>
    </row>
    <row r="1694">
      <c r="P1694" s="42"/>
      <c r="AB1694" s="38"/>
    </row>
    <row r="1695">
      <c r="P1695" s="42"/>
      <c r="AB1695" s="38"/>
    </row>
    <row r="1696">
      <c r="P1696" s="42"/>
      <c r="AB1696" s="38"/>
    </row>
    <row r="1697">
      <c r="P1697" s="42"/>
      <c r="AB1697" s="38"/>
    </row>
    <row r="1698">
      <c r="P1698" s="42"/>
      <c r="AB1698" s="38"/>
    </row>
    <row r="1699">
      <c r="P1699" s="42"/>
      <c r="AB1699" s="38"/>
    </row>
    <row r="1700">
      <c r="P1700" s="42"/>
      <c r="AB1700" s="38"/>
    </row>
    <row r="1701">
      <c r="P1701" s="42"/>
      <c r="AB1701" s="38"/>
    </row>
    <row r="1702">
      <c r="P1702" s="42"/>
      <c r="AB1702" s="38"/>
    </row>
    <row r="1703">
      <c r="P1703" s="42"/>
      <c r="AB1703" s="38"/>
    </row>
    <row r="1704">
      <c r="P1704" s="42"/>
      <c r="AB1704" s="38"/>
    </row>
    <row r="1705">
      <c r="P1705" s="42"/>
      <c r="AB1705" s="38"/>
    </row>
    <row r="1706">
      <c r="P1706" s="42"/>
      <c r="AB1706" s="38"/>
    </row>
    <row r="1707">
      <c r="P1707" s="42"/>
      <c r="AB1707" s="38"/>
    </row>
    <row r="1708">
      <c r="P1708" s="42"/>
      <c r="AB1708" s="38"/>
    </row>
    <row r="1709">
      <c r="P1709" s="42"/>
      <c r="AB1709" s="38"/>
    </row>
    <row r="1710">
      <c r="P1710" s="42"/>
      <c r="AB1710" s="38"/>
    </row>
    <row r="1711">
      <c r="P1711" s="42"/>
      <c r="AB1711" s="38"/>
    </row>
    <row r="1712">
      <c r="P1712" s="42"/>
      <c r="AB1712" s="38"/>
    </row>
    <row r="1713">
      <c r="P1713" s="42"/>
      <c r="AB1713" s="38"/>
    </row>
    <row r="1714">
      <c r="P1714" s="42"/>
      <c r="AB1714" s="38"/>
    </row>
    <row r="1715">
      <c r="P1715" s="42"/>
      <c r="AB1715" s="38"/>
    </row>
    <row r="1716">
      <c r="P1716" s="42"/>
      <c r="AB1716" s="38"/>
    </row>
    <row r="1717">
      <c r="P1717" s="42"/>
      <c r="AB1717" s="38"/>
    </row>
    <row r="1718">
      <c r="P1718" s="42"/>
      <c r="AB1718" s="38"/>
    </row>
    <row r="1719">
      <c r="P1719" s="42"/>
      <c r="AB1719" s="38"/>
    </row>
    <row r="1720">
      <c r="P1720" s="42"/>
      <c r="AB1720" s="38"/>
    </row>
    <row r="1721">
      <c r="P1721" s="42"/>
      <c r="AB1721" s="38"/>
    </row>
    <row r="1722">
      <c r="P1722" s="42"/>
      <c r="AB1722" s="38"/>
    </row>
    <row r="1723">
      <c r="P1723" s="42"/>
      <c r="AB1723" s="38"/>
    </row>
    <row r="1724">
      <c r="P1724" s="42"/>
      <c r="AB1724" s="38"/>
    </row>
    <row r="1725">
      <c r="P1725" s="42"/>
      <c r="AB1725" s="38"/>
    </row>
    <row r="1726">
      <c r="P1726" s="42"/>
      <c r="AB1726" s="38"/>
    </row>
    <row r="1727">
      <c r="P1727" s="42"/>
      <c r="AB1727" s="38"/>
    </row>
    <row r="1728">
      <c r="P1728" s="42"/>
      <c r="AB1728" s="38"/>
    </row>
    <row r="1729">
      <c r="P1729" s="42"/>
      <c r="AB1729" s="38"/>
    </row>
    <row r="1730">
      <c r="P1730" s="42"/>
      <c r="AB1730" s="38"/>
    </row>
    <row r="1731">
      <c r="P1731" s="42"/>
      <c r="AB1731" s="38"/>
    </row>
    <row r="1732">
      <c r="P1732" s="42"/>
      <c r="AB1732" s="38"/>
    </row>
    <row r="1733">
      <c r="P1733" s="42"/>
      <c r="AB1733" s="38"/>
    </row>
    <row r="1734">
      <c r="P1734" s="42"/>
      <c r="AB1734" s="38"/>
    </row>
    <row r="1735">
      <c r="P1735" s="42"/>
      <c r="AB1735" s="38"/>
    </row>
    <row r="1736">
      <c r="P1736" s="42"/>
      <c r="AB1736" s="38"/>
    </row>
    <row r="1737">
      <c r="P1737" s="42"/>
      <c r="AB1737" s="38"/>
    </row>
    <row r="1738">
      <c r="P1738" s="42"/>
      <c r="AB1738" s="38"/>
    </row>
    <row r="1739">
      <c r="P1739" s="42"/>
      <c r="AB1739" s="38"/>
    </row>
    <row r="1740">
      <c r="P1740" s="42"/>
      <c r="AB1740" s="38"/>
    </row>
    <row r="1741">
      <c r="P1741" s="42"/>
      <c r="AB1741" s="38"/>
    </row>
    <row r="1742">
      <c r="P1742" s="42"/>
      <c r="AB1742" s="38"/>
    </row>
    <row r="1743">
      <c r="P1743" s="42"/>
      <c r="AB1743" s="38"/>
    </row>
    <row r="1744">
      <c r="P1744" s="42"/>
      <c r="AB1744" s="38"/>
    </row>
    <row r="1745">
      <c r="P1745" s="42"/>
      <c r="AB1745" s="38"/>
    </row>
    <row r="1746">
      <c r="P1746" s="42"/>
      <c r="AB1746" s="38"/>
    </row>
    <row r="1747">
      <c r="P1747" s="42"/>
      <c r="AB1747" s="38"/>
    </row>
    <row r="1748">
      <c r="P1748" s="42"/>
      <c r="AB1748" s="38"/>
    </row>
    <row r="1749">
      <c r="P1749" s="42"/>
      <c r="AB1749" s="38"/>
    </row>
    <row r="1750">
      <c r="P1750" s="42"/>
      <c r="AB1750" s="38"/>
    </row>
    <row r="1751">
      <c r="P1751" s="42"/>
      <c r="AB1751" s="38"/>
    </row>
    <row r="1752">
      <c r="P1752" s="42"/>
      <c r="AB1752" s="38"/>
    </row>
    <row r="1753">
      <c r="P1753" s="42"/>
      <c r="AB1753" s="38"/>
    </row>
    <row r="1754">
      <c r="P1754" s="42"/>
      <c r="AB1754" s="38"/>
    </row>
    <row r="1755">
      <c r="P1755" s="42"/>
      <c r="AB1755" s="38"/>
    </row>
    <row r="1756">
      <c r="P1756" s="42"/>
      <c r="AB1756" s="38"/>
    </row>
    <row r="1757">
      <c r="P1757" s="42"/>
      <c r="AB1757" s="38"/>
    </row>
    <row r="1758">
      <c r="P1758" s="42"/>
      <c r="AB1758" s="38"/>
    </row>
    <row r="1759">
      <c r="P1759" s="42"/>
      <c r="AB1759" s="38"/>
    </row>
    <row r="1760">
      <c r="P1760" s="42"/>
      <c r="AB1760" s="38"/>
    </row>
    <row r="1761">
      <c r="P1761" s="42"/>
      <c r="AB1761" s="38"/>
    </row>
    <row r="1762">
      <c r="P1762" s="42"/>
      <c r="AB1762" s="38"/>
    </row>
    <row r="1763">
      <c r="P1763" s="42"/>
      <c r="AB1763" s="38"/>
    </row>
    <row r="1764">
      <c r="P1764" s="42"/>
      <c r="AB1764" s="38"/>
    </row>
    <row r="1765">
      <c r="P1765" s="42"/>
      <c r="AB1765" s="38"/>
    </row>
    <row r="1766">
      <c r="P1766" s="42"/>
      <c r="AB1766" s="38"/>
    </row>
    <row r="1767">
      <c r="P1767" s="42"/>
      <c r="AB1767" s="38"/>
    </row>
    <row r="1768">
      <c r="P1768" s="42"/>
      <c r="AB1768" s="38"/>
    </row>
    <row r="1769">
      <c r="P1769" s="42"/>
      <c r="AB1769" s="38"/>
    </row>
    <row r="1770">
      <c r="P1770" s="42"/>
      <c r="AB1770" s="38"/>
    </row>
    <row r="1771">
      <c r="P1771" s="42"/>
      <c r="AB1771" s="38"/>
    </row>
    <row r="1772">
      <c r="P1772" s="42"/>
      <c r="AB1772" s="38"/>
    </row>
    <row r="1773">
      <c r="P1773" s="42"/>
      <c r="AB1773" s="38"/>
    </row>
    <row r="1774">
      <c r="P1774" s="42"/>
      <c r="AB1774" s="38"/>
    </row>
    <row r="1775">
      <c r="P1775" s="42"/>
      <c r="AB1775" s="38"/>
    </row>
    <row r="1776">
      <c r="P1776" s="42"/>
      <c r="AB1776" s="38"/>
    </row>
    <row r="1777">
      <c r="P1777" s="42"/>
      <c r="AB1777" s="38"/>
    </row>
    <row r="1778">
      <c r="P1778" s="42"/>
      <c r="AB1778" s="38"/>
    </row>
    <row r="1779">
      <c r="P1779" s="42"/>
      <c r="AB1779" s="38"/>
    </row>
    <row r="1780">
      <c r="P1780" s="42"/>
      <c r="AB1780" s="38"/>
    </row>
    <row r="1781">
      <c r="P1781" s="42"/>
      <c r="AB1781" s="38"/>
    </row>
    <row r="1782">
      <c r="P1782" s="42"/>
      <c r="AB1782" s="38"/>
    </row>
    <row r="1783">
      <c r="P1783" s="42"/>
      <c r="AB1783" s="38"/>
    </row>
    <row r="1784">
      <c r="P1784" s="42"/>
      <c r="AB1784" s="38"/>
    </row>
    <row r="1785">
      <c r="P1785" s="42"/>
      <c r="AB1785" s="38"/>
    </row>
    <row r="1786">
      <c r="P1786" s="42"/>
      <c r="AB1786" s="38"/>
    </row>
    <row r="1787">
      <c r="P1787" s="42"/>
      <c r="AB1787" s="38"/>
    </row>
    <row r="1788">
      <c r="P1788" s="42"/>
      <c r="AB1788" s="38"/>
    </row>
    <row r="1789">
      <c r="P1789" s="42"/>
      <c r="AB1789" s="38"/>
    </row>
    <row r="1790">
      <c r="P1790" s="42"/>
      <c r="AB1790" s="38"/>
    </row>
    <row r="1791">
      <c r="P1791" s="42"/>
      <c r="AB1791" s="38"/>
    </row>
    <row r="1792">
      <c r="P1792" s="42"/>
      <c r="AB1792" s="38"/>
    </row>
    <row r="1793">
      <c r="P1793" s="42"/>
      <c r="AB1793" s="38"/>
    </row>
    <row r="1794">
      <c r="P1794" s="42"/>
      <c r="AB1794" s="38"/>
    </row>
    <row r="1795">
      <c r="P1795" s="42"/>
      <c r="AB1795" s="38"/>
    </row>
    <row r="1796">
      <c r="P1796" s="42"/>
      <c r="AB1796" s="38"/>
    </row>
    <row r="1797">
      <c r="P1797" s="42"/>
      <c r="AB1797" s="38"/>
    </row>
    <row r="1798">
      <c r="P1798" s="42"/>
      <c r="AB1798" s="38"/>
    </row>
    <row r="1799">
      <c r="P1799" s="42"/>
      <c r="AB1799" s="38"/>
    </row>
    <row r="1800">
      <c r="P1800" s="42"/>
      <c r="AB1800" s="38"/>
    </row>
    <row r="1801">
      <c r="P1801" s="42"/>
      <c r="AB1801" s="38"/>
    </row>
    <row r="1802">
      <c r="P1802" s="42"/>
      <c r="AB1802" s="38"/>
    </row>
    <row r="1803">
      <c r="P1803" s="42"/>
      <c r="AB1803" s="38"/>
    </row>
    <row r="1804">
      <c r="P1804" s="42"/>
      <c r="AB1804" s="38"/>
    </row>
    <row r="1805">
      <c r="P1805" s="42"/>
      <c r="AB1805" s="38"/>
    </row>
    <row r="1806">
      <c r="P1806" s="42"/>
      <c r="AB1806" s="38"/>
    </row>
    <row r="1807">
      <c r="P1807" s="42"/>
      <c r="AB1807" s="38"/>
    </row>
    <row r="1808">
      <c r="P1808" s="42"/>
      <c r="AB1808" s="38"/>
    </row>
    <row r="1809">
      <c r="P1809" s="42"/>
      <c r="AB1809" s="38"/>
    </row>
    <row r="1810">
      <c r="P1810" s="42"/>
      <c r="AB1810" s="38"/>
    </row>
    <row r="1811">
      <c r="P1811" s="42"/>
      <c r="AB1811" s="38"/>
    </row>
    <row r="1812">
      <c r="P1812" s="42"/>
      <c r="AB1812" s="38"/>
    </row>
    <row r="1813">
      <c r="P1813" s="42"/>
      <c r="AB1813" s="38"/>
    </row>
    <row r="1814">
      <c r="P1814" s="42"/>
      <c r="AB1814" s="38"/>
    </row>
    <row r="1815">
      <c r="P1815" s="42"/>
      <c r="AB1815" s="38"/>
    </row>
    <row r="1816">
      <c r="P1816" s="42"/>
      <c r="AB1816" s="38"/>
    </row>
    <row r="1817">
      <c r="P1817" s="42"/>
      <c r="AB1817" s="38"/>
    </row>
    <row r="1818">
      <c r="P1818" s="42"/>
      <c r="AB1818" s="38"/>
    </row>
    <row r="1819">
      <c r="P1819" s="42"/>
      <c r="AB1819" s="38"/>
    </row>
    <row r="1820">
      <c r="P1820" s="42"/>
      <c r="AB1820" s="38"/>
    </row>
    <row r="1821">
      <c r="P1821" s="42"/>
      <c r="AB1821" s="38"/>
    </row>
    <row r="1822">
      <c r="P1822" s="42"/>
      <c r="AB1822" s="38"/>
    </row>
    <row r="1823">
      <c r="P1823" s="42"/>
      <c r="AB1823" s="38"/>
    </row>
    <row r="1824">
      <c r="P1824" s="42"/>
      <c r="AB1824" s="38"/>
    </row>
    <row r="1825">
      <c r="P1825" s="42"/>
      <c r="AB1825" s="38"/>
    </row>
    <row r="1826">
      <c r="P1826" s="42"/>
      <c r="AB1826" s="38"/>
    </row>
    <row r="1827">
      <c r="P1827" s="42"/>
      <c r="AB1827" s="38"/>
    </row>
    <row r="1828">
      <c r="P1828" s="42"/>
      <c r="AB1828" s="38"/>
    </row>
    <row r="1829">
      <c r="P1829" s="42"/>
      <c r="AB1829" s="38"/>
    </row>
    <row r="1830">
      <c r="P1830" s="42"/>
      <c r="AB1830" s="38"/>
    </row>
    <row r="1831">
      <c r="P1831" s="42"/>
      <c r="AB1831" s="38"/>
    </row>
    <row r="1832">
      <c r="P1832" s="42"/>
      <c r="AB1832" s="38"/>
    </row>
    <row r="1833">
      <c r="P1833" s="42"/>
      <c r="AB1833" s="38"/>
    </row>
    <row r="1834">
      <c r="P1834" s="42"/>
      <c r="AB1834" s="38"/>
    </row>
    <row r="1835">
      <c r="P1835" s="42"/>
      <c r="AB1835" s="38"/>
    </row>
    <row r="1836">
      <c r="P1836" s="42"/>
      <c r="AB1836" s="38"/>
    </row>
    <row r="1837">
      <c r="P1837" s="42"/>
      <c r="AB1837" s="38"/>
    </row>
    <row r="1838">
      <c r="P1838" s="42"/>
      <c r="AB1838" s="38"/>
    </row>
    <row r="1839">
      <c r="P1839" s="42"/>
      <c r="AB1839" s="38"/>
    </row>
    <row r="1840">
      <c r="P1840" s="42"/>
      <c r="AB1840" s="38"/>
    </row>
    <row r="1841">
      <c r="P1841" s="42"/>
      <c r="AB1841" s="38"/>
    </row>
    <row r="1842">
      <c r="P1842" s="42"/>
      <c r="AB1842" s="38"/>
    </row>
    <row r="1843">
      <c r="P1843" s="42"/>
      <c r="AB1843" s="38"/>
    </row>
    <row r="1844">
      <c r="P1844" s="42"/>
      <c r="AB1844" s="38"/>
    </row>
    <row r="1845">
      <c r="P1845" s="42"/>
      <c r="AB1845" s="38"/>
    </row>
    <row r="1846">
      <c r="P1846" s="42"/>
      <c r="AB1846" s="38"/>
    </row>
    <row r="1847">
      <c r="P1847" s="42"/>
      <c r="AB1847" s="38"/>
    </row>
    <row r="1848">
      <c r="P1848" s="42"/>
      <c r="AB1848" s="38"/>
    </row>
    <row r="1849">
      <c r="P1849" s="42"/>
      <c r="AB1849" s="38"/>
    </row>
    <row r="1850">
      <c r="P1850" s="42"/>
      <c r="AB1850" s="38"/>
    </row>
    <row r="1851">
      <c r="P1851" s="42"/>
      <c r="AB1851" s="38"/>
    </row>
    <row r="1852">
      <c r="P1852" s="42"/>
      <c r="AB1852" s="38"/>
    </row>
    <row r="1853">
      <c r="P1853" s="42"/>
      <c r="AB1853" s="38"/>
    </row>
    <row r="1854">
      <c r="P1854" s="42"/>
      <c r="AB1854" s="38"/>
    </row>
    <row r="1855">
      <c r="P1855" s="42"/>
      <c r="AB1855" s="38"/>
    </row>
    <row r="1856">
      <c r="P1856" s="42"/>
      <c r="AB1856" s="38"/>
    </row>
    <row r="1857">
      <c r="P1857" s="42"/>
      <c r="AB1857" s="38"/>
    </row>
    <row r="1858">
      <c r="P1858" s="42"/>
      <c r="AB1858" s="38"/>
    </row>
    <row r="1859">
      <c r="P1859" s="42"/>
      <c r="AB1859" s="38"/>
    </row>
    <row r="1860">
      <c r="P1860" s="42"/>
      <c r="AB1860" s="38"/>
    </row>
    <row r="1861">
      <c r="P1861" s="42"/>
      <c r="AB1861" s="38"/>
    </row>
    <row r="1862">
      <c r="P1862" s="42"/>
      <c r="AB1862" s="38"/>
    </row>
    <row r="1863">
      <c r="P1863" s="42"/>
      <c r="AB1863" s="38"/>
    </row>
    <row r="1864">
      <c r="P1864" s="42"/>
      <c r="AB1864" s="38"/>
    </row>
    <row r="1865">
      <c r="P1865" s="42"/>
      <c r="AB1865" s="38"/>
    </row>
    <row r="1866">
      <c r="P1866" s="42"/>
      <c r="AB1866" s="38"/>
    </row>
    <row r="1867">
      <c r="P1867" s="42"/>
      <c r="AB1867" s="38"/>
    </row>
    <row r="1868">
      <c r="P1868" s="42"/>
      <c r="AB1868" s="38"/>
    </row>
    <row r="1869">
      <c r="P1869" s="42"/>
      <c r="AB1869" s="38"/>
    </row>
    <row r="1870">
      <c r="P1870" s="42"/>
      <c r="AB1870" s="38"/>
    </row>
    <row r="1871">
      <c r="P1871" s="42"/>
      <c r="AB1871" s="38"/>
    </row>
    <row r="1872">
      <c r="P1872" s="42"/>
      <c r="AB1872" s="38"/>
    </row>
    <row r="1873">
      <c r="P1873" s="42"/>
      <c r="AB1873" s="38"/>
    </row>
    <row r="1874">
      <c r="P1874" s="42"/>
      <c r="AB1874" s="38"/>
    </row>
    <row r="1875">
      <c r="P1875" s="42"/>
      <c r="AB1875" s="38"/>
    </row>
    <row r="1876">
      <c r="P1876" s="42"/>
      <c r="AB1876" s="38"/>
    </row>
    <row r="1877">
      <c r="P1877" s="42"/>
      <c r="AB1877" s="38"/>
    </row>
    <row r="1878">
      <c r="P1878" s="42"/>
      <c r="AB1878" s="38"/>
    </row>
    <row r="1879">
      <c r="P1879" s="42"/>
      <c r="AB1879" s="38"/>
    </row>
    <row r="1880">
      <c r="P1880" s="42"/>
      <c r="AB1880" s="38"/>
    </row>
    <row r="1881">
      <c r="P1881" s="42"/>
      <c r="AB1881" s="38"/>
    </row>
    <row r="1882">
      <c r="P1882" s="42"/>
      <c r="AB1882" s="38"/>
    </row>
    <row r="1883">
      <c r="P1883" s="42"/>
      <c r="AB1883" s="38"/>
    </row>
    <row r="1884">
      <c r="P1884" s="42"/>
      <c r="AB1884" s="38"/>
    </row>
    <row r="1885">
      <c r="P1885" s="42"/>
      <c r="AB1885" s="38"/>
    </row>
    <row r="1886">
      <c r="P1886" s="42"/>
      <c r="AB1886" s="38"/>
    </row>
    <row r="1887">
      <c r="P1887" s="42"/>
      <c r="AB1887" s="38"/>
    </row>
    <row r="1888">
      <c r="P1888" s="42"/>
      <c r="AB1888" s="38"/>
    </row>
    <row r="1889">
      <c r="P1889" s="42"/>
      <c r="AB1889" s="38"/>
    </row>
    <row r="1890">
      <c r="P1890" s="42"/>
      <c r="AB1890" s="38"/>
    </row>
    <row r="1891">
      <c r="P1891" s="42"/>
      <c r="AB1891" s="38"/>
    </row>
    <row r="1892">
      <c r="P1892" s="42"/>
      <c r="AB1892" s="38"/>
    </row>
    <row r="1893">
      <c r="P1893" s="42"/>
      <c r="AB1893" s="38"/>
    </row>
    <row r="1894">
      <c r="P1894" s="42"/>
      <c r="AB1894" s="38"/>
    </row>
    <row r="1895">
      <c r="P1895" s="42"/>
      <c r="AB1895" s="38"/>
    </row>
    <row r="1896">
      <c r="P1896" s="42"/>
      <c r="AB1896" s="38"/>
    </row>
    <row r="1897">
      <c r="P1897" s="42"/>
      <c r="AB1897" s="38"/>
    </row>
    <row r="1898">
      <c r="P1898" s="42"/>
      <c r="AB1898" s="38"/>
    </row>
    <row r="1899">
      <c r="P1899" s="42"/>
      <c r="AB1899" s="38"/>
    </row>
    <row r="1900">
      <c r="P1900" s="42"/>
      <c r="AB1900" s="38"/>
    </row>
    <row r="1901">
      <c r="P1901" s="42"/>
      <c r="AB1901" s="38"/>
    </row>
    <row r="1902">
      <c r="P1902" s="42"/>
      <c r="AB1902" s="38"/>
    </row>
    <row r="1903">
      <c r="P1903" s="42"/>
      <c r="AB1903" s="38"/>
    </row>
    <row r="1904">
      <c r="P1904" s="42"/>
      <c r="AB1904" s="38"/>
    </row>
    <row r="1905">
      <c r="P1905" s="42"/>
      <c r="AB1905" s="38"/>
    </row>
    <row r="1906">
      <c r="P1906" s="42"/>
      <c r="AB1906" s="38"/>
    </row>
    <row r="1907">
      <c r="P1907" s="42"/>
      <c r="AB1907" s="38"/>
    </row>
    <row r="1908">
      <c r="P1908" s="42"/>
      <c r="AB1908" s="38"/>
    </row>
    <row r="1909">
      <c r="P1909" s="42"/>
      <c r="AB1909" s="38"/>
    </row>
    <row r="1910">
      <c r="P1910" s="42"/>
      <c r="AB1910" s="38"/>
    </row>
    <row r="1911">
      <c r="P1911" s="42"/>
      <c r="AB1911" s="38"/>
    </row>
    <row r="1912">
      <c r="P1912" s="42"/>
      <c r="AB1912" s="38"/>
    </row>
    <row r="1913">
      <c r="P1913" s="42"/>
      <c r="AB1913" s="38"/>
    </row>
    <row r="1914">
      <c r="P1914" s="42"/>
      <c r="AB1914" s="38"/>
    </row>
    <row r="1915">
      <c r="P1915" s="42"/>
      <c r="AB1915" s="38"/>
    </row>
    <row r="1916">
      <c r="P1916" s="42"/>
      <c r="AB1916" s="38"/>
    </row>
    <row r="1917">
      <c r="P1917" s="42"/>
      <c r="AB1917" s="38"/>
    </row>
    <row r="1918">
      <c r="P1918" s="42"/>
      <c r="AB1918" s="38"/>
    </row>
    <row r="1919">
      <c r="P1919" s="42"/>
      <c r="AB1919" s="38"/>
    </row>
    <row r="1920">
      <c r="P1920" s="42"/>
      <c r="AB1920" s="38"/>
    </row>
    <row r="1921">
      <c r="P1921" s="42"/>
      <c r="AB1921" s="38"/>
    </row>
    <row r="1922">
      <c r="P1922" s="42"/>
      <c r="AB1922" s="38"/>
    </row>
    <row r="1923">
      <c r="P1923" s="42"/>
      <c r="AB1923" s="38"/>
    </row>
    <row r="1924">
      <c r="P1924" s="42"/>
      <c r="AB1924" s="38"/>
    </row>
    <row r="1925">
      <c r="P1925" s="42"/>
      <c r="AB1925" s="38"/>
    </row>
    <row r="1926">
      <c r="P1926" s="42"/>
      <c r="AB1926" s="38"/>
    </row>
    <row r="1927">
      <c r="P1927" s="42"/>
      <c r="AB1927" s="38"/>
    </row>
    <row r="1928">
      <c r="P1928" s="42"/>
      <c r="AB1928" s="38"/>
    </row>
    <row r="1929">
      <c r="P1929" s="42"/>
      <c r="AB1929" s="38"/>
    </row>
    <row r="1930">
      <c r="P1930" s="42"/>
      <c r="AB1930" s="38"/>
    </row>
    <row r="1931">
      <c r="P1931" s="42"/>
      <c r="AB1931" s="38"/>
    </row>
    <row r="1932">
      <c r="P1932" s="42"/>
      <c r="AB1932" s="38"/>
    </row>
    <row r="1933">
      <c r="P1933" s="42"/>
      <c r="AB1933" s="38"/>
    </row>
    <row r="1934">
      <c r="P1934" s="42"/>
      <c r="AB1934" s="38"/>
    </row>
    <row r="1935">
      <c r="P1935" s="42"/>
      <c r="AB1935" s="38"/>
    </row>
    <row r="1936">
      <c r="P1936" s="42"/>
      <c r="AB1936" s="38"/>
    </row>
    <row r="1937">
      <c r="P1937" s="42"/>
      <c r="AB1937" s="38"/>
    </row>
    <row r="1938">
      <c r="P1938" s="42"/>
      <c r="AB1938" s="38"/>
    </row>
    <row r="1939">
      <c r="P1939" s="42"/>
      <c r="AB1939" s="38"/>
    </row>
    <row r="1940">
      <c r="P1940" s="42"/>
      <c r="AB1940" s="38"/>
    </row>
    <row r="1941">
      <c r="P1941" s="42"/>
      <c r="AB1941" s="38"/>
    </row>
    <row r="1942">
      <c r="P1942" s="42"/>
      <c r="AB1942" s="38"/>
    </row>
    <row r="1943">
      <c r="P1943" s="42"/>
      <c r="AB1943" s="38"/>
    </row>
    <row r="1944">
      <c r="P1944" s="42"/>
      <c r="AB1944" s="38"/>
    </row>
    <row r="1945">
      <c r="P1945" s="42"/>
      <c r="AB1945" s="38"/>
    </row>
    <row r="1946">
      <c r="P1946" s="42"/>
      <c r="AB1946" s="38"/>
    </row>
    <row r="1947">
      <c r="P1947" s="42"/>
      <c r="AB1947" s="38"/>
    </row>
    <row r="1948">
      <c r="P1948" s="42"/>
      <c r="AB1948" s="38"/>
    </row>
    <row r="1949">
      <c r="P1949" s="42"/>
      <c r="AB1949" s="38"/>
    </row>
    <row r="1950">
      <c r="P1950" s="42"/>
      <c r="AB1950" s="38"/>
    </row>
    <row r="1951">
      <c r="P1951" s="42"/>
      <c r="AB1951" s="38"/>
    </row>
    <row r="1952">
      <c r="P1952" s="42"/>
      <c r="AB1952" s="38"/>
    </row>
    <row r="1953">
      <c r="P1953" s="42"/>
      <c r="AB1953" s="38"/>
    </row>
    <row r="1954">
      <c r="P1954" s="42"/>
      <c r="AB1954" s="38"/>
    </row>
    <row r="1955">
      <c r="P1955" s="42"/>
      <c r="AB1955" s="38"/>
    </row>
    <row r="1956">
      <c r="P1956" s="42"/>
      <c r="AB1956" s="38"/>
    </row>
    <row r="1957">
      <c r="P1957" s="42"/>
      <c r="AB1957" s="38"/>
    </row>
    <row r="1958">
      <c r="P1958" s="42"/>
      <c r="AB1958" s="38"/>
    </row>
    <row r="1959">
      <c r="P1959" s="42"/>
      <c r="AB1959" s="38"/>
    </row>
    <row r="1960">
      <c r="P1960" s="42"/>
      <c r="AB1960" s="38"/>
    </row>
    <row r="1961">
      <c r="P1961" s="42"/>
      <c r="AB1961" s="38"/>
    </row>
    <row r="1962">
      <c r="P1962" s="42"/>
      <c r="AB1962" s="38"/>
    </row>
    <row r="1963">
      <c r="P1963" s="42"/>
      <c r="AB1963" s="38"/>
    </row>
    <row r="1964">
      <c r="P1964" s="42"/>
      <c r="AB1964" s="38"/>
    </row>
    <row r="1965">
      <c r="P1965" s="42"/>
      <c r="AB1965" s="38"/>
    </row>
    <row r="1966">
      <c r="P1966" s="42"/>
      <c r="AB1966" s="38"/>
    </row>
    <row r="1967">
      <c r="P1967" s="42"/>
      <c r="AB1967" s="38"/>
    </row>
    <row r="1968">
      <c r="P1968" s="42"/>
      <c r="AB1968" s="38"/>
    </row>
    <row r="1969">
      <c r="P1969" s="42"/>
      <c r="AB1969" s="38"/>
    </row>
    <row r="1970">
      <c r="P1970" s="42"/>
      <c r="AB1970" s="38"/>
    </row>
    <row r="1971">
      <c r="P1971" s="42"/>
      <c r="AB1971" s="38"/>
    </row>
    <row r="1972">
      <c r="P1972" s="42"/>
      <c r="AB1972" s="38"/>
    </row>
    <row r="1973">
      <c r="P1973" s="42"/>
      <c r="AB1973" s="38"/>
    </row>
    <row r="1974">
      <c r="P1974" s="42"/>
      <c r="AB1974" s="38"/>
    </row>
    <row r="1975">
      <c r="P1975" s="42"/>
      <c r="AB1975" s="38"/>
    </row>
    <row r="1976">
      <c r="P1976" s="42"/>
      <c r="AB1976" s="38"/>
    </row>
    <row r="1977">
      <c r="P1977" s="42"/>
      <c r="AB1977" s="38"/>
    </row>
    <row r="1978">
      <c r="P1978" s="42"/>
      <c r="AB1978" s="38"/>
    </row>
    <row r="1979">
      <c r="P1979" s="42"/>
      <c r="AB1979" s="38"/>
    </row>
    <row r="1980">
      <c r="P1980" s="42"/>
      <c r="AB1980" s="38"/>
    </row>
    <row r="1981">
      <c r="P1981" s="42"/>
      <c r="AB1981" s="38"/>
    </row>
    <row r="1982">
      <c r="P1982" s="42"/>
      <c r="AB1982" s="38"/>
    </row>
    <row r="1983">
      <c r="P1983" s="42"/>
      <c r="AB1983" s="38"/>
    </row>
    <row r="1984">
      <c r="P1984" s="42"/>
      <c r="AB1984" s="38"/>
    </row>
    <row r="1985">
      <c r="P1985" s="42"/>
      <c r="AB1985" s="38"/>
    </row>
    <row r="1986">
      <c r="P1986" s="42"/>
      <c r="AB1986" s="38"/>
    </row>
    <row r="1987">
      <c r="P1987" s="42"/>
      <c r="AB1987" s="38"/>
    </row>
    <row r="1988">
      <c r="P1988" s="42"/>
      <c r="AB1988" s="38"/>
    </row>
    <row r="1989">
      <c r="P1989" s="42"/>
      <c r="AB1989" s="38"/>
    </row>
    <row r="1990">
      <c r="P1990" s="42"/>
      <c r="AB1990" s="38"/>
    </row>
    <row r="1991">
      <c r="P1991" s="42"/>
      <c r="AB1991" s="38"/>
    </row>
    <row r="1992">
      <c r="P1992" s="42"/>
      <c r="AB1992" s="38"/>
    </row>
    <row r="1993">
      <c r="P1993" s="42"/>
      <c r="AB1993" s="38"/>
    </row>
    <row r="1994">
      <c r="P1994" s="42"/>
      <c r="AB1994" s="38"/>
    </row>
    <row r="1995">
      <c r="P1995" s="42"/>
      <c r="AB1995" s="38"/>
    </row>
    <row r="1996">
      <c r="P1996" s="42"/>
      <c r="AB1996" s="38"/>
    </row>
    <row r="1997">
      <c r="P1997" s="42"/>
      <c r="AB1997" s="38"/>
    </row>
    <row r="1998">
      <c r="P1998" s="42"/>
      <c r="AB1998" s="38"/>
    </row>
    <row r="1999">
      <c r="P1999" s="42"/>
      <c r="AB1999" s="38"/>
    </row>
    <row r="2000">
      <c r="P2000" s="42"/>
      <c r="AB2000" s="38"/>
    </row>
    <row r="2001">
      <c r="P2001" s="42"/>
      <c r="AB2001" s="38"/>
    </row>
    <row r="2002">
      <c r="P2002" s="42"/>
      <c r="AB2002" s="38"/>
    </row>
    <row r="2003">
      <c r="P2003" s="42"/>
      <c r="AB2003" s="38"/>
    </row>
    <row r="2004">
      <c r="P2004" s="42"/>
      <c r="AB2004" s="38"/>
    </row>
    <row r="2005">
      <c r="P2005" s="42"/>
      <c r="AB2005" s="38"/>
    </row>
    <row r="2006">
      <c r="P2006" s="42"/>
      <c r="AB2006" s="38"/>
    </row>
    <row r="2007">
      <c r="P2007" s="42"/>
      <c r="AB2007" s="38"/>
    </row>
    <row r="2008">
      <c r="P2008" s="42"/>
      <c r="AB2008" s="38"/>
    </row>
    <row r="2009">
      <c r="P2009" s="42"/>
      <c r="AB2009" s="38"/>
    </row>
    <row r="2010">
      <c r="P2010" s="42"/>
      <c r="AB2010" s="38"/>
    </row>
    <row r="2011">
      <c r="P2011" s="42"/>
      <c r="AB2011" s="38"/>
    </row>
    <row r="2012">
      <c r="P2012" s="42"/>
      <c r="AB2012" s="38"/>
    </row>
    <row r="2013">
      <c r="P2013" s="42"/>
      <c r="AB2013" s="38"/>
    </row>
    <row r="2014">
      <c r="P2014" s="42"/>
      <c r="AB2014" s="38"/>
    </row>
    <row r="2015">
      <c r="P2015" s="42"/>
      <c r="AB2015" s="38"/>
    </row>
    <row r="2016">
      <c r="P2016" s="42"/>
      <c r="AB2016" s="38"/>
    </row>
    <row r="2017">
      <c r="P2017" s="42"/>
      <c r="AB2017" s="38"/>
    </row>
    <row r="2018">
      <c r="P2018" s="42"/>
      <c r="AB2018" s="38"/>
    </row>
    <row r="2019">
      <c r="P2019" s="42"/>
      <c r="AB2019" s="38"/>
    </row>
    <row r="2020">
      <c r="P2020" s="42"/>
      <c r="AB2020" s="38"/>
    </row>
    <row r="2021">
      <c r="P2021" s="42"/>
      <c r="AB2021" s="38"/>
    </row>
    <row r="2022">
      <c r="P2022" s="42"/>
      <c r="AB2022" s="38"/>
    </row>
    <row r="2023">
      <c r="P2023" s="42"/>
      <c r="AB2023" s="38"/>
    </row>
    <row r="2024">
      <c r="P2024" s="42"/>
      <c r="AB2024" s="38"/>
    </row>
    <row r="2025">
      <c r="P2025" s="42"/>
      <c r="AB2025" s="38"/>
    </row>
    <row r="2026">
      <c r="P2026" s="42"/>
      <c r="AB2026" s="38"/>
    </row>
    <row r="2027">
      <c r="P2027" s="42"/>
      <c r="AB2027" s="38"/>
    </row>
    <row r="2028">
      <c r="P2028" s="42"/>
      <c r="AB2028" s="38"/>
    </row>
    <row r="2029">
      <c r="P2029" s="42"/>
      <c r="AB2029" s="38"/>
    </row>
    <row r="2030">
      <c r="P2030" s="42"/>
      <c r="AB2030" s="38"/>
    </row>
    <row r="2031">
      <c r="P2031" s="42"/>
      <c r="AB2031" s="38"/>
    </row>
    <row r="2032">
      <c r="P2032" s="42"/>
      <c r="AB2032" s="38"/>
    </row>
    <row r="2033">
      <c r="P2033" s="42"/>
      <c r="AB2033" s="38"/>
    </row>
    <row r="2034">
      <c r="P2034" s="42"/>
      <c r="AB2034" s="38"/>
    </row>
    <row r="2035">
      <c r="P2035" s="42"/>
      <c r="AB2035" s="38"/>
    </row>
    <row r="2036">
      <c r="P2036" s="42"/>
      <c r="AB2036" s="38"/>
    </row>
    <row r="2037">
      <c r="P2037" s="42"/>
      <c r="AB2037" s="38"/>
    </row>
    <row r="2038">
      <c r="P2038" s="42"/>
      <c r="AB2038" s="38"/>
    </row>
    <row r="2039">
      <c r="P2039" s="42"/>
      <c r="AB2039" s="38"/>
    </row>
    <row r="2040">
      <c r="P2040" s="42"/>
      <c r="AB2040" s="38"/>
    </row>
    <row r="2041">
      <c r="P2041" s="42"/>
      <c r="AB2041" s="38"/>
    </row>
    <row r="2042">
      <c r="P2042" s="42"/>
      <c r="AB2042" s="38"/>
    </row>
    <row r="2043">
      <c r="P2043" s="42"/>
      <c r="AB2043" s="38"/>
    </row>
    <row r="2044">
      <c r="P2044" s="42"/>
      <c r="AB2044" s="38"/>
    </row>
    <row r="2045">
      <c r="P2045" s="42"/>
      <c r="AB2045" s="38"/>
    </row>
    <row r="2046">
      <c r="P2046" s="42"/>
      <c r="AB2046" s="38"/>
    </row>
    <row r="2047">
      <c r="P2047" s="42"/>
      <c r="AB2047" s="38"/>
    </row>
    <row r="2048">
      <c r="P2048" s="42"/>
      <c r="AB2048" s="38"/>
    </row>
    <row r="2049">
      <c r="P2049" s="42"/>
      <c r="AB2049" s="38"/>
    </row>
    <row r="2050">
      <c r="P2050" s="42"/>
      <c r="AB2050" s="38"/>
    </row>
    <row r="2051">
      <c r="P2051" s="42"/>
      <c r="AB2051" s="38"/>
    </row>
    <row r="2052">
      <c r="P2052" s="42"/>
      <c r="AB2052" s="38"/>
    </row>
    <row r="2053">
      <c r="P2053" s="42"/>
      <c r="AB2053" s="38"/>
    </row>
    <row r="2054">
      <c r="P2054" s="42"/>
      <c r="AB2054" s="38"/>
    </row>
    <row r="2055">
      <c r="P2055" s="42"/>
      <c r="AB2055" s="38"/>
    </row>
    <row r="2056">
      <c r="P2056" s="42"/>
      <c r="AB2056" s="38"/>
    </row>
    <row r="2057">
      <c r="P2057" s="42"/>
      <c r="AB2057" s="38"/>
    </row>
    <row r="2058">
      <c r="P2058" s="42"/>
      <c r="AB2058" s="38"/>
    </row>
    <row r="2059">
      <c r="P2059" s="42"/>
      <c r="AB2059" s="38"/>
    </row>
    <row r="2060">
      <c r="P2060" s="42"/>
      <c r="AB2060" s="38"/>
    </row>
    <row r="2061">
      <c r="P2061" s="42"/>
      <c r="AB2061" s="38"/>
    </row>
    <row r="2062">
      <c r="P2062" s="42"/>
      <c r="AB2062" s="38"/>
    </row>
    <row r="2063">
      <c r="P2063" s="42"/>
      <c r="AB2063" s="38"/>
    </row>
    <row r="2064">
      <c r="P2064" s="42"/>
      <c r="AB2064" s="38"/>
    </row>
    <row r="2065">
      <c r="P2065" s="42"/>
      <c r="AB2065" s="38"/>
    </row>
    <row r="2066">
      <c r="P2066" s="42"/>
      <c r="AB2066" s="38"/>
    </row>
    <row r="2067">
      <c r="P2067" s="42"/>
      <c r="AB2067" s="38"/>
    </row>
    <row r="2068">
      <c r="P2068" s="42"/>
      <c r="AB2068" s="38"/>
    </row>
    <row r="2069">
      <c r="P2069" s="42"/>
      <c r="AB2069" s="38"/>
    </row>
    <row r="2070">
      <c r="P2070" s="42"/>
      <c r="AB2070" s="38"/>
    </row>
    <row r="2071">
      <c r="P2071" s="42"/>
      <c r="AB2071" s="38"/>
    </row>
    <row r="2072">
      <c r="P2072" s="42"/>
      <c r="AB2072" s="38"/>
    </row>
    <row r="2073">
      <c r="P2073" s="42"/>
      <c r="AB2073" s="38"/>
    </row>
    <row r="2074">
      <c r="P2074" s="42"/>
      <c r="AB2074" s="38"/>
    </row>
    <row r="2075">
      <c r="P2075" s="42"/>
      <c r="AB2075" s="38"/>
    </row>
    <row r="2076">
      <c r="P2076" s="42"/>
      <c r="AB2076" s="38"/>
    </row>
    <row r="2077">
      <c r="P2077" s="42"/>
      <c r="AB2077" s="38"/>
    </row>
    <row r="2078">
      <c r="P2078" s="42"/>
      <c r="AB2078" s="38"/>
    </row>
    <row r="2079">
      <c r="P2079" s="42"/>
      <c r="AB2079" s="38"/>
    </row>
    <row r="2080">
      <c r="P2080" s="42"/>
      <c r="AB2080" s="38"/>
    </row>
    <row r="2081">
      <c r="P2081" s="42"/>
      <c r="AB2081" s="38"/>
    </row>
    <row r="2082">
      <c r="P2082" s="42"/>
      <c r="AB2082" s="38"/>
    </row>
    <row r="2083">
      <c r="P2083" s="42"/>
      <c r="AB2083" s="38"/>
    </row>
    <row r="2084">
      <c r="P2084" s="42"/>
      <c r="AB2084" s="38"/>
    </row>
    <row r="2085">
      <c r="P2085" s="42"/>
      <c r="AB2085" s="38"/>
    </row>
    <row r="2086">
      <c r="P2086" s="42"/>
      <c r="AB2086" s="38"/>
    </row>
    <row r="2087">
      <c r="P2087" s="42"/>
      <c r="AB2087" s="38"/>
    </row>
    <row r="2088">
      <c r="P2088" s="42"/>
      <c r="AB2088" s="38"/>
    </row>
    <row r="2089">
      <c r="P2089" s="42"/>
      <c r="AB2089" s="38"/>
    </row>
    <row r="2090">
      <c r="P2090" s="42"/>
      <c r="AB2090" s="38"/>
    </row>
    <row r="2091">
      <c r="P2091" s="42"/>
      <c r="AB2091" s="38"/>
    </row>
    <row r="2092">
      <c r="P2092" s="42"/>
      <c r="AB2092" s="38"/>
    </row>
    <row r="2093">
      <c r="P2093" s="42"/>
      <c r="AB2093" s="38"/>
    </row>
    <row r="2094">
      <c r="P2094" s="42"/>
      <c r="AB2094" s="38"/>
    </row>
    <row r="2095">
      <c r="P2095" s="42"/>
      <c r="AB2095" s="38"/>
    </row>
    <row r="2096">
      <c r="P2096" s="42"/>
      <c r="AB2096" s="38"/>
    </row>
    <row r="2097">
      <c r="P2097" s="42"/>
      <c r="AB2097" s="38"/>
    </row>
    <row r="2098">
      <c r="P2098" s="42"/>
      <c r="AB2098" s="38"/>
    </row>
    <row r="2099">
      <c r="P2099" s="42"/>
      <c r="AB2099" s="38"/>
    </row>
    <row r="2100">
      <c r="P2100" s="42"/>
      <c r="AB2100" s="38"/>
    </row>
    <row r="2101">
      <c r="P2101" s="42"/>
      <c r="AB2101" s="38"/>
    </row>
    <row r="2102">
      <c r="P2102" s="42"/>
      <c r="AB2102" s="38"/>
    </row>
    <row r="2103">
      <c r="P2103" s="42"/>
      <c r="AB2103" s="38"/>
    </row>
    <row r="2104">
      <c r="P2104" s="42"/>
      <c r="AB2104" s="38"/>
    </row>
    <row r="2105">
      <c r="P2105" s="42"/>
      <c r="AB2105" s="38"/>
    </row>
    <row r="2106">
      <c r="P2106" s="42"/>
      <c r="AB2106" s="38"/>
    </row>
    <row r="2107">
      <c r="P2107" s="42"/>
      <c r="AB2107" s="38"/>
    </row>
    <row r="2108">
      <c r="P2108" s="42"/>
      <c r="AB2108" s="38"/>
    </row>
    <row r="2109">
      <c r="P2109" s="42"/>
      <c r="AB2109" s="38"/>
    </row>
    <row r="2110">
      <c r="P2110" s="42"/>
      <c r="AB2110" s="38"/>
    </row>
    <row r="2111">
      <c r="P2111" s="42"/>
      <c r="AB2111" s="38"/>
    </row>
    <row r="2112">
      <c r="P2112" s="42"/>
      <c r="AB2112" s="38"/>
    </row>
    <row r="2113">
      <c r="P2113" s="42"/>
      <c r="AB2113" s="38"/>
    </row>
    <row r="2114">
      <c r="P2114" s="42"/>
      <c r="AB2114" s="38"/>
    </row>
    <row r="2115">
      <c r="P2115" s="42"/>
      <c r="AB2115" s="38"/>
    </row>
    <row r="2116">
      <c r="P2116" s="42"/>
      <c r="AB2116" s="38"/>
    </row>
    <row r="2117">
      <c r="P2117" s="42"/>
      <c r="AB2117" s="38"/>
    </row>
    <row r="2118">
      <c r="P2118" s="42"/>
      <c r="AB2118" s="38"/>
    </row>
    <row r="2119">
      <c r="P2119" s="42"/>
      <c r="AB2119" s="38"/>
    </row>
    <row r="2120">
      <c r="P2120" s="42"/>
      <c r="AB2120" s="38"/>
    </row>
    <row r="2121">
      <c r="P2121" s="42"/>
      <c r="AB2121" s="38"/>
    </row>
    <row r="2122">
      <c r="P2122" s="42"/>
      <c r="AB2122" s="38"/>
    </row>
    <row r="2123">
      <c r="P2123" s="42"/>
      <c r="AB2123" s="38"/>
    </row>
    <row r="2124">
      <c r="P2124" s="42"/>
      <c r="AB2124" s="38"/>
    </row>
    <row r="2125">
      <c r="P2125" s="42"/>
      <c r="AB2125" s="38"/>
    </row>
    <row r="2126">
      <c r="P2126" s="42"/>
      <c r="AB2126" s="38"/>
    </row>
    <row r="2127">
      <c r="P2127" s="42"/>
      <c r="AB2127" s="38"/>
    </row>
    <row r="2128">
      <c r="P2128" s="42"/>
      <c r="AB2128" s="38"/>
    </row>
    <row r="2129">
      <c r="P2129" s="42"/>
      <c r="AB2129" s="38"/>
    </row>
    <row r="2130">
      <c r="P2130" s="42"/>
      <c r="AB2130" s="38"/>
    </row>
    <row r="2131">
      <c r="P2131" s="42"/>
      <c r="AB2131" s="38"/>
    </row>
    <row r="2132">
      <c r="P2132" s="42"/>
      <c r="AB2132" s="38"/>
    </row>
    <row r="2133">
      <c r="P2133" s="42"/>
      <c r="AB2133" s="38"/>
    </row>
    <row r="2134">
      <c r="P2134" s="42"/>
      <c r="AB2134" s="38"/>
    </row>
    <row r="2135">
      <c r="P2135" s="42"/>
      <c r="AB2135" s="38"/>
    </row>
    <row r="2136">
      <c r="P2136" s="42"/>
      <c r="AB2136" s="38"/>
    </row>
    <row r="2137">
      <c r="P2137" s="42"/>
      <c r="AB2137" s="38"/>
    </row>
    <row r="2138">
      <c r="P2138" s="42"/>
      <c r="AB2138" s="38"/>
    </row>
    <row r="2139">
      <c r="P2139" s="42"/>
      <c r="AB2139" s="38"/>
    </row>
    <row r="2140">
      <c r="P2140" s="42"/>
      <c r="AB2140" s="38"/>
    </row>
    <row r="2141">
      <c r="P2141" s="42"/>
      <c r="AB2141" s="38"/>
    </row>
    <row r="2142">
      <c r="P2142" s="42"/>
      <c r="AB2142" s="38"/>
    </row>
    <row r="2143">
      <c r="P2143" s="42"/>
      <c r="AB2143" s="38"/>
    </row>
    <row r="2144">
      <c r="P2144" s="42"/>
      <c r="AB2144" s="38"/>
    </row>
    <row r="2145">
      <c r="P2145" s="42"/>
      <c r="AB2145" s="38"/>
    </row>
    <row r="2146">
      <c r="P2146" s="42"/>
      <c r="AB2146" s="38"/>
    </row>
    <row r="2147">
      <c r="P2147" s="42"/>
      <c r="AB2147" s="38"/>
    </row>
    <row r="2148">
      <c r="P2148" s="42"/>
      <c r="AB2148" s="38"/>
    </row>
    <row r="2149">
      <c r="P2149" s="42"/>
      <c r="AB2149" s="38"/>
    </row>
    <row r="2150">
      <c r="P2150" s="42"/>
      <c r="AB2150" s="38"/>
    </row>
    <row r="2151">
      <c r="P2151" s="42"/>
      <c r="AB2151" s="38"/>
    </row>
    <row r="2152">
      <c r="P2152" s="42"/>
      <c r="AB2152" s="38"/>
    </row>
    <row r="2153">
      <c r="P2153" s="42"/>
      <c r="AB2153" s="38"/>
    </row>
    <row r="2154">
      <c r="P2154" s="42"/>
      <c r="AB2154" s="38"/>
    </row>
    <row r="2155">
      <c r="P2155" s="42"/>
      <c r="AB2155" s="38"/>
    </row>
    <row r="2156">
      <c r="P2156" s="42"/>
      <c r="AB2156" s="38"/>
    </row>
    <row r="2157">
      <c r="P2157" s="42"/>
      <c r="AB2157" s="38"/>
    </row>
    <row r="2158">
      <c r="P2158" s="42"/>
      <c r="AB2158" s="38"/>
    </row>
    <row r="2159">
      <c r="P2159" s="42"/>
      <c r="AB2159" s="38"/>
    </row>
    <row r="2160">
      <c r="P2160" s="42"/>
      <c r="AB2160" s="38"/>
    </row>
    <row r="2161">
      <c r="P2161" s="42"/>
      <c r="AB2161" s="38"/>
    </row>
    <row r="2162">
      <c r="P2162" s="42"/>
      <c r="AB2162" s="38"/>
    </row>
    <row r="2163">
      <c r="P2163" s="42"/>
      <c r="AB2163" s="38"/>
    </row>
    <row r="2164">
      <c r="P2164" s="42"/>
      <c r="AB2164" s="38"/>
    </row>
    <row r="2165">
      <c r="P2165" s="42"/>
      <c r="AB2165" s="38"/>
    </row>
    <row r="2166">
      <c r="P2166" s="42"/>
      <c r="AB2166" s="38"/>
    </row>
    <row r="2167">
      <c r="P2167" s="42"/>
      <c r="AB2167" s="38"/>
    </row>
    <row r="2168">
      <c r="P2168" s="42"/>
      <c r="AB2168" s="38"/>
    </row>
    <row r="2169">
      <c r="P2169" s="42"/>
      <c r="AB2169" s="38"/>
    </row>
    <row r="2170">
      <c r="P2170" s="42"/>
      <c r="AB2170" s="38"/>
    </row>
    <row r="2171">
      <c r="P2171" s="42"/>
      <c r="AB2171" s="38"/>
    </row>
    <row r="2172">
      <c r="P2172" s="42"/>
      <c r="AB2172" s="38"/>
    </row>
    <row r="2173">
      <c r="P2173" s="42"/>
      <c r="AB2173" s="38"/>
    </row>
    <row r="2174">
      <c r="P2174" s="42"/>
      <c r="AB2174" s="38"/>
    </row>
    <row r="2175">
      <c r="P2175" s="42"/>
      <c r="AB2175" s="38"/>
    </row>
    <row r="2176">
      <c r="P2176" s="42"/>
      <c r="AB2176" s="38"/>
    </row>
    <row r="2177">
      <c r="P2177" s="42"/>
      <c r="AB2177" s="38"/>
    </row>
    <row r="2178">
      <c r="P2178" s="42"/>
      <c r="AB2178" s="38"/>
    </row>
    <row r="2179">
      <c r="P2179" s="42"/>
      <c r="AB2179" s="38"/>
    </row>
    <row r="2180">
      <c r="P2180" s="42"/>
      <c r="AB2180" s="38"/>
    </row>
    <row r="2181">
      <c r="P2181" s="42"/>
      <c r="AB2181" s="38"/>
    </row>
    <row r="2182">
      <c r="P2182" s="42"/>
      <c r="AB2182" s="38"/>
    </row>
    <row r="2183">
      <c r="P2183" s="42"/>
      <c r="AB2183" s="38"/>
    </row>
    <row r="2184">
      <c r="P2184" s="42"/>
      <c r="AB2184" s="38"/>
    </row>
    <row r="2185">
      <c r="P2185" s="42"/>
      <c r="AB2185" s="38"/>
    </row>
    <row r="2186">
      <c r="P2186" s="42"/>
      <c r="AB2186" s="38"/>
    </row>
    <row r="2187">
      <c r="P2187" s="42"/>
      <c r="AB2187" s="38"/>
    </row>
    <row r="2188">
      <c r="P2188" s="42"/>
      <c r="AB2188" s="38"/>
    </row>
    <row r="2189">
      <c r="P2189" s="42"/>
      <c r="AB2189" s="38"/>
    </row>
    <row r="2190">
      <c r="P2190" s="42"/>
      <c r="AB2190" s="38"/>
    </row>
    <row r="2191">
      <c r="P2191" s="42"/>
      <c r="AB2191" s="38"/>
    </row>
    <row r="2192">
      <c r="P2192" s="42"/>
      <c r="AB2192" s="38"/>
    </row>
    <row r="2193">
      <c r="P2193" s="42"/>
      <c r="AB2193" s="38"/>
    </row>
    <row r="2194">
      <c r="P2194" s="42"/>
      <c r="AB2194" s="38"/>
    </row>
    <row r="2195">
      <c r="P2195" s="42"/>
      <c r="AB2195" s="38"/>
    </row>
    <row r="2196">
      <c r="P2196" s="42"/>
      <c r="AB2196" s="38"/>
    </row>
    <row r="2197">
      <c r="P2197" s="42"/>
      <c r="AB2197" s="38"/>
    </row>
    <row r="2198">
      <c r="P2198" s="42"/>
      <c r="AB2198" s="38"/>
    </row>
    <row r="2199">
      <c r="P2199" s="42"/>
      <c r="AB2199" s="38"/>
    </row>
    <row r="2200">
      <c r="P2200" s="42"/>
      <c r="AB2200" s="38"/>
    </row>
    <row r="2201">
      <c r="P2201" s="42"/>
      <c r="AB2201" s="38"/>
    </row>
    <row r="2202">
      <c r="P2202" s="42"/>
      <c r="AB2202" s="38"/>
    </row>
    <row r="2203">
      <c r="P2203" s="42"/>
      <c r="AB2203" s="38"/>
    </row>
    <row r="2204">
      <c r="P2204" s="42"/>
      <c r="AB2204" s="38"/>
    </row>
    <row r="2205">
      <c r="P2205" s="42"/>
      <c r="AB2205" s="38"/>
    </row>
    <row r="2206">
      <c r="P2206" s="42"/>
      <c r="AB2206" s="38"/>
    </row>
    <row r="2207">
      <c r="P2207" s="42"/>
      <c r="AB2207" s="38"/>
    </row>
    <row r="2208">
      <c r="P2208" s="42"/>
      <c r="AB2208" s="38"/>
    </row>
    <row r="2209">
      <c r="P2209" s="42"/>
      <c r="AB2209" s="38"/>
    </row>
    <row r="2210">
      <c r="P2210" s="42"/>
      <c r="AB2210" s="38"/>
    </row>
    <row r="2211">
      <c r="P2211" s="42"/>
      <c r="AB2211" s="38"/>
    </row>
    <row r="2212">
      <c r="P2212" s="42"/>
      <c r="AB2212" s="38"/>
    </row>
    <row r="2213">
      <c r="P2213" s="42"/>
      <c r="AB2213" s="38"/>
    </row>
    <row r="2214">
      <c r="P2214" s="42"/>
      <c r="AB2214" s="38"/>
    </row>
    <row r="2215">
      <c r="P2215" s="42"/>
      <c r="AB2215" s="38"/>
    </row>
    <row r="2216">
      <c r="P2216" s="42"/>
      <c r="AB2216" s="38"/>
    </row>
    <row r="2217">
      <c r="P2217" s="42"/>
      <c r="AB2217" s="38"/>
    </row>
    <row r="2218">
      <c r="P2218" s="42"/>
      <c r="AB2218" s="38"/>
    </row>
    <row r="2219">
      <c r="P2219" s="42"/>
      <c r="AB2219" s="38"/>
    </row>
    <row r="2220">
      <c r="P2220" s="42"/>
      <c r="AB2220" s="38"/>
    </row>
    <row r="2221">
      <c r="P2221" s="42"/>
      <c r="AB2221" s="38"/>
    </row>
    <row r="2222">
      <c r="P2222" s="42"/>
      <c r="AB2222" s="38"/>
    </row>
    <row r="2223">
      <c r="P2223" s="42"/>
      <c r="AB2223" s="38"/>
    </row>
    <row r="2224">
      <c r="P2224" s="42"/>
      <c r="AB2224" s="38"/>
    </row>
    <row r="2225">
      <c r="P2225" s="42"/>
      <c r="AB2225" s="38"/>
    </row>
    <row r="2226">
      <c r="P2226" s="42"/>
      <c r="AB2226" s="38"/>
    </row>
    <row r="2227">
      <c r="P2227" s="42"/>
      <c r="AB2227" s="38"/>
    </row>
    <row r="2228">
      <c r="P2228" s="42"/>
      <c r="AB2228" s="38"/>
    </row>
    <row r="2229">
      <c r="P2229" s="42"/>
      <c r="AB2229" s="38"/>
    </row>
    <row r="2230">
      <c r="P2230" s="42"/>
      <c r="AB2230" s="38"/>
    </row>
    <row r="2231">
      <c r="P2231" s="42"/>
      <c r="AB2231" s="38"/>
    </row>
    <row r="2232">
      <c r="P2232" s="42"/>
      <c r="AB2232" s="38"/>
    </row>
    <row r="2233">
      <c r="P2233" s="42"/>
      <c r="AB2233" s="38"/>
    </row>
    <row r="2234">
      <c r="P2234" s="42"/>
      <c r="AB2234" s="38"/>
    </row>
    <row r="2235">
      <c r="P2235" s="42"/>
      <c r="AB2235" s="38"/>
    </row>
    <row r="2236">
      <c r="P2236" s="42"/>
      <c r="AB2236" s="38"/>
    </row>
    <row r="2237">
      <c r="P2237" s="42"/>
      <c r="AB2237" s="38"/>
    </row>
    <row r="2238">
      <c r="P2238" s="42"/>
      <c r="AB2238" s="38"/>
    </row>
    <row r="2239">
      <c r="P2239" s="42"/>
      <c r="AB2239" s="38"/>
    </row>
    <row r="2240">
      <c r="P2240" s="42"/>
      <c r="AB2240" s="38"/>
    </row>
    <row r="2241">
      <c r="P2241" s="42"/>
      <c r="AB2241" s="38"/>
    </row>
    <row r="2242">
      <c r="P2242" s="42"/>
      <c r="AB2242" s="38"/>
    </row>
    <row r="2243">
      <c r="P2243" s="42"/>
      <c r="AB2243" s="38"/>
    </row>
    <row r="2244">
      <c r="P2244" s="42"/>
      <c r="AB2244" s="38"/>
    </row>
    <row r="2245">
      <c r="P2245" s="42"/>
      <c r="AB2245" s="38"/>
    </row>
    <row r="2246">
      <c r="P2246" s="42"/>
      <c r="AB2246" s="38"/>
    </row>
    <row r="2247">
      <c r="P2247" s="42"/>
      <c r="AB2247" s="38"/>
    </row>
    <row r="2248">
      <c r="P2248" s="42"/>
      <c r="AB2248" s="38"/>
    </row>
    <row r="2249">
      <c r="P2249" s="42"/>
      <c r="AB2249" s="38"/>
    </row>
    <row r="2250">
      <c r="P2250" s="42"/>
      <c r="AB2250" s="38"/>
    </row>
    <row r="2251">
      <c r="P2251" s="42"/>
      <c r="AB2251" s="38"/>
    </row>
    <row r="2252">
      <c r="P2252" s="42"/>
      <c r="AB2252" s="38"/>
    </row>
    <row r="2253">
      <c r="P2253" s="42"/>
      <c r="AB2253" s="38"/>
    </row>
    <row r="2254">
      <c r="P2254" s="42"/>
      <c r="AB2254" s="38"/>
    </row>
    <row r="2255">
      <c r="P2255" s="42"/>
      <c r="AB2255" s="38"/>
    </row>
    <row r="2256">
      <c r="P2256" s="42"/>
      <c r="AB2256" s="38"/>
    </row>
    <row r="2257">
      <c r="P2257" s="42"/>
      <c r="AB2257" s="38"/>
    </row>
    <row r="2258">
      <c r="P2258" s="42"/>
      <c r="AB2258" s="38"/>
    </row>
    <row r="2259">
      <c r="P2259" s="42"/>
      <c r="AB2259" s="38"/>
    </row>
    <row r="2260">
      <c r="P2260" s="42"/>
      <c r="AB2260" s="38"/>
    </row>
    <row r="2261">
      <c r="P2261" s="42"/>
      <c r="AB2261" s="38"/>
    </row>
    <row r="2262">
      <c r="P2262" s="42"/>
      <c r="AB2262" s="38"/>
    </row>
    <row r="2263">
      <c r="P2263" s="42"/>
      <c r="AB2263" s="38"/>
    </row>
    <row r="2264">
      <c r="P2264" s="42"/>
      <c r="AB2264" s="38"/>
    </row>
    <row r="2265">
      <c r="P2265" s="42"/>
      <c r="AB2265" s="38"/>
    </row>
    <row r="2266">
      <c r="P2266" s="42"/>
      <c r="AB2266" s="38"/>
    </row>
    <row r="2267">
      <c r="P2267" s="42"/>
      <c r="AB2267" s="38"/>
    </row>
    <row r="2268">
      <c r="P2268" s="42"/>
      <c r="AB2268" s="38"/>
    </row>
    <row r="2269">
      <c r="P2269" s="42"/>
      <c r="AB2269" s="38"/>
    </row>
    <row r="2270">
      <c r="P2270" s="42"/>
      <c r="AB2270" s="38"/>
    </row>
    <row r="2271">
      <c r="P2271" s="42"/>
      <c r="AB2271" s="38"/>
    </row>
    <row r="2272">
      <c r="P2272" s="42"/>
      <c r="AB2272" s="38"/>
    </row>
    <row r="2273">
      <c r="P2273" s="42"/>
      <c r="AB2273" s="38"/>
    </row>
    <row r="2274">
      <c r="P2274" s="42"/>
      <c r="AB2274" s="38"/>
    </row>
    <row r="2275">
      <c r="P2275" s="42"/>
      <c r="AB2275" s="38"/>
    </row>
    <row r="2276">
      <c r="P2276" s="42"/>
      <c r="AB2276" s="38"/>
    </row>
    <row r="2277">
      <c r="P2277" s="42"/>
      <c r="AB2277" s="38"/>
    </row>
    <row r="2278">
      <c r="P2278" s="42"/>
      <c r="AB2278" s="38"/>
    </row>
    <row r="2279">
      <c r="P2279" s="42"/>
      <c r="AB2279" s="38"/>
    </row>
    <row r="2280">
      <c r="P2280" s="42"/>
      <c r="AB2280" s="38"/>
    </row>
    <row r="2281">
      <c r="P2281" s="42"/>
      <c r="AB2281" s="38"/>
    </row>
    <row r="2282">
      <c r="P2282" s="42"/>
      <c r="AB2282" s="38"/>
    </row>
    <row r="2283">
      <c r="P2283" s="42"/>
      <c r="AB2283" s="38"/>
    </row>
    <row r="2284">
      <c r="P2284" s="42"/>
      <c r="AB2284" s="38"/>
    </row>
    <row r="2285">
      <c r="P2285" s="42"/>
      <c r="AB2285" s="38"/>
    </row>
    <row r="2286">
      <c r="P2286" s="42"/>
      <c r="AB2286" s="38"/>
    </row>
    <row r="2287">
      <c r="P2287" s="42"/>
      <c r="AB2287" s="38"/>
    </row>
    <row r="2288">
      <c r="P2288" s="42"/>
      <c r="AB2288" s="38"/>
    </row>
    <row r="2289">
      <c r="P2289" s="42"/>
      <c r="AB2289" s="38"/>
    </row>
    <row r="2290">
      <c r="P2290" s="42"/>
      <c r="AB2290" s="38"/>
    </row>
    <row r="2291">
      <c r="P2291" s="42"/>
      <c r="AB2291" s="38"/>
    </row>
    <row r="2292">
      <c r="P2292" s="42"/>
      <c r="AB2292" s="38"/>
    </row>
    <row r="2293">
      <c r="P2293" s="42"/>
      <c r="AB2293" s="38"/>
    </row>
    <row r="2294">
      <c r="P2294" s="42"/>
      <c r="AB2294" s="38"/>
    </row>
    <row r="2295">
      <c r="P2295" s="42"/>
      <c r="AB2295" s="38"/>
    </row>
    <row r="2296">
      <c r="P2296" s="42"/>
      <c r="AB2296" s="38"/>
    </row>
    <row r="2297">
      <c r="P2297" s="42"/>
      <c r="AB2297" s="38"/>
    </row>
    <row r="2298">
      <c r="P2298" s="42"/>
      <c r="AB2298" s="38"/>
    </row>
    <row r="2299">
      <c r="P2299" s="42"/>
      <c r="AB2299" s="38"/>
    </row>
    <row r="2300">
      <c r="P2300" s="42"/>
      <c r="AB2300" s="38"/>
    </row>
    <row r="2301">
      <c r="P2301" s="42"/>
      <c r="AB2301" s="38"/>
    </row>
    <row r="2302">
      <c r="P2302" s="42"/>
      <c r="AB2302" s="38"/>
    </row>
    <row r="2303">
      <c r="P2303" s="42"/>
      <c r="AB2303" s="38"/>
    </row>
    <row r="2304">
      <c r="P2304" s="42"/>
      <c r="AB2304" s="38"/>
    </row>
    <row r="2305">
      <c r="P2305" s="42"/>
      <c r="AB2305" s="38"/>
    </row>
    <row r="2306">
      <c r="P2306" s="42"/>
      <c r="AB2306" s="38"/>
    </row>
    <row r="2307">
      <c r="P2307" s="42"/>
      <c r="AB2307" s="38"/>
    </row>
    <row r="2308">
      <c r="P2308" s="42"/>
      <c r="AB2308" s="38"/>
    </row>
    <row r="2309">
      <c r="P2309" s="42"/>
      <c r="AB2309" s="38"/>
    </row>
    <row r="2310">
      <c r="P2310" s="42"/>
      <c r="AB2310" s="38"/>
    </row>
    <row r="2311">
      <c r="P2311" s="42"/>
      <c r="AB2311" s="38"/>
    </row>
    <row r="2312">
      <c r="P2312" s="42"/>
      <c r="AB2312" s="38"/>
    </row>
    <row r="2313">
      <c r="P2313" s="42"/>
      <c r="AB2313" s="38"/>
    </row>
    <row r="2314">
      <c r="P2314" s="42"/>
      <c r="AB2314" s="38"/>
    </row>
    <row r="2315">
      <c r="P2315" s="42"/>
      <c r="AB2315" s="38"/>
    </row>
    <row r="2316">
      <c r="P2316" s="42"/>
      <c r="AB2316" s="38"/>
    </row>
    <row r="2317">
      <c r="P2317" s="42"/>
      <c r="AB2317" s="38"/>
    </row>
    <row r="2318">
      <c r="P2318" s="42"/>
      <c r="AB2318" s="38"/>
    </row>
    <row r="2319">
      <c r="P2319" s="42"/>
      <c r="AB2319" s="38"/>
    </row>
    <row r="2320">
      <c r="P2320" s="42"/>
      <c r="AB2320" s="38"/>
    </row>
    <row r="2321">
      <c r="P2321" s="42"/>
      <c r="AB2321" s="38"/>
    </row>
    <row r="2322">
      <c r="P2322" s="42"/>
      <c r="AB2322" s="38"/>
    </row>
    <row r="2323">
      <c r="P2323" s="42"/>
      <c r="AB2323" s="38"/>
    </row>
    <row r="2324">
      <c r="P2324" s="42"/>
      <c r="AB2324" s="38"/>
    </row>
    <row r="2325">
      <c r="P2325" s="42"/>
      <c r="AB2325" s="38"/>
    </row>
    <row r="2326">
      <c r="P2326" s="42"/>
      <c r="AB2326" s="38"/>
    </row>
    <row r="2327">
      <c r="P2327" s="42"/>
      <c r="AB2327" s="38"/>
    </row>
    <row r="2328">
      <c r="P2328" s="42"/>
      <c r="AB2328" s="38"/>
    </row>
    <row r="2329">
      <c r="P2329" s="42"/>
      <c r="AB2329" s="38"/>
    </row>
    <row r="2330">
      <c r="P2330" s="42"/>
      <c r="AB2330" s="38"/>
    </row>
    <row r="2331">
      <c r="P2331" s="42"/>
      <c r="AB2331" s="38"/>
    </row>
    <row r="2332">
      <c r="P2332" s="42"/>
      <c r="AB2332" s="38"/>
    </row>
    <row r="2333">
      <c r="P2333" s="42"/>
      <c r="AB2333" s="38"/>
    </row>
    <row r="2334">
      <c r="P2334" s="42"/>
      <c r="AB2334" s="38"/>
    </row>
    <row r="2335">
      <c r="P2335" s="42"/>
      <c r="AB2335" s="38"/>
    </row>
    <row r="2336">
      <c r="P2336" s="42"/>
      <c r="AB2336" s="38"/>
    </row>
    <row r="2337">
      <c r="P2337" s="42"/>
      <c r="AB2337" s="38"/>
    </row>
    <row r="2338">
      <c r="P2338" s="42"/>
      <c r="AB2338" s="38"/>
    </row>
    <row r="2339">
      <c r="P2339" s="42"/>
      <c r="AB2339" s="38"/>
    </row>
    <row r="2340">
      <c r="P2340" s="42"/>
      <c r="AB2340" s="38"/>
    </row>
    <row r="2341">
      <c r="P2341" s="42"/>
      <c r="AB2341" s="38"/>
    </row>
    <row r="2342">
      <c r="P2342" s="42"/>
      <c r="AB2342" s="38"/>
    </row>
    <row r="2343">
      <c r="P2343" s="42"/>
      <c r="AB2343" s="38"/>
    </row>
    <row r="2344">
      <c r="P2344" s="42"/>
      <c r="AB2344" s="38"/>
    </row>
    <row r="2345">
      <c r="P2345" s="42"/>
      <c r="AB2345" s="38"/>
    </row>
    <row r="2346">
      <c r="P2346" s="42"/>
      <c r="AB2346" s="38"/>
    </row>
    <row r="2347">
      <c r="P2347" s="42"/>
      <c r="AB2347" s="38"/>
    </row>
    <row r="2348">
      <c r="P2348" s="42"/>
      <c r="AB2348" s="38"/>
    </row>
    <row r="2349">
      <c r="P2349" s="42"/>
      <c r="AB2349" s="38"/>
    </row>
    <row r="2350">
      <c r="P2350" s="42"/>
      <c r="AB2350" s="38"/>
    </row>
    <row r="2351">
      <c r="P2351" s="42"/>
      <c r="AB2351" s="38"/>
    </row>
    <row r="2352">
      <c r="P2352" s="42"/>
      <c r="AB2352" s="38"/>
    </row>
    <row r="2353">
      <c r="P2353" s="42"/>
      <c r="AB2353" s="38"/>
    </row>
    <row r="2354">
      <c r="P2354" s="42"/>
      <c r="AB2354" s="38"/>
    </row>
    <row r="2355">
      <c r="P2355" s="42"/>
      <c r="AB2355" s="38"/>
    </row>
    <row r="2356">
      <c r="P2356" s="42"/>
      <c r="AB2356" s="38"/>
    </row>
    <row r="2357">
      <c r="P2357" s="42"/>
      <c r="AB2357" s="38"/>
    </row>
    <row r="2358">
      <c r="P2358" s="42"/>
      <c r="AB2358" s="38"/>
    </row>
    <row r="2359">
      <c r="P2359" s="42"/>
      <c r="AB2359" s="38"/>
    </row>
    <row r="2360">
      <c r="P2360" s="42"/>
      <c r="AB2360" s="38"/>
    </row>
    <row r="2361">
      <c r="P2361" s="42"/>
      <c r="AB2361" s="38"/>
    </row>
    <row r="2362">
      <c r="P2362" s="42"/>
      <c r="AB2362" s="38"/>
    </row>
    <row r="2363">
      <c r="P2363" s="42"/>
      <c r="AB2363" s="38"/>
    </row>
    <row r="2364">
      <c r="P2364" s="42"/>
      <c r="AB2364" s="38"/>
    </row>
    <row r="2365">
      <c r="P2365" s="42"/>
      <c r="AB2365" s="38"/>
    </row>
    <row r="2366">
      <c r="P2366" s="42"/>
      <c r="AB2366" s="38"/>
    </row>
    <row r="2367">
      <c r="P2367" s="42"/>
      <c r="AB2367" s="38"/>
    </row>
    <row r="2368">
      <c r="P2368" s="42"/>
      <c r="AB2368" s="38"/>
    </row>
    <row r="2369">
      <c r="P2369" s="42"/>
      <c r="AB2369" s="38"/>
    </row>
    <row r="2370">
      <c r="P2370" s="42"/>
      <c r="AB2370" s="38"/>
    </row>
    <row r="2371">
      <c r="P2371" s="42"/>
      <c r="AB2371" s="38"/>
    </row>
    <row r="2372">
      <c r="P2372" s="42"/>
      <c r="AB2372" s="38"/>
    </row>
    <row r="2373">
      <c r="P2373" s="42"/>
      <c r="AB2373" s="38"/>
    </row>
    <row r="2374">
      <c r="P2374" s="42"/>
      <c r="AB2374" s="38"/>
    </row>
    <row r="2375">
      <c r="P2375" s="42"/>
      <c r="AB2375" s="38"/>
    </row>
    <row r="2376">
      <c r="P2376" s="42"/>
      <c r="AB2376" s="38"/>
    </row>
    <row r="2377">
      <c r="P2377" s="42"/>
      <c r="AB2377" s="38"/>
    </row>
    <row r="2378">
      <c r="P2378" s="42"/>
      <c r="AB2378" s="38"/>
    </row>
    <row r="2379">
      <c r="P2379" s="42"/>
      <c r="AB2379" s="38"/>
    </row>
    <row r="2380">
      <c r="P2380" s="42"/>
      <c r="AB2380" s="38"/>
    </row>
    <row r="2381">
      <c r="P2381" s="42"/>
      <c r="AB2381" s="38"/>
    </row>
    <row r="2382">
      <c r="P2382" s="42"/>
      <c r="AB2382" s="38"/>
    </row>
    <row r="2383">
      <c r="P2383" s="42"/>
      <c r="AB2383" s="38"/>
    </row>
    <row r="2384">
      <c r="P2384" s="42"/>
      <c r="AB2384" s="38"/>
    </row>
    <row r="2385">
      <c r="P2385" s="42"/>
      <c r="AB2385" s="38"/>
    </row>
    <row r="2386">
      <c r="P2386" s="42"/>
      <c r="AB2386" s="38"/>
    </row>
    <row r="2387">
      <c r="P2387" s="42"/>
      <c r="AB2387" s="38"/>
    </row>
    <row r="2388">
      <c r="P2388" s="42"/>
      <c r="AB2388" s="38"/>
    </row>
    <row r="2389">
      <c r="P2389" s="42"/>
      <c r="AB2389" s="38"/>
    </row>
    <row r="2390">
      <c r="P2390" s="42"/>
      <c r="AB2390" s="38"/>
    </row>
    <row r="2391">
      <c r="P2391" s="42"/>
      <c r="AB2391" s="38"/>
    </row>
    <row r="2392">
      <c r="P2392" s="42"/>
      <c r="AB2392" s="38"/>
    </row>
    <row r="2393">
      <c r="P2393" s="42"/>
      <c r="AB2393" s="38"/>
    </row>
    <row r="2394">
      <c r="P2394" s="42"/>
      <c r="AB2394" s="38"/>
    </row>
    <row r="2395">
      <c r="P2395" s="42"/>
      <c r="AB2395" s="38"/>
    </row>
    <row r="2396">
      <c r="P2396" s="42"/>
      <c r="AB2396" s="38"/>
    </row>
    <row r="2397">
      <c r="P2397" s="42"/>
      <c r="AB2397" s="38"/>
    </row>
    <row r="2398">
      <c r="P2398" s="42"/>
      <c r="AB2398" s="38"/>
    </row>
    <row r="2399">
      <c r="P2399" s="42"/>
      <c r="AB2399" s="38"/>
    </row>
    <row r="2400">
      <c r="P2400" s="42"/>
      <c r="AB2400" s="38"/>
    </row>
    <row r="2401">
      <c r="P2401" s="42"/>
      <c r="AB2401" s="38"/>
    </row>
    <row r="2402">
      <c r="P2402" s="42"/>
      <c r="AB2402" s="38"/>
    </row>
    <row r="2403">
      <c r="P2403" s="42"/>
      <c r="AB2403" s="38"/>
    </row>
    <row r="2404">
      <c r="P2404" s="42"/>
      <c r="AB2404" s="38"/>
    </row>
    <row r="2405">
      <c r="P2405" s="42"/>
      <c r="AB2405" s="38"/>
    </row>
    <row r="2406">
      <c r="P2406" s="42"/>
      <c r="AB2406" s="38"/>
    </row>
    <row r="2407">
      <c r="P2407" s="42"/>
      <c r="AB2407" s="38"/>
    </row>
    <row r="2408">
      <c r="P2408" s="42"/>
      <c r="AB2408" s="38"/>
    </row>
    <row r="2409">
      <c r="P2409" s="42"/>
      <c r="AB2409" s="38"/>
    </row>
    <row r="2410">
      <c r="P2410" s="42"/>
      <c r="AB2410" s="38"/>
    </row>
    <row r="2411">
      <c r="P2411" s="42"/>
      <c r="AB2411" s="38"/>
    </row>
    <row r="2412">
      <c r="P2412" s="42"/>
      <c r="AB2412" s="38"/>
    </row>
    <row r="2413">
      <c r="P2413" s="42"/>
      <c r="AB2413" s="38"/>
    </row>
    <row r="2414">
      <c r="P2414" s="42"/>
      <c r="AB2414" s="38"/>
    </row>
    <row r="2415">
      <c r="P2415" s="42"/>
      <c r="AB2415" s="38"/>
    </row>
    <row r="2416">
      <c r="P2416" s="42"/>
      <c r="AB2416" s="38"/>
    </row>
    <row r="2417">
      <c r="P2417" s="42"/>
      <c r="AB2417" s="38"/>
    </row>
    <row r="2418">
      <c r="P2418" s="42"/>
      <c r="AB2418" s="38"/>
    </row>
    <row r="2419">
      <c r="P2419" s="42"/>
      <c r="AB2419" s="38"/>
    </row>
    <row r="2420">
      <c r="P2420" s="42"/>
      <c r="AB2420" s="38"/>
    </row>
    <row r="2421">
      <c r="P2421" s="42"/>
      <c r="AB2421" s="38"/>
    </row>
    <row r="2422">
      <c r="P2422" s="42"/>
      <c r="AB2422" s="38"/>
    </row>
    <row r="2423">
      <c r="P2423" s="42"/>
      <c r="AB2423" s="38"/>
    </row>
    <row r="2424">
      <c r="P2424" s="42"/>
      <c r="AB2424" s="38"/>
    </row>
    <row r="2425">
      <c r="P2425" s="42"/>
      <c r="AB2425" s="38"/>
    </row>
    <row r="2426">
      <c r="P2426" s="42"/>
      <c r="AB2426" s="38"/>
    </row>
    <row r="2427">
      <c r="P2427" s="42"/>
      <c r="AB2427" s="38"/>
    </row>
    <row r="2428">
      <c r="P2428" s="42"/>
      <c r="AB2428" s="38"/>
    </row>
    <row r="2429">
      <c r="P2429" s="42"/>
      <c r="AB2429" s="38"/>
    </row>
    <row r="2430">
      <c r="P2430" s="42"/>
      <c r="AB2430" s="38"/>
    </row>
    <row r="2431">
      <c r="P2431" s="42"/>
      <c r="AB2431" s="38"/>
    </row>
    <row r="2432">
      <c r="P2432" s="42"/>
      <c r="AB2432" s="38"/>
    </row>
    <row r="2433">
      <c r="P2433" s="42"/>
      <c r="AB2433" s="38"/>
    </row>
    <row r="2434">
      <c r="P2434" s="42"/>
      <c r="AB2434" s="38"/>
    </row>
    <row r="2435">
      <c r="P2435" s="42"/>
      <c r="AB2435" s="38"/>
    </row>
    <row r="2436">
      <c r="P2436" s="42"/>
      <c r="AB2436" s="38"/>
    </row>
    <row r="2437">
      <c r="P2437" s="42"/>
      <c r="AB2437" s="38"/>
    </row>
    <row r="2438">
      <c r="P2438" s="42"/>
      <c r="AB2438" s="38"/>
    </row>
    <row r="2439">
      <c r="P2439" s="42"/>
      <c r="AB2439" s="38"/>
    </row>
    <row r="2440">
      <c r="P2440" s="42"/>
      <c r="AB2440" s="38"/>
    </row>
    <row r="2441">
      <c r="P2441" s="42"/>
      <c r="AB2441" s="38"/>
    </row>
    <row r="2442">
      <c r="P2442" s="42"/>
      <c r="AB2442" s="38"/>
    </row>
    <row r="2443">
      <c r="P2443" s="42"/>
      <c r="AB2443" s="38"/>
    </row>
    <row r="2444">
      <c r="P2444" s="42"/>
      <c r="AB2444" s="38"/>
    </row>
    <row r="2445">
      <c r="P2445" s="42"/>
      <c r="AB2445" s="38"/>
    </row>
    <row r="2446">
      <c r="P2446" s="42"/>
      <c r="AB2446" s="38"/>
    </row>
    <row r="2447">
      <c r="P2447" s="42"/>
      <c r="AB2447" s="38"/>
    </row>
    <row r="2448">
      <c r="P2448" s="42"/>
      <c r="AB2448" s="38"/>
    </row>
    <row r="2449">
      <c r="P2449" s="42"/>
      <c r="AB2449" s="38"/>
    </row>
    <row r="2450">
      <c r="P2450" s="42"/>
      <c r="AB2450" s="38"/>
    </row>
    <row r="2451">
      <c r="P2451" s="42"/>
      <c r="AB2451" s="38"/>
    </row>
    <row r="2452">
      <c r="P2452" s="42"/>
      <c r="AB2452" s="38"/>
    </row>
    <row r="2453">
      <c r="P2453" s="42"/>
      <c r="AB2453" s="38"/>
    </row>
    <row r="2454">
      <c r="P2454" s="42"/>
      <c r="AB2454" s="38"/>
    </row>
    <row r="2455">
      <c r="P2455" s="42"/>
      <c r="AB2455" s="38"/>
    </row>
    <row r="2456">
      <c r="P2456" s="42"/>
      <c r="AB2456" s="38"/>
    </row>
    <row r="2457">
      <c r="P2457" s="42"/>
      <c r="AB2457" s="38"/>
    </row>
    <row r="2458">
      <c r="P2458" s="42"/>
      <c r="AB2458" s="38"/>
    </row>
    <row r="2459">
      <c r="P2459" s="42"/>
      <c r="AB2459" s="38"/>
    </row>
    <row r="2460">
      <c r="P2460" s="42"/>
      <c r="AB2460" s="38"/>
    </row>
    <row r="2461">
      <c r="P2461" s="42"/>
      <c r="AB2461" s="38"/>
    </row>
    <row r="2462">
      <c r="P2462" s="42"/>
      <c r="AB2462" s="38"/>
    </row>
    <row r="2463">
      <c r="P2463" s="42"/>
      <c r="AB2463" s="38"/>
    </row>
    <row r="2464">
      <c r="P2464" s="42"/>
      <c r="AB2464" s="38"/>
    </row>
    <row r="2465">
      <c r="P2465" s="42"/>
      <c r="AB2465" s="38"/>
    </row>
    <row r="2466">
      <c r="P2466" s="42"/>
      <c r="AB2466" s="38"/>
    </row>
    <row r="2467">
      <c r="P2467" s="42"/>
      <c r="AB2467" s="38"/>
    </row>
    <row r="2468">
      <c r="P2468" s="42"/>
      <c r="AB2468" s="38"/>
    </row>
    <row r="2469">
      <c r="P2469" s="42"/>
      <c r="AB2469" s="38"/>
    </row>
    <row r="2470">
      <c r="P2470" s="42"/>
      <c r="AB2470" s="38"/>
    </row>
    <row r="2471">
      <c r="P2471" s="42"/>
      <c r="AB2471" s="38"/>
    </row>
    <row r="2472">
      <c r="P2472" s="42"/>
      <c r="AB2472" s="38"/>
    </row>
    <row r="2473">
      <c r="P2473" s="42"/>
      <c r="AB2473" s="38"/>
    </row>
    <row r="2474">
      <c r="P2474" s="42"/>
      <c r="AB2474" s="38"/>
    </row>
    <row r="2475">
      <c r="P2475" s="42"/>
      <c r="AB2475" s="38"/>
    </row>
    <row r="2476">
      <c r="P2476" s="42"/>
      <c r="AB2476" s="38"/>
    </row>
    <row r="2477">
      <c r="P2477" s="42"/>
      <c r="AB2477" s="38"/>
    </row>
    <row r="2478">
      <c r="P2478" s="42"/>
      <c r="AB2478" s="38"/>
    </row>
    <row r="2479">
      <c r="P2479" s="42"/>
      <c r="AB2479" s="38"/>
    </row>
    <row r="2480">
      <c r="P2480" s="42"/>
      <c r="AB2480" s="38"/>
    </row>
    <row r="2481">
      <c r="P2481" s="42"/>
      <c r="AB2481" s="38"/>
    </row>
    <row r="2482">
      <c r="P2482" s="42"/>
      <c r="AB2482" s="38"/>
    </row>
    <row r="2483">
      <c r="P2483" s="42"/>
      <c r="AB2483" s="38"/>
    </row>
    <row r="2484">
      <c r="P2484" s="42"/>
      <c r="AB2484" s="38"/>
    </row>
    <row r="2485">
      <c r="P2485" s="42"/>
      <c r="AB2485" s="38"/>
    </row>
    <row r="2486">
      <c r="P2486" s="42"/>
      <c r="AB2486" s="38"/>
    </row>
    <row r="2487">
      <c r="P2487" s="42"/>
      <c r="AB2487" s="38"/>
    </row>
    <row r="2488">
      <c r="P2488" s="42"/>
      <c r="AB2488" s="38"/>
    </row>
    <row r="2489">
      <c r="P2489" s="42"/>
      <c r="AB2489" s="38"/>
    </row>
    <row r="2490">
      <c r="P2490" s="42"/>
      <c r="AB2490" s="38"/>
    </row>
    <row r="2491">
      <c r="P2491" s="42"/>
      <c r="AB2491" s="38"/>
    </row>
    <row r="2492">
      <c r="P2492" s="42"/>
      <c r="AB2492" s="38"/>
    </row>
    <row r="2493">
      <c r="P2493" s="42"/>
      <c r="AB2493" s="38"/>
    </row>
    <row r="2494">
      <c r="P2494" s="42"/>
      <c r="AB2494" s="38"/>
    </row>
    <row r="2495">
      <c r="P2495" s="42"/>
      <c r="AB2495" s="38"/>
    </row>
    <row r="2496">
      <c r="P2496" s="42"/>
      <c r="AB2496" s="38"/>
    </row>
    <row r="2497">
      <c r="P2497" s="42"/>
      <c r="AB2497" s="38"/>
    </row>
    <row r="2498">
      <c r="P2498" s="42"/>
      <c r="AB2498" s="38"/>
    </row>
    <row r="2499">
      <c r="P2499" s="42"/>
      <c r="AB2499" s="38"/>
    </row>
    <row r="2500">
      <c r="P2500" s="42"/>
      <c r="AB2500" s="38"/>
    </row>
    <row r="2501">
      <c r="P2501" s="42"/>
      <c r="AB2501" s="38"/>
    </row>
    <row r="2502">
      <c r="P2502" s="42"/>
      <c r="AB2502" s="38"/>
    </row>
    <row r="2503">
      <c r="P2503" s="42"/>
      <c r="AB2503" s="38"/>
    </row>
    <row r="2504">
      <c r="P2504" s="42"/>
      <c r="AB2504" s="38"/>
    </row>
    <row r="2505">
      <c r="P2505" s="42"/>
      <c r="AB2505" s="38"/>
    </row>
    <row r="2506">
      <c r="P2506" s="42"/>
      <c r="AB2506" s="38"/>
    </row>
    <row r="2507">
      <c r="P2507" s="42"/>
      <c r="AB2507" s="38"/>
    </row>
    <row r="2508">
      <c r="P2508" s="42"/>
      <c r="AB2508" s="38"/>
    </row>
    <row r="2509">
      <c r="P2509" s="42"/>
      <c r="AB2509" s="38"/>
    </row>
    <row r="2510">
      <c r="P2510" s="42"/>
      <c r="AB2510" s="38"/>
    </row>
    <row r="2511">
      <c r="P2511" s="42"/>
      <c r="AB2511" s="38"/>
    </row>
    <row r="2512">
      <c r="P2512" s="42"/>
      <c r="AB2512" s="38"/>
    </row>
    <row r="2513">
      <c r="P2513" s="42"/>
      <c r="AB2513" s="38"/>
    </row>
    <row r="2514">
      <c r="P2514" s="42"/>
      <c r="AB2514" s="38"/>
    </row>
    <row r="2515">
      <c r="P2515" s="42"/>
      <c r="AB2515" s="38"/>
    </row>
    <row r="2516">
      <c r="P2516" s="42"/>
      <c r="AB2516" s="38"/>
    </row>
    <row r="2517">
      <c r="P2517" s="42"/>
      <c r="AB2517" s="38"/>
    </row>
    <row r="2518">
      <c r="P2518" s="42"/>
      <c r="AB2518" s="38"/>
    </row>
    <row r="2519">
      <c r="P2519" s="42"/>
      <c r="AB2519" s="38"/>
    </row>
    <row r="2520">
      <c r="P2520" s="42"/>
      <c r="AB2520" s="38"/>
    </row>
    <row r="2521">
      <c r="P2521" s="42"/>
      <c r="AB2521" s="38"/>
    </row>
    <row r="2522">
      <c r="P2522" s="42"/>
      <c r="AB2522" s="38"/>
    </row>
    <row r="2523">
      <c r="P2523" s="42"/>
      <c r="AB2523" s="38"/>
    </row>
    <row r="2524">
      <c r="P2524" s="42"/>
      <c r="AB2524" s="38"/>
    </row>
    <row r="2525">
      <c r="P2525" s="42"/>
      <c r="AB2525" s="38"/>
    </row>
    <row r="2526">
      <c r="P2526" s="42"/>
      <c r="AB2526" s="38"/>
    </row>
    <row r="2527">
      <c r="P2527" s="42"/>
      <c r="AB2527" s="38"/>
    </row>
    <row r="2528">
      <c r="P2528" s="42"/>
      <c r="AB2528" s="38"/>
    </row>
    <row r="2529">
      <c r="P2529" s="42"/>
      <c r="AB2529" s="38"/>
    </row>
    <row r="2530">
      <c r="P2530" s="42"/>
      <c r="AB2530" s="38"/>
    </row>
    <row r="2531">
      <c r="P2531" s="42"/>
      <c r="AB2531" s="38"/>
    </row>
    <row r="2532">
      <c r="P2532" s="42"/>
      <c r="AB2532" s="38"/>
    </row>
    <row r="2533">
      <c r="P2533" s="42"/>
      <c r="AB2533" s="38"/>
    </row>
    <row r="2534">
      <c r="P2534" s="42"/>
      <c r="AB2534" s="38"/>
    </row>
    <row r="2535">
      <c r="P2535" s="42"/>
      <c r="AB2535" s="38"/>
    </row>
    <row r="2536">
      <c r="P2536" s="42"/>
      <c r="AB2536" s="38"/>
    </row>
    <row r="2537">
      <c r="P2537" s="42"/>
      <c r="AB2537" s="38"/>
    </row>
    <row r="2538">
      <c r="P2538" s="42"/>
      <c r="AB2538" s="38"/>
    </row>
    <row r="2539">
      <c r="P2539" s="42"/>
      <c r="AB2539" s="38"/>
    </row>
    <row r="2540">
      <c r="P2540" s="42"/>
      <c r="AB2540" s="38"/>
    </row>
    <row r="2541">
      <c r="P2541" s="42"/>
      <c r="AB2541" s="38"/>
    </row>
    <row r="2542">
      <c r="P2542" s="42"/>
      <c r="AB2542" s="38"/>
    </row>
    <row r="2543">
      <c r="P2543" s="42"/>
      <c r="AB2543" s="38"/>
    </row>
    <row r="2544">
      <c r="P2544" s="42"/>
      <c r="AB2544" s="38"/>
    </row>
    <row r="2545">
      <c r="P2545" s="42"/>
      <c r="AB2545" s="38"/>
    </row>
    <row r="2546">
      <c r="P2546" s="42"/>
      <c r="AB2546" s="38"/>
    </row>
    <row r="2547">
      <c r="P2547" s="42"/>
      <c r="AB2547" s="38"/>
    </row>
    <row r="2548">
      <c r="P2548" s="42"/>
      <c r="AB2548" s="38"/>
    </row>
    <row r="2549">
      <c r="P2549" s="42"/>
      <c r="AB2549" s="38"/>
    </row>
    <row r="2550">
      <c r="P2550" s="42"/>
      <c r="AB2550" s="38"/>
    </row>
    <row r="2551">
      <c r="P2551" s="42"/>
      <c r="AB2551" s="38"/>
    </row>
    <row r="2552">
      <c r="P2552" s="42"/>
      <c r="AB2552" s="38"/>
    </row>
    <row r="2553">
      <c r="P2553" s="42"/>
      <c r="AB2553" s="38"/>
    </row>
    <row r="2554">
      <c r="P2554" s="42"/>
      <c r="AB2554" s="38"/>
    </row>
    <row r="2555">
      <c r="P2555" s="42"/>
      <c r="AB2555" s="38"/>
    </row>
    <row r="2556">
      <c r="P2556" s="42"/>
      <c r="AB2556" s="38"/>
    </row>
    <row r="2557">
      <c r="P2557" s="42"/>
      <c r="AB2557" s="38"/>
    </row>
    <row r="2558">
      <c r="P2558" s="42"/>
      <c r="AB2558" s="38"/>
    </row>
    <row r="2559">
      <c r="P2559" s="42"/>
      <c r="AB2559" s="38"/>
    </row>
    <row r="2560">
      <c r="P2560" s="42"/>
      <c r="AB2560" s="38"/>
    </row>
    <row r="2561">
      <c r="P2561" s="42"/>
      <c r="AB2561" s="38"/>
    </row>
    <row r="2562">
      <c r="P2562" s="42"/>
      <c r="AB2562" s="38"/>
    </row>
    <row r="2563">
      <c r="P2563" s="42"/>
      <c r="AB2563" s="38"/>
    </row>
    <row r="2564">
      <c r="P2564" s="42"/>
      <c r="AB2564" s="38"/>
    </row>
    <row r="2565">
      <c r="P2565" s="42"/>
      <c r="AB2565" s="38"/>
    </row>
    <row r="2566">
      <c r="P2566" s="42"/>
      <c r="AB2566" s="38"/>
    </row>
    <row r="2567">
      <c r="P2567" s="42"/>
      <c r="AB2567" s="38"/>
    </row>
    <row r="2568">
      <c r="P2568" s="42"/>
      <c r="AB2568" s="38"/>
    </row>
    <row r="2569">
      <c r="P2569" s="42"/>
      <c r="AB2569" s="38"/>
    </row>
    <row r="2570">
      <c r="P2570" s="42"/>
      <c r="AB2570" s="38"/>
    </row>
    <row r="2571">
      <c r="P2571" s="42"/>
      <c r="AB2571" s="38"/>
    </row>
    <row r="2572">
      <c r="P2572" s="42"/>
      <c r="AB2572" s="38"/>
    </row>
    <row r="2573">
      <c r="P2573" s="42"/>
      <c r="AB2573" s="38"/>
    </row>
    <row r="2574">
      <c r="P2574" s="42"/>
      <c r="AB2574" s="38"/>
    </row>
    <row r="2575">
      <c r="P2575" s="42"/>
      <c r="AB2575" s="38"/>
    </row>
    <row r="2576">
      <c r="P2576" s="42"/>
      <c r="AB2576" s="38"/>
    </row>
    <row r="2577">
      <c r="P2577" s="42"/>
      <c r="AB2577" s="38"/>
    </row>
    <row r="2578">
      <c r="P2578" s="42"/>
      <c r="AB2578" s="38"/>
    </row>
    <row r="2579">
      <c r="P2579" s="42"/>
      <c r="AB2579" s="38"/>
    </row>
    <row r="2580">
      <c r="P2580" s="42"/>
      <c r="AB2580" s="38"/>
    </row>
    <row r="2581">
      <c r="P2581" s="42"/>
      <c r="AB2581" s="38"/>
    </row>
    <row r="2582">
      <c r="P2582" s="42"/>
      <c r="AB2582" s="38"/>
    </row>
    <row r="2583">
      <c r="P2583" s="42"/>
      <c r="AB2583" s="38"/>
    </row>
    <row r="2584">
      <c r="P2584" s="42"/>
      <c r="AB2584" s="38"/>
    </row>
    <row r="2585">
      <c r="P2585" s="42"/>
      <c r="AB2585" s="38"/>
    </row>
    <row r="2586">
      <c r="P2586" s="42"/>
      <c r="AB2586" s="38"/>
    </row>
    <row r="2587">
      <c r="P2587" s="42"/>
      <c r="AB2587" s="38"/>
    </row>
    <row r="2588">
      <c r="P2588" s="42"/>
      <c r="AB2588" s="38"/>
    </row>
    <row r="2589">
      <c r="P2589" s="42"/>
      <c r="AB2589" s="38"/>
    </row>
    <row r="2590">
      <c r="P2590" s="42"/>
      <c r="AB2590" s="38"/>
    </row>
    <row r="2591">
      <c r="P2591" s="42"/>
      <c r="AB2591" s="38"/>
    </row>
    <row r="2592">
      <c r="P2592" s="42"/>
      <c r="AB2592" s="38"/>
    </row>
    <row r="2593">
      <c r="P2593" s="42"/>
      <c r="AB2593" s="38"/>
    </row>
    <row r="2594">
      <c r="P2594" s="42"/>
      <c r="AB2594" s="38"/>
    </row>
    <row r="2595">
      <c r="P2595" s="42"/>
      <c r="AB2595" s="38"/>
    </row>
    <row r="2596">
      <c r="P2596" s="42"/>
      <c r="AB2596" s="38"/>
    </row>
    <row r="2597">
      <c r="P2597" s="42"/>
      <c r="AB2597" s="38"/>
    </row>
    <row r="2598">
      <c r="P2598" s="42"/>
      <c r="AB2598" s="38"/>
    </row>
    <row r="2599">
      <c r="P2599" s="42"/>
      <c r="AB2599" s="38"/>
    </row>
    <row r="2600">
      <c r="P2600" s="42"/>
      <c r="AB2600" s="38"/>
    </row>
    <row r="2601">
      <c r="P2601" s="42"/>
      <c r="AB2601" s="38"/>
    </row>
    <row r="2602">
      <c r="P2602" s="42"/>
      <c r="AB2602" s="38"/>
    </row>
    <row r="2603">
      <c r="P2603" s="42"/>
      <c r="AB2603" s="38"/>
    </row>
    <row r="2604">
      <c r="P2604" s="42"/>
      <c r="AB2604" s="38"/>
    </row>
    <row r="2605">
      <c r="P2605" s="42"/>
      <c r="AB2605" s="38"/>
    </row>
    <row r="2606">
      <c r="P2606" s="42"/>
      <c r="AB2606" s="38"/>
    </row>
    <row r="2607">
      <c r="P2607" s="42"/>
      <c r="AB2607" s="38"/>
    </row>
    <row r="2608">
      <c r="P2608" s="42"/>
      <c r="AB2608" s="38"/>
    </row>
    <row r="2609">
      <c r="P2609" s="42"/>
      <c r="AB2609" s="38"/>
    </row>
    <row r="2610">
      <c r="P2610" s="42"/>
      <c r="AB2610" s="38"/>
    </row>
    <row r="2611">
      <c r="P2611" s="42"/>
      <c r="AB2611" s="38"/>
    </row>
    <row r="2612">
      <c r="P2612" s="42"/>
      <c r="AB2612" s="38"/>
    </row>
    <row r="2613">
      <c r="P2613" s="42"/>
      <c r="AB2613" s="38"/>
    </row>
    <row r="2614">
      <c r="P2614" s="42"/>
      <c r="AB2614" s="38"/>
    </row>
    <row r="2615">
      <c r="P2615" s="42"/>
      <c r="AB2615" s="38"/>
    </row>
    <row r="2616">
      <c r="P2616" s="42"/>
      <c r="AB2616" s="38"/>
    </row>
    <row r="2617">
      <c r="P2617" s="42"/>
      <c r="AB2617" s="38"/>
    </row>
    <row r="2618">
      <c r="P2618" s="42"/>
      <c r="AB2618" s="38"/>
    </row>
    <row r="2619">
      <c r="P2619" s="42"/>
      <c r="AB2619" s="38"/>
    </row>
    <row r="2620">
      <c r="P2620" s="42"/>
      <c r="AB2620" s="38"/>
    </row>
    <row r="2621">
      <c r="P2621" s="42"/>
      <c r="AB2621" s="38"/>
    </row>
    <row r="2622">
      <c r="P2622" s="42"/>
      <c r="AB2622" s="38"/>
    </row>
    <row r="2623">
      <c r="P2623" s="42"/>
      <c r="AB2623" s="38"/>
    </row>
    <row r="2624">
      <c r="P2624" s="42"/>
      <c r="AB2624" s="38"/>
    </row>
    <row r="2625">
      <c r="P2625" s="42"/>
      <c r="AB2625" s="38"/>
    </row>
    <row r="2626">
      <c r="P2626" s="42"/>
      <c r="AB2626" s="38"/>
    </row>
    <row r="2627">
      <c r="P2627" s="42"/>
      <c r="AB2627" s="38"/>
    </row>
    <row r="2628">
      <c r="P2628" s="42"/>
      <c r="AB2628" s="38"/>
    </row>
    <row r="2629">
      <c r="P2629" s="42"/>
      <c r="AB2629" s="38"/>
    </row>
    <row r="2630">
      <c r="P2630" s="42"/>
      <c r="AB2630" s="38"/>
    </row>
    <row r="2631">
      <c r="P2631" s="42"/>
      <c r="AB2631" s="38"/>
    </row>
    <row r="2632">
      <c r="P2632" s="42"/>
      <c r="AB2632" s="38"/>
    </row>
    <row r="2633">
      <c r="P2633" s="42"/>
      <c r="AB2633" s="38"/>
    </row>
    <row r="2634">
      <c r="P2634" s="42"/>
      <c r="AB2634" s="38"/>
    </row>
    <row r="2635">
      <c r="P2635" s="42"/>
      <c r="AB2635" s="38"/>
    </row>
    <row r="2636">
      <c r="P2636" s="42"/>
      <c r="AB2636" s="38"/>
    </row>
    <row r="2637">
      <c r="P2637" s="42"/>
      <c r="AB2637" s="38"/>
    </row>
    <row r="2638">
      <c r="P2638" s="42"/>
      <c r="AB2638" s="38"/>
    </row>
    <row r="2639">
      <c r="P2639" s="42"/>
      <c r="AB2639" s="38"/>
    </row>
    <row r="2640">
      <c r="P2640" s="42"/>
      <c r="AB2640" s="38"/>
    </row>
    <row r="2641">
      <c r="P2641" s="42"/>
      <c r="AB2641" s="38"/>
    </row>
    <row r="2642">
      <c r="P2642" s="42"/>
      <c r="AB2642" s="38"/>
    </row>
    <row r="2643">
      <c r="P2643" s="42"/>
      <c r="AB2643" s="38"/>
    </row>
    <row r="2644">
      <c r="P2644" s="42"/>
      <c r="AB2644" s="38"/>
    </row>
    <row r="2645">
      <c r="P2645" s="42"/>
      <c r="AB2645" s="38"/>
    </row>
    <row r="2646">
      <c r="P2646" s="42"/>
      <c r="AB2646" s="38"/>
    </row>
    <row r="2647">
      <c r="P2647" s="42"/>
      <c r="AB2647" s="38"/>
    </row>
    <row r="2648">
      <c r="P2648" s="42"/>
      <c r="AB2648" s="38"/>
    </row>
    <row r="2649">
      <c r="P2649" s="42"/>
      <c r="AB2649" s="38"/>
    </row>
    <row r="2650">
      <c r="P2650" s="42"/>
      <c r="AB2650" s="38"/>
    </row>
    <row r="2651">
      <c r="P2651" s="42"/>
      <c r="AB2651" s="38"/>
    </row>
    <row r="2652">
      <c r="P2652" s="42"/>
      <c r="AB2652" s="38"/>
    </row>
    <row r="2653">
      <c r="P2653" s="42"/>
      <c r="AB2653" s="38"/>
    </row>
    <row r="2654">
      <c r="P2654" s="42"/>
      <c r="AB2654" s="38"/>
    </row>
    <row r="2655">
      <c r="P2655" s="42"/>
      <c r="AB2655" s="38"/>
    </row>
    <row r="2656">
      <c r="P2656" s="42"/>
      <c r="AB2656" s="38"/>
    </row>
    <row r="2657">
      <c r="P2657" s="42"/>
      <c r="AB2657" s="38"/>
    </row>
    <row r="2658">
      <c r="P2658" s="42"/>
      <c r="AB2658" s="38"/>
    </row>
    <row r="2659">
      <c r="P2659" s="42"/>
      <c r="AB2659" s="38"/>
    </row>
    <row r="2660">
      <c r="P2660" s="42"/>
      <c r="AB2660" s="38"/>
    </row>
    <row r="2661">
      <c r="P2661" s="42"/>
      <c r="AB2661" s="38"/>
    </row>
    <row r="2662">
      <c r="P2662" s="42"/>
      <c r="AB2662" s="38"/>
    </row>
    <row r="2663">
      <c r="P2663" s="42"/>
      <c r="AB2663" s="38"/>
    </row>
    <row r="2664">
      <c r="P2664" s="42"/>
      <c r="AB2664" s="38"/>
    </row>
    <row r="2665">
      <c r="P2665" s="42"/>
      <c r="AB2665" s="38"/>
    </row>
    <row r="2666">
      <c r="P2666" s="42"/>
      <c r="AB2666" s="38"/>
    </row>
    <row r="2667">
      <c r="P2667" s="42"/>
      <c r="AB2667" s="38"/>
    </row>
    <row r="2668">
      <c r="P2668" s="42"/>
      <c r="AB2668" s="38"/>
    </row>
    <row r="2669">
      <c r="P2669" s="42"/>
      <c r="AB2669" s="38"/>
    </row>
    <row r="2670">
      <c r="P2670" s="42"/>
      <c r="AB2670" s="38"/>
    </row>
    <row r="2671">
      <c r="P2671" s="42"/>
      <c r="AB2671" s="38"/>
    </row>
    <row r="2672">
      <c r="P2672" s="42"/>
      <c r="AB2672" s="38"/>
    </row>
    <row r="2673">
      <c r="P2673" s="42"/>
      <c r="AB2673" s="38"/>
    </row>
    <row r="2674">
      <c r="P2674" s="42"/>
      <c r="AB2674" s="38"/>
    </row>
    <row r="2675">
      <c r="P2675" s="42"/>
      <c r="AB2675" s="38"/>
    </row>
    <row r="2676">
      <c r="P2676" s="42"/>
      <c r="AB2676" s="38"/>
    </row>
    <row r="2677">
      <c r="P2677" s="42"/>
      <c r="AB2677" s="38"/>
    </row>
    <row r="2678">
      <c r="P2678" s="42"/>
      <c r="AB2678" s="38"/>
    </row>
    <row r="2679">
      <c r="P2679" s="42"/>
      <c r="AB2679" s="38"/>
    </row>
    <row r="2680">
      <c r="P2680" s="42"/>
      <c r="AB2680" s="38"/>
    </row>
    <row r="2681">
      <c r="P2681" s="42"/>
      <c r="AB2681" s="38"/>
    </row>
    <row r="2682">
      <c r="P2682" s="42"/>
      <c r="AB2682" s="38"/>
    </row>
    <row r="2683">
      <c r="P2683" s="42"/>
      <c r="AB2683" s="38"/>
    </row>
    <row r="2684">
      <c r="P2684" s="42"/>
      <c r="AB2684" s="38"/>
    </row>
    <row r="2685">
      <c r="P2685" s="42"/>
      <c r="AB2685" s="38"/>
    </row>
    <row r="2686">
      <c r="P2686" s="42"/>
      <c r="AB2686" s="38"/>
    </row>
    <row r="2687">
      <c r="P2687" s="42"/>
      <c r="AB2687" s="38"/>
    </row>
    <row r="2688">
      <c r="P2688" s="42"/>
      <c r="AB2688" s="38"/>
    </row>
    <row r="2689">
      <c r="P2689" s="42"/>
      <c r="AB2689" s="38"/>
    </row>
    <row r="2690">
      <c r="P2690" s="42"/>
      <c r="AB2690" s="38"/>
    </row>
    <row r="2691">
      <c r="P2691" s="42"/>
      <c r="AB2691" s="38"/>
    </row>
    <row r="2692">
      <c r="P2692" s="42"/>
      <c r="AB2692" s="38"/>
    </row>
    <row r="2693">
      <c r="P2693" s="42"/>
      <c r="AB2693" s="38"/>
    </row>
    <row r="2694">
      <c r="P2694" s="42"/>
      <c r="AB2694" s="38"/>
    </row>
    <row r="2695">
      <c r="P2695" s="42"/>
      <c r="AB2695" s="38"/>
    </row>
    <row r="2696">
      <c r="P2696" s="42"/>
      <c r="AB2696" s="38"/>
    </row>
    <row r="2697">
      <c r="P2697" s="42"/>
      <c r="AB2697" s="38"/>
    </row>
    <row r="2698">
      <c r="P2698" s="42"/>
      <c r="AB2698" s="38"/>
    </row>
    <row r="2699">
      <c r="P2699" s="42"/>
      <c r="AB2699" s="38"/>
    </row>
    <row r="2700">
      <c r="P2700" s="42"/>
      <c r="AB2700" s="38"/>
    </row>
    <row r="2701">
      <c r="P2701" s="42"/>
      <c r="AB2701" s="38"/>
    </row>
    <row r="2702">
      <c r="P2702" s="42"/>
      <c r="AB2702" s="38"/>
    </row>
    <row r="2703">
      <c r="P2703" s="42"/>
      <c r="AB2703" s="38"/>
    </row>
    <row r="2704">
      <c r="P2704" s="42"/>
      <c r="AB2704" s="38"/>
    </row>
    <row r="2705">
      <c r="P2705" s="42"/>
      <c r="AB2705" s="38"/>
    </row>
    <row r="2706">
      <c r="P2706" s="42"/>
      <c r="AB2706" s="38"/>
    </row>
    <row r="2707">
      <c r="P2707" s="42"/>
      <c r="AB2707" s="38"/>
    </row>
    <row r="2708">
      <c r="P2708" s="42"/>
      <c r="AB2708" s="38"/>
    </row>
    <row r="2709">
      <c r="P2709" s="42"/>
      <c r="AB2709" s="38"/>
    </row>
    <row r="2710">
      <c r="P2710" s="42"/>
      <c r="AB2710" s="38"/>
    </row>
    <row r="2711">
      <c r="P2711" s="42"/>
      <c r="AB2711" s="38"/>
    </row>
    <row r="2712">
      <c r="P2712" s="42"/>
      <c r="AB2712" s="38"/>
    </row>
    <row r="2713">
      <c r="P2713" s="42"/>
      <c r="AB2713" s="38"/>
    </row>
    <row r="2714">
      <c r="P2714" s="42"/>
      <c r="AB2714" s="38"/>
    </row>
    <row r="2715">
      <c r="P2715" s="42"/>
      <c r="AB2715" s="38"/>
    </row>
    <row r="2716">
      <c r="P2716" s="42"/>
      <c r="AB2716" s="38"/>
    </row>
    <row r="2717">
      <c r="P2717" s="42"/>
      <c r="AB2717" s="38"/>
    </row>
    <row r="2718">
      <c r="P2718" s="42"/>
      <c r="AB2718" s="38"/>
    </row>
    <row r="2719">
      <c r="P2719" s="42"/>
      <c r="AB2719" s="38"/>
    </row>
    <row r="2720">
      <c r="P2720" s="42"/>
      <c r="AB2720" s="38"/>
    </row>
    <row r="2721">
      <c r="P2721" s="42"/>
      <c r="AB2721" s="38"/>
    </row>
    <row r="2722">
      <c r="P2722" s="42"/>
      <c r="AB2722" s="38"/>
    </row>
    <row r="2723">
      <c r="P2723" s="42"/>
      <c r="AB2723" s="38"/>
    </row>
    <row r="2724">
      <c r="P2724" s="42"/>
      <c r="AB2724" s="38"/>
    </row>
    <row r="2725">
      <c r="P2725" s="42"/>
      <c r="AB2725" s="38"/>
    </row>
    <row r="2726">
      <c r="P2726" s="42"/>
      <c r="AB2726" s="38"/>
    </row>
    <row r="2727">
      <c r="P2727" s="42"/>
      <c r="AB2727" s="38"/>
    </row>
    <row r="2728">
      <c r="P2728" s="42"/>
      <c r="AB2728" s="38"/>
    </row>
    <row r="2729">
      <c r="P2729" s="42"/>
      <c r="AB2729" s="38"/>
    </row>
    <row r="2730">
      <c r="P2730" s="42"/>
      <c r="AB2730" s="38"/>
    </row>
    <row r="2731">
      <c r="P2731" s="42"/>
      <c r="AB2731" s="38"/>
    </row>
    <row r="2732">
      <c r="P2732" s="42"/>
      <c r="AB2732" s="38"/>
    </row>
    <row r="2733">
      <c r="P2733" s="42"/>
      <c r="AB2733" s="38"/>
    </row>
    <row r="2734">
      <c r="P2734" s="42"/>
      <c r="AB2734" s="38"/>
    </row>
    <row r="2735">
      <c r="P2735" s="42"/>
      <c r="AB2735" s="38"/>
    </row>
    <row r="2736">
      <c r="P2736" s="42"/>
      <c r="AB2736" s="38"/>
    </row>
    <row r="2737">
      <c r="P2737" s="42"/>
      <c r="AB2737" s="38"/>
    </row>
    <row r="2738">
      <c r="P2738" s="42"/>
      <c r="AB2738" s="38"/>
    </row>
    <row r="2739">
      <c r="P2739" s="42"/>
      <c r="AB2739" s="38"/>
    </row>
    <row r="2740">
      <c r="P2740" s="42"/>
      <c r="AB2740" s="38"/>
    </row>
    <row r="2741">
      <c r="P2741" s="42"/>
      <c r="AB2741" s="38"/>
    </row>
    <row r="2742">
      <c r="P2742" s="42"/>
      <c r="AB2742" s="38"/>
    </row>
    <row r="2743">
      <c r="P2743" s="42"/>
      <c r="AB2743" s="38"/>
    </row>
    <row r="2744">
      <c r="P2744" s="42"/>
      <c r="AB2744" s="38"/>
    </row>
    <row r="2745">
      <c r="P2745" s="42"/>
      <c r="AB2745" s="38"/>
    </row>
    <row r="2746">
      <c r="P2746" s="42"/>
      <c r="AB2746" s="38"/>
    </row>
    <row r="2747">
      <c r="P2747" s="42"/>
      <c r="AB2747" s="38"/>
    </row>
    <row r="2748">
      <c r="P2748" s="42"/>
      <c r="AB2748" s="38"/>
    </row>
    <row r="2749">
      <c r="P2749" s="42"/>
      <c r="AB2749" s="38"/>
    </row>
    <row r="2750">
      <c r="P2750" s="42"/>
      <c r="AB2750" s="38"/>
    </row>
    <row r="2751">
      <c r="P2751" s="42"/>
      <c r="AB2751" s="38"/>
    </row>
    <row r="2752">
      <c r="P2752" s="42"/>
      <c r="AB2752" s="38"/>
    </row>
    <row r="2753">
      <c r="P2753" s="42"/>
      <c r="AB2753" s="38"/>
    </row>
    <row r="2754">
      <c r="P2754" s="42"/>
      <c r="AB2754" s="38"/>
    </row>
    <row r="2755">
      <c r="P2755" s="42"/>
      <c r="AB2755" s="38"/>
    </row>
    <row r="2756">
      <c r="P2756" s="42"/>
      <c r="AB2756" s="38"/>
    </row>
    <row r="2757">
      <c r="P2757" s="42"/>
      <c r="AB2757" s="38"/>
    </row>
    <row r="2758">
      <c r="P2758" s="42"/>
      <c r="AB2758" s="38"/>
    </row>
    <row r="2759">
      <c r="P2759" s="42"/>
      <c r="AB2759" s="38"/>
    </row>
    <row r="2760">
      <c r="P2760" s="42"/>
      <c r="AB2760" s="38"/>
    </row>
    <row r="2761">
      <c r="P2761" s="42"/>
      <c r="AB2761" s="38"/>
    </row>
    <row r="2762">
      <c r="P2762" s="42"/>
      <c r="AB2762" s="38"/>
    </row>
    <row r="2763">
      <c r="P2763" s="42"/>
      <c r="AB2763" s="38"/>
    </row>
    <row r="2764">
      <c r="P2764" s="42"/>
      <c r="AB2764" s="38"/>
    </row>
    <row r="2765">
      <c r="P2765" s="42"/>
      <c r="AB2765" s="38"/>
    </row>
    <row r="2766">
      <c r="P2766" s="42"/>
      <c r="AB2766" s="38"/>
    </row>
    <row r="2767">
      <c r="P2767" s="42"/>
      <c r="AB2767" s="38"/>
    </row>
    <row r="2768">
      <c r="P2768" s="42"/>
      <c r="AB2768" s="38"/>
    </row>
    <row r="2769">
      <c r="P2769" s="42"/>
      <c r="AB2769" s="38"/>
    </row>
    <row r="2770">
      <c r="P2770" s="42"/>
      <c r="AB2770" s="38"/>
    </row>
    <row r="2771">
      <c r="P2771" s="42"/>
      <c r="AB2771" s="38"/>
    </row>
    <row r="2772">
      <c r="P2772" s="42"/>
      <c r="AB2772" s="38"/>
    </row>
    <row r="2773">
      <c r="P2773" s="42"/>
      <c r="AB2773" s="38"/>
    </row>
    <row r="2774">
      <c r="P2774" s="42"/>
      <c r="AB2774" s="38"/>
    </row>
    <row r="2775">
      <c r="P2775" s="42"/>
      <c r="AB2775" s="38"/>
    </row>
    <row r="2776">
      <c r="P2776" s="42"/>
      <c r="AB2776" s="38"/>
    </row>
    <row r="2777">
      <c r="P2777" s="42"/>
      <c r="AB2777" s="38"/>
    </row>
    <row r="2778">
      <c r="P2778" s="42"/>
      <c r="AB2778" s="38"/>
    </row>
    <row r="2779">
      <c r="P2779" s="42"/>
      <c r="AB2779" s="38"/>
    </row>
    <row r="2780">
      <c r="P2780" s="42"/>
      <c r="AB2780" s="38"/>
    </row>
    <row r="2781">
      <c r="P2781" s="42"/>
      <c r="AB2781" s="38"/>
    </row>
    <row r="2782">
      <c r="P2782" s="42"/>
      <c r="AB2782" s="38"/>
    </row>
    <row r="2783">
      <c r="P2783" s="42"/>
      <c r="AB2783" s="38"/>
    </row>
    <row r="2784">
      <c r="P2784" s="42"/>
      <c r="AB2784" s="38"/>
    </row>
    <row r="2785">
      <c r="P2785" s="42"/>
      <c r="AB2785" s="38"/>
    </row>
    <row r="2786">
      <c r="P2786" s="42"/>
      <c r="AB2786" s="38"/>
    </row>
    <row r="2787">
      <c r="P2787" s="42"/>
      <c r="AB2787" s="38"/>
    </row>
    <row r="2788">
      <c r="P2788" s="42"/>
      <c r="AB2788" s="38"/>
    </row>
    <row r="2789">
      <c r="P2789" s="42"/>
      <c r="AB2789" s="38"/>
    </row>
    <row r="2790">
      <c r="P2790" s="42"/>
      <c r="AB2790" s="38"/>
    </row>
    <row r="2791">
      <c r="P2791" s="42"/>
      <c r="AB2791" s="38"/>
    </row>
    <row r="2792">
      <c r="P2792" s="42"/>
      <c r="AB2792" s="38"/>
    </row>
    <row r="2793">
      <c r="P2793" s="42"/>
      <c r="AB2793" s="38"/>
    </row>
    <row r="2794">
      <c r="P2794" s="42"/>
      <c r="AB2794" s="38"/>
    </row>
    <row r="2795">
      <c r="P2795" s="42"/>
      <c r="AB2795" s="38"/>
    </row>
    <row r="2796">
      <c r="P2796" s="42"/>
      <c r="AB2796" s="38"/>
    </row>
    <row r="2797">
      <c r="P2797" s="42"/>
      <c r="AB2797" s="38"/>
    </row>
    <row r="2798">
      <c r="P2798" s="42"/>
      <c r="AB2798" s="38"/>
    </row>
    <row r="2799">
      <c r="P2799" s="42"/>
      <c r="AB2799" s="38"/>
    </row>
    <row r="2800">
      <c r="P2800" s="42"/>
      <c r="AB2800" s="38"/>
    </row>
    <row r="2801">
      <c r="P2801" s="42"/>
      <c r="AB2801" s="38"/>
    </row>
    <row r="2802">
      <c r="P2802" s="42"/>
      <c r="AB2802" s="38"/>
    </row>
    <row r="2803">
      <c r="P2803" s="42"/>
      <c r="AB2803" s="38"/>
    </row>
    <row r="2804">
      <c r="P2804" s="42"/>
      <c r="AB2804" s="38"/>
    </row>
    <row r="2805">
      <c r="P2805" s="42"/>
      <c r="AB2805" s="38"/>
    </row>
    <row r="2806">
      <c r="P2806" s="42"/>
      <c r="AB2806" s="38"/>
    </row>
    <row r="2807">
      <c r="P2807" s="42"/>
      <c r="AB2807" s="38"/>
    </row>
    <row r="2808">
      <c r="P2808" s="42"/>
      <c r="AB2808" s="38"/>
    </row>
    <row r="2809">
      <c r="P2809" s="42"/>
      <c r="AB2809" s="38"/>
    </row>
    <row r="2810">
      <c r="P2810" s="42"/>
      <c r="AB2810" s="38"/>
    </row>
    <row r="2811">
      <c r="P2811" s="42"/>
      <c r="AB2811" s="38"/>
    </row>
    <row r="2812">
      <c r="P2812" s="42"/>
      <c r="AB2812" s="38"/>
    </row>
    <row r="2813">
      <c r="P2813" s="42"/>
      <c r="AB2813" s="38"/>
    </row>
    <row r="2814">
      <c r="P2814" s="42"/>
      <c r="AB2814" s="38"/>
    </row>
    <row r="2815">
      <c r="P2815" s="42"/>
      <c r="AB2815" s="38"/>
    </row>
    <row r="2816">
      <c r="P2816" s="42"/>
      <c r="AB2816" s="38"/>
    </row>
    <row r="2817">
      <c r="P2817" s="42"/>
      <c r="AB2817" s="38"/>
    </row>
    <row r="2818">
      <c r="P2818" s="42"/>
      <c r="AB2818" s="38"/>
    </row>
    <row r="2819">
      <c r="P2819" s="42"/>
      <c r="AB2819" s="38"/>
    </row>
    <row r="2820">
      <c r="P2820" s="42"/>
      <c r="AB2820" s="38"/>
    </row>
    <row r="2821">
      <c r="P2821" s="42"/>
      <c r="AB2821" s="38"/>
    </row>
    <row r="2822">
      <c r="P2822" s="42"/>
      <c r="AB2822" s="38"/>
    </row>
    <row r="2823">
      <c r="P2823" s="42"/>
      <c r="AB2823" s="38"/>
    </row>
    <row r="2824">
      <c r="P2824" s="42"/>
      <c r="AB2824" s="38"/>
    </row>
    <row r="2825">
      <c r="P2825" s="42"/>
      <c r="AB2825" s="38"/>
    </row>
    <row r="2826">
      <c r="P2826" s="42"/>
      <c r="AB2826" s="38"/>
    </row>
    <row r="2827">
      <c r="P2827" s="42"/>
      <c r="AB2827" s="38"/>
    </row>
    <row r="2828">
      <c r="P2828" s="42"/>
      <c r="AB2828" s="38"/>
    </row>
    <row r="2829">
      <c r="P2829" s="42"/>
      <c r="AB2829" s="38"/>
    </row>
    <row r="2830">
      <c r="P2830" s="42"/>
      <c r="AB2830" s="38"/>
    </row>
    <row r="2831">
      <c r="P2831" s="42"/>
      <c r="AB2831" s="38"/>
    </row>
    <row r="2832">
      <c r="P2832" s="42"/>
      <c r="AB2832" s="38"/>
    </row>
    <row r="2833">
      <c r="P2833" s="42"/>
      <c r="AB2833" s="38"/>
    </row>
    <row r="2834">
      <c r="P2834" s="42"/>
      <c r="AB2834" s="38"/>
    </row>
    <row r="2835">
      <c r="P2835" s="42"/>
      <c r="AB2835" s="38"/>
    </row>
    <row r="2836">
      <c r="P2836" s="42"/>
      <c r="AB2836" s="38"/>
    </row>
    <row r="2837">
      <c r="P2837" s="42"/>
      <c r="AB2837" s="38"/>
    </row>
    <row r="2838">
      <c r="P2838" s="42"/>
      <c r="AB2838" s="38"/>
    </row>
    <row r="2839">
      <c r="P2839" s="42"/>
      <c r="AB2839" s="38"/>
    </row>
    <row r="2840">
      <c r="P2840" s="42"/>
      <c r="AB2840" s="38"/>
    </row>
    <row r="2841">
      <c r="P2841" s="42"/>
      <c r="AB2841" s="38"/>
    </row>
    <row r="2842">
      <c r="P2842" s="42"/>
      <c r="AB2842" s="38"/>
    </row>
    <row r="2843">
      <c r="P2843" s="42"/>
      <c r="AB2843" s="38"/>
    </row>
    <row r="2844">
      <c r="P2844" s="42"/>
      <c r="AB2844" s="38"/>
    </row>
    <row r="2845">
      <c r="P2845" s="42"/>
      <c r="AB2845" s="38"/>
    </row>
    <row r="2846">
      <c r="P2846" s="42"/>
      <c r="AB2846" s="38"/>
    </row>
    <row r="2847">
      <c r="P2847" s="42"/>
      <c r="AB2847" s="38"/>
    </row>
    <row r="2848">
      <c r="P2848" s="42"/>
      <c r="AB2848" s="38"/>
    </row>
    <row r="2849">
      <c r="P2849" s="42"/>
      <c r="AB2849" s="38"/>
    </row>
    <row r="2850">
      <c r="P2850" s="42"/>
      <c r="AB2850" s="38"/>
    </row>
    <row r="2851">
      <c r="P2851" s="42"/>
      <c r="AB2851" s="38"/>
    </row>
    <row r="2852">
      <c r="P2852" s="42"/>
      <c r="AB2852" s="38"/>
    </row>
    <row r="2853">
      <c r="P2853" s="42"/>
      <c r="AB2853" s="38"/>
    </row>
    <row r="2854">
      <c r="P2854" s="42"/>
      <c r="AB2854" s="38"/>
    </row>
    <row r="2855">
      <c r="P2855" s="42"/>
      <c r="AB2855" s="38"/>
    </row>
    <row r="2856">
      <c r="P2856" s="42"/>
      <c r="AB2856" s="38"/>
    </row>
    <row r="2857">
      <c r="P2857" s="42"/>
      <c r="AB2857" s="38"/>
    </row>
    <row r="2858">
      <c r="P2858" s="42"/>
      <c r="AB2858" s="38"/>
    </row>
    <row r="2859">
      <c r="P2859" s="42"/>
      <c r="AB2859" s="38"/>
    </row>
    <row r="2860">
      <c r="P2860" s="42"/>
      <c r="AB2860" s="38"/>
    </row>
    <row r="2861">
      <c r="P2861" s="42"/>
      <c r="AB2861" s="38"/>
    </row>
    <row r="2862">
      <c r="P2862" s="42"/>
      <c r="AB2862" s="38"/>
    </row>
    <row r="2863">
      <c r="P2863" s="42"/>
      <c r="AB2863" s="38"/>
    </row>
    <row r="2864">
      <c r="P2864" s="42"/>
      <c r="AB2864" s="38"/>
    </row>
    <row r="2865">
      <c r="P2865" s="42"/>
      <c r="AB2865" s="38"/>
    </row>
    <row r="2866">
      <c r="P2866" s="42"/>
      <c r="AB2866" s="38"/>
    </row>
    <row r="2867">
      <c r="P2867" s="42"/>
      <c r="AB2867" s="38"/>
    </row>
    <row r="2868">
      <c r="P2868" s="42"/>
      <c r="AB2868" s="38"/>
    </row>
    <row r="2869">
      <c r="P2869" s="42"/>
      <c r="AB2869" s="38"/>
    </row>
    <row r="2870">
      <c r="P2870" s="42"/>
      <c r="AB2870" s="38"/>
    </row>
    <row r="2871">
      <c r="P2871" s="42"/>
      <c r="AB2871" s="38"/>
    </row>
    <row r="2872">
      <c r="P2872" s="42"/>
      <c r="AB2872" s="38"/>
    </row>
    <row r="2873">
      <c r="P2873" s="42"/>
      <c r="AB2873" s="38"/>
    </row>
    <row r="2874">
      <c r="P2874" s="42"/>
      <c r="AB2874" s="38"/>
    </row>
    <row r="2875">
      <c r="P2875" s="42"/>
      <c r="AB2875" s="38"/>
    </row>
    <row r="2876">
      <c r="P2876" s="42"/>
      <c r="AB2876" s="38"/>
    </row>
    <row r="2877">
      <c r="P2877" s="42"/>
      <c r="AB2877" s="38"/>
    </row>
    <row r="2878">
      <c r="P2878" s="42"/>
      <c r="AB2878" s="38"/>
    </row>
    <row r="2879">
      <c r="P2879" s="42"/>
      <c r="AB2879" s="38"/>
    </row>
    <row r="2880">
      <c r="P2880" s="42"/>
      <c r="AB2880" s="38"/>
    </row>
    <row r="2881">
      <c r="P2881" s="42"/>
      <c r="AB2881" s="38"/>
    </row>
    <row r="2882">
      <c r="P2882" s="42"/>
      <c r="AB2882" s="38"/>
    </row>
    <row r="2883">
      <c r="P2883" s="42"/>
      <c r="AB2883" s="38"/>
    </row>
    <row r="2884">
      <c r="P2884" s="42"/>
      <c r="AB2884" s="38"/>
    </row>
    <row r="2885">
      <c r="P2885" s="42"/>
      <c r="AB2885" s="38"/>
    </row>
    <row r="2886">
      <c r="P2886" s="42"/>
      <c r="AB2886" s="38"/>
    </row>
    <row r="2887">
      <c r="P2887" s="42"/>
      <c r="AB2887" s="38"/>
    </row>
    <row r="2888">
      <c r="P2888" s="42"/>
      <c r="AB2888" s="38"/>
    </row>
    <row r="2889">
      <c r="P2889" s="42"/>
      <c r="AB2889" s="38"/>
    </row>
    <row r="2890">
      <c r="P2890" s="42"/>
      <c r="AB2890" s="38"/>
    </row>
    <row r="2891">
      <c r="P2891" s="42"/>
      <c r="AB2891" s="38"/>
    </row>
    <row r="2892">
      <c r="P2892" s="42"/>
      <c r="AB2892" s="38"/>
    </row>
    <row r="2893">
      <c r="P2893" s="42"/>
      <c r="AB2893" s="38"/>
    </row>
    <row r="2894">
      <c r="P2894" s="42"/>
      <c r="AB2894" s="38"/>
    </row>
    <row r="2895">
      <c r="P2895" s="42"/>
      <c r="AB2895" s="38"/>
    </row>
    <row r="2896">
      <c r="P2896" s="42"/>
      <c r="AB2896" s="38"/>
    </row>
    <row r="2897">
      <c r="P2897" s="42"/>
      <c r="AB2897" s="38"/>
    </row>
    <row r="2898">
      <c r="P2898" s="42"/>
      <c r="AB2898" s="38"/>
    </row>
    <row r="2899">
      <c r="P2899" s="42"/>
      <c r="AB2899" s="38"/>
    </row>
    <row r="2900">
      <c r="P2900" s="42"/>
      <c r="AB2900" s="38"/>
    </row>
    <row r="2901">
      <c r="P2901" s="42"/>
      <c r="AB2901" s="38"/>
    </row>
    <row r="2902">
      <c r="P2902" s="42"/>
      <c r="AB2902" s="38"/>
    </row>
    <row r="2903">
      <c r="P2903" s="42"/>
      <c r="AB2903" s="38"/>
    </row>
    <row r="2904">
      <c r="P2904" s="42"/>
      <c r="AB2904" s="38"/>
    </row>
    <row r="2905">
      <c r="P2905" s="42"/>
      <c r="AB2905" s="38"/>
    </row>
    <row r="2906">
      <c r="P2906" s="42"/>
      <c r="AB2906" s="38"/>
    </row>
    <row r="2907">
      <c r="P2907" s="42"/>
      <c r="AB2907" s="38"/>
    </row>
    <row r="2908">
      <c r="P2908" s="42"/>
      <c r="AB2908" s="38"/>
    </row>
    <row r="2909">
      <c r="P2909" s="42"/>
      <c r="AB2909" s="38"/>
    </row>
    <row r="2910">
      <c r="P2910" s="42"/>
      <c r="AB2910" s="38"/>
    </row>
    <row r="2911">
      <c r="P2911" s="42"/>
      <c r="AB2911" s="38"/>
    </row>
    <row r="2912">
      <c r="P2912" s="42"/>
      <c r="AB2912" s="38"/>
    </row>
    <row r="2913">
      <c r="P2913" s="42"/>
      <c r="AB2913" s="38"/>
    </row>
    <row r="2914">
      <c r="P2914" s="42"/>
      <c r="AB2914" s="38"/>
    </row>
    <row r="2915">
      <c r="P2915" s="42"/>
      <c r="AB2915" s="38"/>
    </row>
    <row r="2916">
      <c r="P2916" s="42"/>
      <c r="AB2916" s="38"/>
    </row>
    <row r="2917">
      <c r="P2917" s="42"/>
      <c r="AB2917" s="38"/>
    </row>
    <row r="2918">
      <c r="P2918" s="42"/>
      <c r="AB2918" s="38"/>
    </row>
    <row r="2919">
      <c r="P2919" s="42"/>
      <c r="AB2919" s="38"/>
    </row>
    <row r="2920">
      <c r="P2920" s="42"/>
      <c r="AB2920" s="38"/>
    </row>
    <row r="2921">
      <c r="P2921" s="42"/>
      <c r="AB2921" s="38"/>
    </row>
    <row r="2922">
      <c r="P2922" s="42"/>
      <c r="AB2922" s="38"/>
    </row>
    <row r="2923">
      <c r="P2923" s="42"/>
      <c r="AB2923" s="38"/>
    </row>
    <row r="2924">
      <c r="P2924" s="42"/>
      <c r="AB2924" s="38"/>
    </row>
    <row r="2925">
      <c r="P2925" s="42"/>
      <c r="AB2925" s="38"/>
    </row>
    <row r="2926">
      <c r="P2926" s="42"/>
      <c r="AB2926" s="38"/>
    </row>
    <row r="2927">
      <c r="P2927" s="42"/>
      <c r="AB2927" s="38"/>
    </row>
    <row r="2928">
      <c r="P2928" s="42"/>
      <c r="AB2928" s="38"/>
    </row>
    <row r="2929">
      <c r="P2929" s="42"/>
      <c r="AB2929" s="38"/>
    </row>
    <row r="2930">
      <c r="P2930" s="42"/>
      <c r="AB2930" s="38"/>
    </row>
    <row r="2931">
      <c r="P2931" s="42"/>
      <c r="AB2931" s="38"/>
    </row>
    <row r="2932">
      <c r="P2932" s="42"/>
      <c r="AB2932" s="38"/>
    </row>
    <row r="2933">
      <c r="P2933" s="42"/>
      <c r="AB2933" s="38"/>
    </row>
    <row r="2934">
      <c r="P2934" s="42"/>
      <c r="AB2934" s="38"/>
    </row>
    <row r="2935">
      <c r="P2935" s="42"/>
      <c r="AB2935" s="38"/>
    </row>
    <row r="2936">
      <c r="P2936" s="42"/>
      <c r="AB2936" s="38"/>
    </row>
    <row r="2937">
      <c r="P2937" s="42"/>
      <c r="AB2937" s="38"/>
    </row>
    <row r="2938">
      <c r="P2938" s="42"/>
      <c r="AB2938" s="38"/>
    </row>
    <row r="2939">
      <c r="P2939" s="42"/>
      <c r="AB2939" s="38"/>
    </row>
    <row r="2940">
      <c r="P2940" s="42"/>
      <c r="AB2940" s="38"/>
    </row>
    <row r="2941">
      <c r="P2941" s="42"/>
      <c r="AB2941" s="38"/>
    </row>
    <row r="2942">
      <c r="P2942" s="42"/>
      <c r="AB2942" s="38"/>
    </row>
    <row r="2943">
      <c r="P2943" s="42"/>
      <c r="AB2943" s="38"/>
    </row>
    <row r="2944">
      <c r="P2944" s="42"/>
      <c r="AB2944" s="38"/>
    </row>
    <row r="2945">
      <c r="P2945" s="42"/>
      <c r="AB2945" s="38"/>
    </row>
    <row r="2946">
      <c r="P2946" s="42"/>
      <c r="AB2946" s="38"/>
    </row>
    <row r="2947">
      <c r="P2947" s="42"/>
      <c r="AB2947" s="38"/>
    </row>
    <row r="2948">
      <c r="P2948" s="42"/>
      <c r="AB2948" s="38"/>
    </row>
    <row r="2949">
      <c r="P2949" s="42"/>
      <c r="AB2949" s="38"/>
    </row>
    <row r="2950">
      <c r="P2950" s="42"/>
      <c r="AB2950" s="38"/>
    </row>
    <row r="2951">
      <c r="P2951" s="42"/>
      <c r="AB2951" s="38"/>
    </row>
    <row r="2952">
      <c r="P2952" s="42"/>
      <c r="AB2952" s="38"/>
    </row>
    <row r="2953">
      <c r="P2953" s="42"/>
      <c r="AB2953" s="38"/>
    </row>
    <row r="2954">
      <c r="P2954" s="42"/>
      <c r="AB2954" s="38"/>
    </row>
    <row r="2955">
      <c r="P2955" s="42"/>
      <c r="AB2955" s="38"/>
    </row>
    <row r="2956">
      <c r="P2956" s="42"/>
      <c r="AB2956" s="38"/>
    </row>
    <row r="2957">
      <c r="P2957" s="42"/>
      <c r="AB2957" s="38"/>
    </row>
    <row r="2958">
      <c r="P2958" s="42"/>
      <c r="AB2958" s="38"/>
    </row>
    <row r="2959">
      <c r="P2959" s="42"/>
      <c r="AB2959" s="38"/>
    </row>
    <row r="2960">
      <c r="P2960" s="42"/>
      <c r="AB2960" s="38"/>
    </row>
    <row r="2961">
      <c r="P2961" s="42"/>
      <c r="AB2961" s="38"/>
    </row>
    <row r="2962">
      <c r="P2962" s="42"/>
      <c r="AB2962" s="38"/>
    </row>
    <row r="2963">
      <c r="P2963" s="42"/>
      <c r="AB2963" s="38"/>
    </row>
    <row r="2964">
      <c r="P2964" s="42"/>
      <c r="AB2964" s="38"/>
    </row>
    <row r="2965">
      <c r="P2965" s="42"/>
      <c r="AB2965" s="38"/>
    </row>
    <row r="2966">
      <c r="P2966" s="42"/>
      <c r="AB2966" s="38"/>
    </row>
    <row r="2967">
      <c r="P2967" s="42"/>
      <c r="AB2967" s="38"/>
    </row>
    <row r="2968">
      <c r="P2968" s="42"/>
      <c r="AB2968" s="38"/>
    </row>
    <row r="2969">
      <c r="P2969" s="42"/>
      <c r="AB2969" s="38"/>
    </row>
    <row r="2970">
      <c r="P2970" s="42"/>
      <c r="AB2970" s="38"/>
    </row>
    <row r="2971">
      <c r="P2971" s="42"/>
      <c r="AB2971" s="38"/>
    </row>
    <row r="2972">
      <c r="P2972" s="42"/>
      <c r="AB2972" s="38"/>
    </row>
    <row r="2973">
      <c r="P2973" s="42"/>
      <c r="AB2973" s="38"/>
    </row>
    <row r="2974">
      <c r="P2974" s="42"/>
      <c r="AB2974" s="38"/>
    </row>
    <row r="2975">
      <c r="P2975" s="42"/>
      <c r="AB2975" s="38"/>
    </row>
    <row r="2976">
      <c r="P2976" s="42"/>
      <c r="AB2976" s="38"/>
    </row>
    <row r="2977">
      <c r="P2977" s="42"/>
      <c r="AB2977" s="38"/>
    </row>
    <row r="2978">
      <c r="P2978" s="42"/>
      <c r="AB2978" s="38"/>
    </row>
    <row r="2979">
      <c r="P2979" s="42"/>
      <c r="AB2979" s="38"/>
    </row>
    <row r="2980">
      <c r="P2980" s="42"/>
      <c r="AB2980" s="38"/>
    </row>
    <row r="2981">
      <c r="P2981" s="42"/>
      <c r="AB2981" s="38"/>
    </row>
    <row r="2982">
      <c r="P2982" s="42"/>
      <c r="AB2982" s="38"/>
    </row>
    <row r="2983">
      <c r="P2983" s="42"/>
      <c r="AB2983" s="38"/>
    </row>
    <row r="2984">
      <c r="P2984" s="42"/>
      <c r="AB2984" s="38"/>
    </row>
    <row r="2985">
      <c r="P2985" s="42"/>
      <c r="AB2985" s="38"/>
    </row>
    <row r="2986">
      <c r="P2986" s="42"/>
      <c r="AB2986" s="38"/>
    </row>
    <row r="2987">
      <c r="P2987" s="42"/>
      <c r="AB2987" s="38"/>
    </row>
    <row r="2988">
      <c r="P2988" s="42"/>
      <c r="AB2988" s="38"/>
    </row>
    <row r="2989">
      <c r="P2989" s="42"/>
      <c r="AB2989" s="38"/>
    </row>
    <row r="2990">
      <c r="P2990" s="42"/>
      <c r="AB2990" s="38"/>
    </row>
    <row r="2991">
      <c r="P2991" s="42"/>
      <c r="AB2991" s="38"/>
    </row>
    <row r="2992">
      <c r="P2992" s="42"/>
      <c r="AB2992" s="38"/>
    </row>
    <row r="2993">
      <c r="P2993" s="42"/>
      <c r="AB2993" s="38"/>
    </row>
    <row r="2994">
      <c r="P2994" s="42"/>
      <c r="AB2994" s="38"/>
    </row>
    <row r="2995">
      <c r="P2995" s="42"/>
      <c r="AB2995" s="38"/>
    </row>
    <row r="2996">
      <c r="P2996" s="42"/>
      <c r="AB2996" s="38"/>
    </row>
    <row r="2997">
      <c r="P2997" s="42"/>
      <c r="AB2997" s="38"/>
    </row>
    <row r="2998">
      <c r="P2998" s="42"/>
      <c r="AB2998" s="38"/>
    </row>
    <row r="2999">
      <c r="P2999" s="42"/>
      <c r="AB2999" s="38"/>
    </row>
    <row r="3000">
      <c r="P3000" s="42"/>
      <c r="AB3000" s="38"/>
    </row>
    <row r="3001">
      <c r="P3001" s="42"/>
      <c r="AB3001" s="38"/>
    </row>
    <row r="3002">
      <c r="P3002" s="42"/>
      <c r="AB3002" s="38"/>
    </row>
    <row r="3003">
      <c r="P3003" s="42"/>
      <c r="AB3003" s="38"/>
    </row>
    <row r="3004">
      <c r="P3004" s="42"/>
      <c r="AB3004" s="38"/>
    </row>
    <row r="3005">
      <c r="P3005" s="42"/>
      <c r="AB3005" s="38"/>
    </row>
    <row r="3006">
      <c r="P3006" s="42"/>
      <c r="AB3006" s="38"/>
    </row>
    <row r="3007">
      <c r="P3007" s="42"/>
      <c r="AB3007" s="38"/>
    </row>
    <row r="3008">
      <c r="P3008" s="42"/>
      <c r="AB3008" s="38"/>
    </row>
    <row r="3009">
      <c r="P3009" s="42"/>
      <c r="AB3009" s="38"/>
    </row>
    <row r="3010">
      <c r="P3010" s="42"/>
      <c r="AB3010" s="38"/>
    </row>
    <row r="3011">
      <c r="P3011" s="42"/>
      <c r="AB3011" s="38"/>
    </row>
    <row r="3012">
      <c r="P3012" s="42"/>
      <c r="AB3012" s="38"/>
    </row>
    <row r="3013">
      <c r="P3013" s="42"/>
      <c r="AB3013" s="38"/>
    </row>
    <row r="3014">
      <c r="P3014" s="42"/>
      <c r="AB3014" s="38"/>
    </row>
    <row r="3015">
      <c r="P3015" s="42"/>
      <c r="AB3015" s="38"/>
    </row>
    <row r="3016">
      <c r="P3016" s="42"/>
      <c r="AB3016" s="38"/>
    </row>
    <row r="3017">
      <c r="P3017" s="42"/>
      <c r="AB3017" s="38"/>
    </row>
    <row r="3018">
      <c r="P3018" s="42"/>
      <c r="AB3018" s="38"/>
    </row>
    <row r="3019">
      <c r="P3019" s="42"/>
      <c r="AB3019" s="38"/>
    </row>
    <row r="3020">
      <c r="P3020" s="42"/>
      <c r="AB3020" s="38"/>
    </row>
    <row r="3021">
      <c r="P3021" s="42"/>
      <c r="AB3021" s="38"/>
    </row>
    <row r="3022">
      <c r="P3022" s="42"/>
      <c r="AB3022" s="38"/>
    </row>
    <row r="3023">
      <c r="P3023" s="42"/>
      <c r="AB3023" s="38"/>
    </row>
    <row r="3024">
      <c r="P3024" s="42"/>
      <c r="AB3024" s="38"/>
    </row>
    <row r="3025">
      <c r="P3025" s="42"/>
      <c r="AB3025" s="38"/>
    </row>
    <row r="3026">
      <c r="P3026" s="42"/>
      <c r="AB3026" s="38"/>
    </row>
    <row r="3027">
      <c r="P3027" s="42"/>
      <c r="AB3027" s="38"/>
    </row>
    <row r="3028">
      <c r="P3028" s="42"/>
      <c r="AB3028" s="38"/>
    </row>
    <row r="3029">
      <c r="P3029" s="42"/>
      <c r="AB3029" s="38"/>
    </row>
    <row r="3030">
      <c r="P3030" s="42"/>
      <c r="AB3030" s="38"/>
    </row>
    <row r="3031">
      <c r="P3031" s="42"/>
      <c r="AB3031" s="38"/>
    </row>
    <row r="3032">
      <c r="P3032" s="42"/>
      <c r="AB3032" s="38"/>
    </row>
    <row r="3033">
      <c r="P3033" s="42"/>
      <c r="AB3033" s="38"/>
    </row>
    <row r="3034">
      <c r="P3034" s="42"/>
      <c r="AB3034" s="38"/>
    </row>
    <row r="3035">
      <c r="P3035" s="42"/>
      <c r="AB3035" s="38"/>
    </row>
    <row r="3036">
      <c r="P3036" s="42"/>
      <c r="AB3036" s="38"/>
    </row>
    <row r="3037">
      <c r="P3037" s="42"/>
      <c r="AB3037" s="38"/>
    </row>
    <row r="3038">
      <c r="P3038" s="42"/>
      <c r="AB3038" s="38"/>
    </row>
    <row r="3039">
      <c r="P3039" s="42"/>
      <c r="AB3039" s="38"/>
    </row>
    <row r="3040">
      <c r="P3040" s="42"/>
      <c r="AB3040" s="38"/>
    </row>
    <row r="3041">
      <c r="P3041" s="42"/>
      <c r="AB3041" s="38"/>
    </row>
    <row r="3042">
      <c r="P3042" s="42"/>
      <c r="AB3042" s="38"/>
    </row>
    <row r="3043">
      <c r="P3043" s="42"/>
      <c r="AB3043" s="38"/>
    </row>
    <row r="3044">
      <c r="P3044" s="42"/>
      <c r="AB3044" s="38"/>
    </row>
    <row r="3045">
      <c r="P3045" s="42"/>
      <c r="AB3045" s="38"/>
    </row>
    <row r="3046">
      <c r="P3046" s="42"/>
      <c r="AB3046" s="38"/>
    </row>
    <row r="3047">
      <c r="P3047" s="42"/>
      <c r="AB3047" s="38"/>
    </row>
    <row r="3048">
      <c r="P3048" s="42"/>
      <c r="AB3048" s="38"/>
    </row>
    <row r="3049">
      <c r="P3049" s="42"/>
      <c r="AB3049" s="38"/>
    </row>
    <row r="3050">
      <c r="P3050" s="42"/>
      <c r="AB3050" s="38"/>
    </row>
    <row r="3051">
      <c r="P3051" s="42"/>
      <c r="AB3051" s="38"/>
    </row>
    <row r="3052">
      <c r="P3052" s="42"/>
      <c r="AB3052" s="38"/>
    </row>
    <row r="3053">
      <c r="P3053" s="42"/>
      <c r="AB3053" s="38"/>
    </row>
    <row r="3054">
      <c r="P3054" s="42"/>
      <c r="AB3054" s="38"/>
    </row>
    <row r="3055">
      <c r="P3055" s="42"/>
      <c r="AB3055" s="38"/>
    </row>
    <row r="3056">
      <c r="P3056" s="42"/>
      <c r="AB3056" s="38"/>
    </row>
    <row r="3057">
      <c r="P3057" s="42"/>
      <c r="AB3057" s="38"/>
    </row>
    <row r="3058">
      <c r="P3058" s="42"/>
      <c r="AB3058" s="38"/>
    </row>
    <row r="3059">
      <c r="P3059" s="42"/>
      <c r="AB3059" s="38"/>
    </row>
    <row r="3060">
      <c r="P3060" s="42"/>
      <c r="AB3060" s="38"/>
    </row>
    <row r="3061">
      <c r="P3061" s="42"/>
      <c r="AB3061" s="38"/>
    </row>
    <row r="3062">
      <c r="P3062" s="42"/>
      <c r="AB3062" s="38"/>
    </row>
    <row r="3063">
      <c r="P3063" s="42"/>
      <c r="AB3063" s="38"/>
    </row>
    <row r="3064">
      <c r="P3064" s="42"/>
      <c r="AB3064" s="38"/>
    </row>
    <row r="3065">
      <c r="P3065" s="42"/>
      <c r="AB3065" s="38"/>
    </row>
    <row r="3066">
      <c r="P3066" s="42"/>
      <c r="AB3066" s="38"/>
    </row>
    <row r="3067">
      <c r="P3067" s="42"/>
      <c r="AB3067" s="38"/>
    </row>
    <row r="3068">
      <c r="P3068" s="42"/>
      <c r="AB3068" s="38"/>
    </row>
    <row r="3069">
      <c r="P3069" s="42"/>
      <c r="AB3069" s="38"/>
    </row>
    <row r="3070">
      <c r="P3070" s="42"/>
      <c r="AB3070" s="38"/>
    </row>
    <row r="3071">
      <c r="P3071" s="42"/>
      <c r="AB3071" s="38"/>
    </row>
    <row r="3072">
      <c r="P3072" s="42"/>
      <c r="AB3072" s="38"/>
    </row>
    <row r="3073">
      <c r="P3073" s="42"/>
      <c r="AB3073" s="38"/>
    </row>
    <row r="3074">
      <c r="P3074" s="42"/>
      <c r="AB3074" s="38"/>
    </row>
    <row r="3075">
      <c r="P3075" s="42"/>
      <c r="AB3075" s="38"/>
    </row>
    <row r="3076">
      <c r="P3076" s="42"/>
      <c r="AB3076" s="38"/>
    </row>
    <row r="3077">
      <c r="P3077" s="42"/>
      <c r="AB3077" s="38"/>
    </row>
    <row r="3078">
      <c r="P3078" s="42"/>
      <c r="AB3078" s="38"/>
    </row>
    <row r="3079">
      <c r="P3079" s="42"/>
      <c r="AB3079" s="38"/>
    </row>
    <row r="3080">
      <c r="P3080" s="42"/>
      <c r="AB3080" s="38"/>
    </row>
    <row r="3081">
      <c r="P3081" s="42"/>
      <c r="AB3081" s="38"/>
    </row>
    <row r="3082">
      <c r="P3082" s="42"/>
      <c r="AB3082" s="38"/>
    </row>
    <row r="3083">
      <c r="P3083" s="42"/>
      <c r="AB3083" s="38"/>
    </row>
    <row r="3084">
      <c r="P3084" s="42"/>
      <c r="AB3084" s="38"/>
    </row>
    <row r="3085">
      <c r="P3085" s="42"/>
      <c r="AB3085" s="38"/>
    </row>
    <row r="3086">
      <c r="P3086" s="42"/>
      <c r="AB3086" s="38"/>
    </row>
    <row r="3087">
      <c r="P3087" s="42"/>
      <c r="AB3087" s="38"/>
    </row>
    <row r="3088">
      <c r="P3088" s="42"/>
      <c r="AB3088" s="38"/>
    </row>
    <row r="3089">
      <c r="P3089" s="42"/>
      <c r="AB3089" s="38"/>
    </row>
    <row r="3090">
      <c r="P3090" s="42"/>
      <c r="AB3090" s="38"/>
    </row>
    <row r="3091">
      <c r="P3091" s="42"/>
      <c r="AB3091" s="38"/>
    </row>
    <row r="3092">
      <c r="P3092" s="42"/>
      <c r="AB3092" s="38"/>
    </row>
    <row r="3093">
      <c r="P3093" s="42"/>
      <c r="AB3093" s="38"/>
    </row>
    <row r="3094">
      <c r="P3094" s="42"/>
      <c r="AB3094" s="38"/>
    </row>
    <row r="3095">
      <c r="P3095" s="42"/>
      <c r="AB3095" s="38"/>
    </row>
    <row r="3096">
      <c r="P3096" s="42"/>
      <c r="AB3096" s="38"/>
    </row>
    <row r="3097">
      <c r="P3097" s="42"/>
      <c r="AB3097" s="38"/>
    </row>
    <row r="3098">
      <c r="P3098" s="42"/>
      <c r="AB3098" s="38"/>
    </row>
    <row r="3099">
      <c r="P3099" s="42"/>
      <c r="AB3099" s="38"/>
    </row>
    <row r="3100">
      <c r="P3100" s="42"/>
      <c r="AB3100" s="38"/>
    </row>
    <row r="3101">
      <c r="P3101" s="42"/>
      <c r="AB3101" s="38"/>
    </row>
    <row r="3102">
      <c r="P3102" s="42"/>
      <c r="AB3102" s="38"/>
    </row>
    <row r="3103">
      <c r="P3103" s="42"/>
      <c r="AB3103" s="38"/>
    </row>
    <row r="3104">
      <c r="P3104" s="42"/>
      <c r="AB3104" s="38"/>
    </row>
    <row r="3105">
      <c r="P3105" s="42"/>
      <c r="AB3105" s="38"/>
    </row>
    <row r="3106">
      <c r="P3106" s="42"/>
      <c r="AB3106" s="38"/>
    </row>
    <row r="3107">
      <c r="P3107" s="42"/>
      <c r="AB3107" s="38"/>
    </row>
    <row r="3108">
      <c r="P3108" s="42"/>
      <c r="AB3108" s="38"/>
    </row>
    <row r="3109">
      <c r="P3109" s="42"/>
      <c r="AB3109" s="38"/>
    </row>
    <row r="3110">
      <c r="P3110" s="42"/>
      <c r="AB3110" s="38"/>
    </row>
    <row r="3111">
      <c r="P3111" s="42"/>
      <c r="AB3111" s="38"/>
    </row>
    <row r="3112">
      <c r="P3112" s="42"/>
      <c r="AB3112" s="38"/>
    </row>
    <row r="3113">
      <c r="P3113" s="42"/>
      <c r="AB3113" s="38"/>
    </row>
    <row r="3114">
      <c r="P3114" s="42"/>
      <c r="AB3114" s="38"/>
    </row>
    <row r="3115">
      <c r="P3115" s="42"/>
      <c r="AB3115" s="38"/>
    </row>
    <row r="3116">
      <c r="P3116" s="42"/>
      <c r="AB3116" s="38"/>
    </row>
    <row r="3117">
      <c r="P3117" s="42"/>
      <c r="AB3117" s="38"/>
    </row>
    <row r="3118">
      <c r="P3118" s="42"/>
      <c r="AB3118" s="38"/>
    </row>
    <row r="3119">
      <c r="P3119" s="42"/>
      <c r="AB3119" s="38"/>
    </row>
    <row r="3120">
      <c r="P3120" s="42"/>
      <c r="AB3120" s="38"/>
    </row>
    <row r="3121">
      <c r="P3121" s="42"/>
      <c r="AB3121" s="38"/>
    </row>
    <row r="3122">
      <c r="P3122" s="42"/>
      <c r="AB3122" s="38"/>
    </row>
    <row r="3123">
      <c r="P3123" s="42"/>
      <c r="AB3123" s="38"/>
    </row>
    <row r="3124">
      <c r="P3124" s="42"/>
      <c r="AB3124" s="38"/>
    </row>
    <row r="3125">
      <c r="P3125" s="42"/>
      <c r="AB3125" s="38"/>
    </row>
    <row r="3126">
      <c r="P3126" s="42"/>
      <c r="AB3126" s="38"/>
    </row>
    <row r="3127">
      <c r="P3127" s="42"/>
      <c r="AB3127" s="38"/>
    </row>
    <row r="3128">
      <c r="P3128" s="42"/>
      <c r="AB3128" s="38"/>
    </row>
    <row r="3129">
      <c r="P3129" s="42"/>
      <c r="AB3129" s="38"/>
    </row>
    <row r="3130">
      <c r="P3130" s="42"/>
      <c r="AB3130" s="38"/>
    </row>
    <row r="3131">
      <c r="P3131" s="42"/>
      <c r="AB3131" s="38"/>
    </row>
    <row r="3132">
      <c r="P3132" s="42"/>
      <c r="AB3132" s="38"/>
    </row>
    <row r="3133">
      <c r="P3133" s="42"/>
      <c r="AB3133" s="38"/>
    </row>
    <row r="3134">
      <c r="P3134" s="42"/>
      <c r="AB3134" s="38"/>
    </row>
    <row r="3135">
      <c r="P3135" s="42"/>
      <c r="AB3135" s="38"/>
    </row>
    <row r="3136">
      <c r="P3136" s="42"/>
      <c r="AB3136" s="38"/>
    </row>
    <row r="3137">
      <c r="P3137" s="42"/>
      <c r="AB3137" s="38"/>
    </row>
    <row r="3138">
      <c r="P3138" s="42"/>
      <c r="AB3138" s="38"/>
    </row>
    <row r="3139">
      <c r="P3139" s="42"/>
      <c r="AB3139" s="38"/>
    </row>
    <row r="3140">
      <c r="P3140" s="42"/>
      <c r="AB3140" s="38"/>
    </row>
    <row r="3141">
      <c r="P3141" s="42"/>
      <c r="AB3141" s="38"/>
    </row>
    <row r="3142">
      <c r="P3142" s="42"/>
      <c r="AB3142" s="38"/>
    </row>
    <row r="3143">
      <c r="P3143" s="42"/>
      <c r="AB3143" s="38"/>
    </row>
    <row r="3144">
      <c r="P3144" s="42"/>
      <c r="AB3144" s="38"/>
    </row>
    <row r="3145">
      <c r="P3145" s="42"/>
      <c r="AB3145" s="38"/>
    </row>
    <row r="3146">
      <c r="P3146" s="42"/>
      <c r="AB3146" s="38"/>
    </row>
    <row r="3147">
      <c r="P3147" s="42"/>
      <c r="AB3147" s="38"/>
    </row>
    <row r="3148">
      <c r="P3148" s="42"/>
      <c r="AB3148" s="38"/>
    </row>
    <row r="3149">
      <c r="P3149" s="42"/>
      <c r="AB3149" s="38"/>
    </row>
    <row r="3150">
      <c r="P3150" s="42"/>
      <c r="AB3150" s="38"/>
    </row>
    <row r="3151">
      <c r="P3151" s="42"/>
      <c r="AB3151" s="38"/>
    </row>
    <row r="3152">
      <c r="P3152" s="42"/>
      <c r="AB3152" s="38"/>
    </row>
    <row r="3153">
      <c r="P3153" s="42"/>
      <c r="AB3153" s="38"/>
    </row>
    <row r="3154">
      <c r="P3154" s="42"/>
      <c r="AB3154" s="38"/>
    </row>
    <row r="3155">
      <c r="P3155" s="42"/>
      <c r="AB3155" s="38"/>
    </row>
    <row r="3156">
      <c r="P3156" s="42"/>
      <c r="AB3156" s="38"/>
    </row>
    <row r="3157">
      <c r="P3157" s="42"/>
      <c r="AB3157" s="38"/>
    </row>
    <row r="3158">
      <c r="P3158" s="42"/>
      <c r="AB3158" s="38"/>
    </row>
    <row r="3159">
      <c r="P3159" s="42"/>
      <c r="AB3159" s="38"/>
    </row>
    <row r="3160">
      <c r="P3160" s="42"/>
      <c r="AB3160" s="38"/>
    </row>
    <row r="3161">
      <c r="P3161" s="42"/>
      <c r="AB3161" s="38"/>
    </row>
    <row r="3162">
      <c r="P3162" s="42"/>
      <c r="AB3162" s="38"/>
    </row>
    <row r="3163">
      <c r="P3163" s="42"/>
      <c r="AB3163" s="38"/>
    </row>
    <row r="3164">
      <c r="P3164" s="42"/>
      <c r="AB3164" s="38"/>
    </row>
    <row r="3165">
      <c r="P3165" s="42"/>
      <c r="AB3165" s="38"/>
    </row>
    <row r="3166">
      <c r="P3166" s="42"/>
      <c r="AB3166" s="38"/>
    </row>
    <row r="3167">
      <c r="P3167" s="42"/>
      <c r="AB3167" s="38"/>
    </row>
    <row r="3168">
      <c r="P3168" s="42"/>
      <c r="AB3168" s="38"/>
    </row>
    <row r="3169">
      <c r="P3169" s="42"/>
      <c r="AB3169" s="38"/>
    </row>
    <row r="3170">
      <c r="P3170" s="42"/>
      <c r="AB3170" s="38"/>
    </row>
    <row r="3171">
      <c r="P3171" s="42"/>
      <c r="AB3171" s="38"/>
    </row>
    <row r="3172">
      <c r="P3172" s="42"/>
      <c r="AB3172" s="38"/>
    </row>
    <row r="3173">
      <c r="P3173" s="42"/>
      <c r="AB3173" s="38"/>
    </row>
    <row r="3174">
      <c r="P3174" s="42"/>
      <c r="AB3174" s="38"/>
    </row>
    <row r="3175">
      <c r="P3175" s="42"/>
      <c r="AB3175" s="38"/>
    </row>
    <row r="3176">
      <c r="P3176" s="42"/>
      <c r="AB3176" s="38"/>
    </row>
    <row r="3177">
      <c r="P3177" s="42"/>
      <c r="AB3177" s="38"/>
    </row>
    <row r="3178">
      <c r="P3178" s="42"/>
      <c r="AB3178" s="38"/>
    </row>
    <row r="3179">
      <c r="P3179" s="42"/>
      <c r="AB3179" s="38"/>
    </row>
    <row r="3180">
      <c r="P3180" s="42"/>
      <c r="AB3180" s="38"/>
    </row>
    <row r="3181">
      <c r="P3181" s="42"/>
      <c r="AB3181" s="38"/>
    </row>
    <row r="3182">
      <c r="P3182" s="42"/>
      <c r="AB3182" s="38"/>
    </row>
    <row r="3183">
      <c r="P3183" s="42"/>
      <c r="AB3183" s="38"/>
    </row>
    <row r="3184">
      <c r="P3184" s="42"/>
      <c r="AB3184" s="38"/>
    </row>
    <row r="3185">
      <c r="P3185" s="42"/>
      <c r="AB3185" s="38"/>
    </row>
    <row r="3186">
      <c r="P3186" s="42"/>
      <c r="AB3186" s="38"/>
    </row>
    <row r="3187">
      <c r="P3187" s="42"/>
      <c r="AB3187" s="38"/>
    </row>
    <row r="3188">
      <c r="P3188" s="42"/>
      <c r="AB3188" s="38"/>
    </row>
    <row r="3189">
      <c r="P3189" s="42"/>
      <c r="AB3189" s="38"/>
    </row>
    <row r="3190">
      <c r="P3190" s="42"/>
      <c r="AB3190" s="38"/>
    </row>
    <row r="3191">
      <c r="P3191" s="42"/>
      <c r="AB3191" s="38"/>
    </row>
    <row r="3192">
      <c r="P3192" s="42"/>
      <c r="AB3192" s="38"/>
    </row>
    <row r="3193">
      <c r="P3193" s="42"/>
      <c r="AB3193" s="38"/>
    </row>
    <row r="3194">
      <c r="P3194" s="42"/>
      <c r="AB3194" s="38"/>
    </row>
    <row r="3195">
      <c r="P3195" s="42"/>
      <c r="AB3195" s="38"/>
    </row>
    <row r="3196">
      <c r="P3196" s="42"/>
      <c r="AB3196" s="38"/>
    </row>
    <row r="3197">
      <c r="P3197" s="42"/>
      <c r="AB3197" s="38"/>
    </row>
    <row r="3198">
      <c r="P3198" s="42"/>
      <c r="AB3198" s="38"/>
    </row>
    <row r="3199">
      <c r="P3199" s="42"/>
      <c r="AB3199" s="38"/>
    </row>
    <row r="3200">
      <c r="P3200" s="42"/>
      <c r="AB3200" s="38"/>
    </row>
    <row r="3201">
      <c r="P3201" s="42"/>
      <c r="AB3201" s="38"/>
    </row>
    <row r="3202">
      <c r="P3202" s="42"/>
      <c r="AB3202" s="38"/>
    </row>
    <row r="3203">
      <c r="P3203" s="42"/>
      <c r="AB3203" s="38"/>
    </row>
    <row r="3204">
      <c r="P3204" s="42"/>
      <c r="AB3204" s="38"/>
    </row>
    <row r="3205">
      <c r="P3205" s="42"/>
      <c r="AB3205" s="38"/>
    </row>
    <row r="3206">
      <c r="P3206" s="42"/>
      <c r="AB3206" s="38"/>
    </row>
    <row r="3207">
      <c r="P3207" s="42"/>
      <c r="AB3207" s="38"/>
    </row>
    <row r="3208">
      <c r="P3208" s="42"/>
      <c r="AB3208" s="38"/>
    </row>
    <row r="3209">
      <c r="P3209" s="42"/>
      <c r="AB3209" s="38"/>
    </row>
    <row r="3210">
      <c r="P3210" s="42"/>
      <c r="AB3210" s="38"/>
    </row>
    <row r="3211">
      <c r="P3211" s="42"/>
      <c r="AB3211" s="38"/>
    </row>
    <row r="3212">
      <c r="P3212" s="42"/>
      <c r="AB3212" s="38"/>
    </row>
    <row r="3213">
      <c r="P3213" s="42"/>
      <c r="AB3213" s="38"/>
    </row>
    <row r="3214">
      <c r="P3214" s="42"/>
      <c r="AB3214" s="38"/>
    </row>
    <row r="3215">
      <c r="P3215" s="42"/>
      <c r="AB3215" s="38"/>
    </row>
    <row r="3216">
      <c r="P3216" s="42"/>
      <c r="AB3216" s="38"/>
    </row>
    <row r="3217">
      <c r="P3217" s="42"/>
      <c r="AB3217" s="38"/>
    </row>
    <row r="3218">
      <c r="P3218" s="42"/>
      <c r="AB3218" s="38"/>
    </row>
    <row r="3219">
      <c r="P3219" s="42"/>
      <c r="AB3219" s="38"/>
    </row>
    <row r="3220">
      <c r="P3220" s="42"/>
      <c r="AB3220" s="38"/>
    </row>
    <row r="3221">
      <c r="P3221" s="42"/>
      <c r="AB3221" s="38"/>
    </row>
    <row r="3222">
      <c r="P3222" s="42"/>
      <c r="AB3222" s="38"/>
    </row>
    <row r="3223">
      <c r="P3223" s="42"/>
      <c r="AB3223" s="38"/>
    </row>
    <row r="3224">
      <c r="P3224" s="42"/>
      <c r="AB3224" s="38"/>
    </row>
    <row r="3225">
      <c r="P3225" s="42"/>
      <c r="AB3225" s="38"/>
    </row>
    <row r="3226">
      <c r="P3226" s="42"/>
      <c r="AB3226" s="38"/>
    </row>
    <row r="3227">
      <c r="P3227" s="42"/>
      <c r="AB3227" s="38"/>
    </row>
    <row r="3228">
      <c r="P3228" s="42"/>
      <c r="AB3228" s="38"/>
    </row>
    <row r="3229">
      <c r="P3229" s="42"/>
      <c r="AB3229" s="38"/>
    </row>
    <row r="3230">
      <c r="P3230" s="42"/>
      <c r="AB3230" s="38"/>
    </row>
    <row r="3231">
      <c r="P3231" s="42"/>
      <c r="AB3231" s="38"/>
    </row>
    <row r="3232">
      <c r="P3232" s="42"/>
      <c r="AB3232" s="38"/>
    </row>
    <row r="3233">
      <c r="P3233" s="42"/>
      <c r="AB3233" s="38"/>
    </row>
    <row r="3234">
      <c r="P3234" s="42"/>
      <c r="AB3234" s="38"/>
    </row>
    <row r="3235">
      <c r="P3235" s="42"/>
      <c r="AB3235" s="38"/>
    </row>
    <row r="3236">
      <c r="P3236" s="42"/>
      <c r="AB3236" s="38"/>
    </row>
    <row r="3237">
      <c r="P3237" s="42"/>
      <c r="AB3237" s="38"/>
    </row>
    <row r="3238">
      <c r="P3238" s="42"/>
      <c r="AB3238" s="38"/>
    </row>
    <row r="3239">
      <c r="P3239" s="42"/>
      <c r="AB3239" s="38"/>
    </row>
    <row r="3240">
      <c r="P3240" s="42"/>
      <c r="AB3240" s="38"/>
    </row>
    <row r="3241">
      <c r="P3241" s="42"/>
      <c r="AB3241" s="38"/>
    </row>
    <row r="3242">
      <c r="P3242" s="42"/>
      <c r="AB3242" s="38"/>
    </row>
    <row r="3243">
      <c r="P3243" s="42"/>
      <c r="AB3243" s="38"/>
    </row>
    <row r="3244">
      <c r="P3244" s="42"/>
      <c r="AB3244" s="38"/>
    </row>
    <row r="3245">
      <c r="P3245" s="42"/>
      <c r="AB3245" s="38"/>
    </row>
    <row r="3246">
      <c r="P3246" s="42"/>
      <c r="AB3246" s="38"/>
    </row>
    <row r="3247">
      <c r="P3247" s="42"/>
      <c r="AB3247" s="38"/>
    </row>
    <row r="3248">
      <c r="P3248" s="42"/>
      <c r="AB3248" s="38"/>
    </row>
    <row r="3249">
      <c r="P3249" s="42"/>
      <c r="AB3249" s="38"/>
    </row>
    <row r="3250">
      <c r="P3250" s="42"/>
      <c r="AB3250" s="38"/>
    </row>
    <row r="3251">
      <c r="P3251" s="42"/>
      <c r="AB3251" s="38"/>
    </row>
    <row r="3252">
      <c r="P3252" s="42"/>
      <c r="AB3252" s="38"/>
    </row>
    <row r="3253">
      <c r="P3253" s="42"/>
      <c r="AB3253" s="38"/>
    </row>
    <row r="3254">
      <c r="P3254" s="42"/>
      <c r="AB3254" s="38"/>
    </row>
    <row r="3255">
      <c r="P3255" s="42"/>
      <c r="AB3255" s="38"/>
    </row>
    <row r="3256">
      <c r="P3256" s="42"/>
      <c r="AB3256" s="38"/>
    </row>
    <row r="3257">
      <c r="P3257" s="42"/>
      <c r="AB3257" s="38"/>
    </row>
    <row r="3258">
      <c r="P3258" s="42"/>
      <c r="AB3258" s="38"/>
    </row>
    <row r="3259">
      <c r="P3259" s="42"/>
      <c r="AB3259" s="38"/>
    </row>
    <row r="3260">
      <c r="P3260" s="42"/>
      <c r="AB3260" s="38"/>
    </row>
    <row r="3261">
      <c r="P3261" s="42"/>
      <c r="AB3261" s="38"/>
    </row>
    <row r="3262">
      <c r="P3262" s="42"/>
      <c r="AB3262" s="38"/>
    </row>
    <row r="3263">
      <c r="P3263" s="42"/>
      <c r="AB3263" s="38"/>
    </row>
    <row r="3264">
      <c r="P3264" s="42"/>
      <c r="AB3264" s="38"/>
    </row>
    <row r="3265">
      <c r="P3265" s="42"/>
      <c r="AB3265" s="38"/>
    </row>
    <row r="3266">
      <c r="P3266" s="42"/>
      <c r="AB3266" s="38"/>
    </row>
    <row r="3267">
      <c r="P3267" s="42"/>
      <c r="AB3267" s="38"/>
    </row>
    <row r="3268">
      <c r="P3268" s="42"/>
      <c r="AB3268" s="38"/>
    </row>
    <row r="3269">
      <c r="P3269" s="42"/>
      <c r="AB3269" s="38"/>
    </row>
    <row r="3270">
      <c r="P3270" s="42"/>
      <c r="AB3270" s="38"/>
    </row>
    <row r="3271">
      <c r="P3271" s="42"/>
      <c r="AB3271" s="38"/>
    </row>
    <row r="3272">
      <c r="P3272" s="42"/>
      <c r="AB3272" s="38"/>
    </row>
    <row r="3273">
      <c r="P3273" s="42"/>
      <c r="AB3273" s="38"/>
    </row>
    <row r="3274">
      <c r="P3274" s="42"/>
      <c r="AB3274" s="38"/>
    </row>
    <row r="3275">
      <c r="P3275" s="42"/>
      <c r="AB3275" s="38"/>
    </row>
    <row r="3276">
      <c r="P3276" s="42"/>
      <c r="AB3276" s="38"/>
    </row>
    <row r="3277">
      <c r="P3277" s="42"/>
      <c r="AB3277" s="38"/>
    </row>
    <row r="3278">
      <c r="P3278" s="42"/>
      <c r="AB3278" s="38"/>
    </row>
    <row r="3279">
      <c r="P3279" s="42"/>
      <c r="AB3279" s="38"/>
    </row>
    <row r="3280">
      <c r="P3280" s="42"/>
      <c r="AB3280" s="38"/>
    </row>
    <row r="3281">
      <c r="P3281" s="42"/>
      <c r="AB3281" s="38"/>
    </row>
    <row r="3282">
      <c r="P3282" s="42"/>
      <c r="AB3282" s="38"/>
    </row>
    <row r="3283">
      <c r="P3283" s="42"/>
      <c r="AB3283" s="38"/>
    </row>
    <row r="3284">
      <c r="P3284" s="42"/>
      <c r="AB3284" s="38"/>
    </row>
    <row r="3285">
      <c r="P3285" s="42"/>
      <c r="AB3285" s="38"/>
    </row>
    <row r="3286">
      <c r="P3286" s="42"/>
      <c r="AB3286" s="38"/>
    </row>
    <row r="3287">
      <c r="P3287" s="42"/>
      <c r="AB3287" s="38"/>
    </row>
    <row r="3288">
      <c r="P3288" s="42"/>
      <c r="AB3288" s="38"/>
    </row>
    <row r="3289">
      <c r="P3289" s="42"/>
      <c r="AB3289" s="38"/>
    </row>
    <row r="3290">
      <c r="P3290" s="42"/>
      <c r="AB3290" s="38"/>
    </row>
    <row r="3291">
      <c r="P3291" s="42"/>
      <c r="AB3291" s="38"/>
    </row>
    <row r="3292">
      <c r="P3292" s="42"/>
      <c r="AB3292" s="38"/>
    </row>
    <row r="3293">
      <c r="P3293" s="42"/>
      <c r="AB3293" s="38"/>
    </row>
    <row r="3294">
      <c r="P3294" s="42"/>
      <c r="AB3294" s="38"/>
    </row>
    <row r="3295">
      <c r="P3295" s="42"/>
      <c r="AB3295" s="38"/>
    </row>
    <row r="3296">
      <c r="P3296" s="42"/>
      <c r="AB3296" s="38"/>
    </row>
    <row r="3297">
      <c r="P3297" s="42"/>
      <c r="AB3297" s="38"/>
    </row>
    <row r="3298">
      <c r="P3298" s="42"/>
      <c r="AB3298" s="38"/>
    </row>
    <row r="3299">
      <c r="P3299" s="42"/>
      <c r="AB3299" s="38"/>
    </row>
    <row r="3300">
      <c r="P3300" s="42"/>
      <c r="AB3300" s="38"/>
    </row>
    <row r="3301">
      <c r="P3301" s="42"/>
      <c r="AB3301" s="38"/>
    </row>
    <row r="3302">
      <c r="P3302" s="42"/>
      <c r="AB3302" s="38"/>
    </row>
    <row r="3303">
      <c r="P3303" s="42"/>
      <c r="AB3303" s="38"/>
    </row>
    <row r="3304">
      <c r="P3304" s="42"/>
      <c r="AB3304" s="38"/>
    </row>
    <row r="3305">
      <c r="P3305" s="42"/>
      <c r="AB3305" s="38"/>
    </row>
    <row r="3306">
      <c r="P3306" s="42"/>
      <c r="AB3306" s="38"/>
    </row>
    <row r="3307">
      <c r="P3307" s="42"/>
      <c r="AB3307" s="38"/>
    </row>
    <row r="3308">
      <c r="P3308" s="42"/>
      <c r="AB3308" s="38"/>
    </row>
    <row r="3309">
      <c r="P3309" s="42"/>
      <c r="AB3309" s="38"/>
    </row>
    <row r="3310">
      <c r="P3310" s="42"/>
      <c r="AB3310" s="38"/>
    </row>
    <row r="3311">
      <c r="P3311" s="42"/>
      <c r="AB3311" s="38"/>
    </row>
    <row r="3312">
      <c r="P3312" s="42"/>
      <c r="AB3312" s="38"/>
    </row>
    <row r="3313">
      <c r="P3313" s="42"/>
      <c r="AB3313" s="38"/>
    </row>
    <row r="3314">
      <c r="P3314" s="42"/>
      <c r="AB3314" s="38"/>
    </row>
    <row r="3315">
      <c r="P3315" s="42"/>
      <c r="AB3315" s="38"/>
    </row>
    <row r="3316">
      <c r="P3316" s="42"/>
      <c r="AB3316" s="38"/>
    </row>
    <row r="3317">
      <c r="P3317" s="42"/>
      <c r="AB3317" s="38"/>
    </row>
    <row r="3318">
      <c r="P3318" s="42"/>
      <c r="AB3318" s="38"/>
    </row>
    <row r="3319">
      <c r="P3319" s="42"/>
      <c r="AB3319" s="38"/>
    </row>
    <row r="3320">
      <c r="P3320" s="42"/>
      <c r="AB3320" s="38"/>
    </row>
    <row r="3321">
      <c r="P3321" s="42"/>
      <c r="AB3321" s="38"/>
    </row>
    <row r="3322">
      <c r="P3322" s="42"/>
      <c r="AB3322" s="38"/>
    </row>
    <row r="3323">
      <c r="P3323" s="42"/>
      <c r="AB3323" s="38"/>
    </row>
    <row r="3324">
      <c r="P3324" s="42"/>
      <c r="AB3324" s="38"/>
    </row>
    <row r="3325">
      <c r="P3325" s="42"/>
      <c r="AB3325" s="38"/>
    </row>
    <row r="3326">
      <c r="P3326" s="42"/>
      <c r="AB3326" s="38"/>
    </row>
    <row r="3327">
      <c r="P3327" s="42"/>
      <c r="AB3327" s="38"/>
    </row>
    <row r="3328">
      <c r="P3328" s="42"/>
      <c r="AB3328" s="38"/>
    </row>
    <row r="3329">
      <c r="P3329" s="42"/>
      <c r="AB3329" s="38"/>
    </row>
    <row r="3330">
      <c r="P3330" s="42"/>
      <c r="AB3330" s="38"/>
    </row>
    <row r="3331">
      <c r="P3331" s="42"/>
      <c r="AB3331" s="38"/>
    </row>
    <row r="3332">
      <c r="P3332" s="42"/>
      <c r="AB3332" s="38"/>
    </row>
    <row r="3333">
      <c r="P3333" s="42"/>
      <c r="AB3333" s="38"/>
    </row>
    <row r="3334">
      <c r="P3334" s="42"/>
      <c r="AB3334" s="38"/>
    </row>
    <row r="3335">
      <c r="P3335" s="42"/>
      <c r="AB3335" s="38"/>
    </row>
    <row r="3336">
      <c r="P3336" s="42"/>
      <c r="AB3336" s="38"/>
    </row>
    <row r="3337">
      <c r="P3337" s="42"/>
      <c r="AB3337" s="38"/>
    </row>
    <row r="3338">
      <c r="P3338" s="42"/>
      <c r="AB3338" s="38"/>
    </row>
    <row r="3339">
      <c r="P3339" s="42"/>
      <c r="AB3339" s="38"/>
    </row>
    <row r="3340">
      <c r="P3340" s="42"/>
      <c r="AB3340" s="38"/>
    </row>
    <row r="3341">
      <c r="P3341" s="42"/>
      <c r="AB3341" s="38"/>
    </row>
    <row r="3342">
      <c r="P3342" s="42"/>
      <c r="AB3342" s="38"/>
    </row>
    <row r="3343">
      <c r="P3343" s="42"/>
      <c r="AB3343" s="38"/>
    </row>
    <row r="3344">
      <c r="P3344" s="42"/>
      <c r="AB3344" s="38"/>
    </row>
    <row r="3345">
      <c r="P3345" s="42"/>
      <c r="AB3345" s="38"/>
    </row>
    <row r="3346">
      <c r="P3346" s="42"/>
      <c r="AB3346" s="38"/>
    </row>
    <row r="3347">
      <c r="P3347" s="42"/>
      <c r="AB3347" s="38"/>
    </row>
    <row r="3348">
      <c r="P3348" s="42"/>
      <c r="AB3348" s="38"/>
    </row>
    <row r="3349">
      <c r="P3349" s="42"/>
      <c r="AB3349" s="38"/>
    </row>
    <row r="3350">
      <c r="P3350" s="42"/>
      <c r="AB3350" s="38"/>
    </row>
    <row r="3351">
      <c r="P3351" s="42"/>
      <c r="AB3351" s="38"/>
    </row>
    <row r="3352">
      <c r="P3352" s="42"/>
      <c r="AB3352" s="38"/>
    </row>
    <row r="3353">
      <c r="P3353" s="42"/>
      <c r="AB3353" s="38"/>
    </row>
    <row r="3354">
      <c r="P3354" s="42"/>
      <c r="AB3354" s="38"/>
    </row>
    <row r="3355">
      <c r="P3355" s="42"/>
      <c r="AB3355" s="38"/>
    </row>
    <row r="3356">
      <c r="P3356" s="42"/>
      <c r="AB3356" s="38"/>
    </row>
    <row r="3357">
      <c r="P3357" s="42"/>
      <c r="AB3357" s="38"/>
    </row>
    <row r="3358">
      <c r="P3358" s="42"/>
      <c r="AB3358" s="38"/>
    </row>
    <row r="3359">
      <c r="P3359" s="42"/>
      <c r="AB3359" s="38"/>
    </row>
    <row r="3360">
      <c r="P3360" s="42"/>
      <c r="AB3360" s="38"/>
    </row>
    <row r="3361">
      <c r="P3361" s="42"/>
      <c r="AB3361" s="38"/>
    </row>
    <row r="3362">
      <c r="P3362" s="42"/>
      <c r="AB3362" s="38"/>
    </row>
    <row r="3363">
      <c r="P3363" s="42"/>
      <c r="AB3363" s="38"/>
    </row>
    <row r="3364">
      <c r="P3364" s="42"/>
      <c r="AB3364" s="38"/>
    </row>
    <row r="3365">
      <c r="P3365" s="42"/>
      <c r="AB3365" s="38"/>
    </row>
    <row r="3366">
      <c r="P3366" s="42"/>
      <c r="AB3366" s="38"/>
    </row>
    <row r="3367">
      <c r="P3367" s="42"/>
      <c r="AB3367" s="38"/>
    </row>
    <row r="3368">
      <c r="P3368" s="42"/>
      <c r="AB3368" s="38"/>
    </row>
    <row r="3369">
      <c r="P3369" s="42"/>
      <c r="AB3369" s="38"/>
    </row>
    <row r="3370">
      <c r="P3370" s="42"/>
      <c r="AB3370" s="38"/>
    </row>
    <row r="3371">
      <c r="P3371" s="42"/>
      <c r="AB3371" s="38"/>
    </row>
    <row r="3372">
      <c r="P3372" s="42"/>
      <c r="AB3372" s="38"/>
    </row>
    <row r="3373">
      <c r="P3373" s="42"/>
      <c r="AB3373" s="38"/>
    </row>
    <row r="3374">
      <c r="P3374" s="42"/>
      <c r="AB3374" s="38"/>
    </row>
    <row r="3375">
      <c r="P3375" s="42"/>
      <c r="AB3375" s="38"/>
    </row>
    <row r="3376">
      <c r="P3376" s="42"/>
      <c r="AB3376" s="38"/>
    </row>
    <row r="3377">
      <c r="P3377" s="42"/>
      <c r="AB3377" s="38"/>
    </row>
    <row r="3378">
      <c r="P3378" s="42"/>
      <c r="AB3378" s="38"/>
    </row>
    <row r="3379">
      <c r="P3379" s="42"/>
      <c r="AB3379" s="38"/>
    </row>
    <row r="3380">
      <c r="P3380" s="42"/>
      <c r="AB3380" s="38"/>
    </row>
    <row r="3381">
      <c r="P3381" s="42"/>
      <c r="AB3381" s="38"/>
    </row>
    <row r="3382">
      <c r="P3382" s="42"/>
      <c r="AB3382" s="38"/>
    </row>
    <row r="3383">
      <c r="P3383" s="42"/>
      <c r="AB3383" s="38"/>
    </row>
    <row r="3384">
      <c r="P3384" s="42"/>
      <c r="AB3384" s="38"/>
    </row>
    <row r="3385">
      <c r="P3385" s="42"/>
      <c r="AB3385" s="38"/>
    </row>
    <row r="3386">
      <c r="P3386" s="42"/>
      <c r="AB3386" s="38"/>
    </row>
    <row r="3387">
      <c r="P3387" s="42"/>
      <c r="AB3387" s="38"/>
    </row>
    <row r="3388">
      <c r="P3388" s="42"/>
      <c r="AB3388" s="38"/>
    </row>
    <row r="3389">
      <c r="P3389" s="42"/>
      <c r="AB3389" s="38"/>
    </row>
    <row r="3390">
      <c r="P3390" s="42"/>
      <c r="AB3390" s="38"/>
    </row>
    <row r="3391">
      <c r="P3391" s="42"/>
      <c r="AB3391" s="38"/>
    </row>
    <row r="3392">
      <c r="P3392" s="42"/>
      <c r="AB3392" s="38"/>
    </row>
    <row r="3393">
      <c r="P3393" s="42"/>
      <c r="AB3393" s="38"/>
    </row>
    <row r="3394">
      <c r="P3394" s="42"/>
      <c r="AB3394" s="38"/>
    </row>
    <row r="3395">
      <c r="P3395" s="42"/>
      <c r="AB3395" s="38"/>
    </row>
    <row r="3396">
      <c r="P3396" s="42"/>
      <c r="AB3396" s="38"/>
    </row>
    <row r="3397">
      <c r="P3397" s="42"/>
      <c r="AB3397" s="38"/>
    </row>
    <row r="3398">
      <c r="P3398" s="42"/>
      <c r="AB3398" s="38"/>
    </row>
    <row r="3399">
      <c r="P3399" s="42"/>
      <c r="AB3399" s="38"/>
    </row>
    <row r="3400">
      <c r="P3400" s="42"/>
      <c r="AB3400" s="38"/>
    </row>
    <row r="3401">
      <c r="P3401" s="42"/>
      <c r="AB3401" s="38"/>
    </row>
    <row r="3402">
      <c r="P3402" s="42"/>
      <c r="AB3402" s="38"/>
    </row>
    <row r="3403">
      <c r="P3403" s="42"/>
      <c r="AB3403" s="38"/>
    </row>
    <row r="3404">
      <c r="P3404" s="42"/>
      <c r="AB3404" s="38"/>
    </row>
    <row r="3405">
      <c r="P3405" s="42"/>
      <c r="AB3405" s="38"/>
    </row>
    <row r="3406">
      <c r="P3406" s="42"/>
      <c r="AB3406" s="38"/>
    </row>
    <row r="3407">
      <c r="P3407" s="42"/>
      <c r="AB3407" s="38"/>
    </row>
    <row r="3408">
      <c r="P3408" s="42"/>
      <c r="AB3408" s="38"/>
    </row>
    <row r="3409">
      <c r="P3409" s="42"/>
      <c r="AB3409" s="38"/>
    </row>
    <row r="3410">
      <c r="P3410" s="42"/>
      <c r="AB3410" s="38"/>
    </row>
    <row r="3411">
      <c r="P3411" s="42"/>
      <c r="AB3411" s="38"/>
    </row>
    <row r="3412">
      <c r="P3412" s="42"/>
      <c r="AB3412" s="38"/>
    </row>
    <row r="3413">
      <c r="P3413" s="42"/>
      <c r="AB3413" s="38"/>
    </row>
    <row r="3414">
      <c r="P3414" s="42"/>
      <c r="AB3414" s="38"/>
    </row>
    <row r="3415">
      <c r="P3415" s="42"/>
      <c r="AB3415" s="38"/>
    </row>
    <row r="3416">
      <c r="P3416" s="42"/>
      <c r="AB3416" s="38"/>
    </row>
    <row r="3417">
      <c r="P3417" s="42"/>
      <c r="AB3417" s="38"/>
    </row>
    <row r="3418">
      <c r="P3418" s="42"/>
      <c r="AB3418" s="38"/>
    </row>
    <row r="3419">
      <c r="P3419" s="42"/>
      <c r="AB3419" s="38"/>
    </row>
    <row r="3420">
      <c r="P3420" s="42"/>
      <c r="AB3420" s="38"/>
    </row>
    <row r="3421">
      <c r="P3421" s="42"/>
      <c r="AB3421" s="38"/>
    </row>
    <row r="3422">
      <c r="P3422" s="42"/>
      <c r="AB3422" s="38"/>
    </row>
    <row r="3423">
      <c r="P3423" s="42"/>
      <c r="AB3423" s="38"/>
    </row>
    <row r="3424">
      <c r="P3424" s="42"/>
      <c r="AB3424" s="38"/>
    </row>
    <row r="3425">
      <c r="P3425" s="42"/>
      <c r="AB3425" s="38"/>
    </row>
    <row r="3426">
      <c r="P3426" s="42"/>
      <c r="AB3426" s="38"/>
    </row>
    <row r="3427">
      <c r="P3427" s="42"/>
      <c r="AB3427" s="38"/>
    </row>
    <row r="3428">
      <c r="P3428" s="42"/>
      <c r="AB3428" s="38"/>
    </row>
    <row r="3429">
      <c r="P3429" s="42"/>
      <c r="AB3429" s="38"/>
    </row>
    <row r="3430">
      <c r="P3430" s="42"/>
      <c r="AB3430" s="38"/>
    </row>
    <row r="3431">
      <c r="P3431" s="42"/>
      <c r="AB3431" s="38"/>
    </row>
    <row r="3432">
      <c r="P3432" s="42"/>
      <c r="AB3432" s="38"/>
    </row>
    <row r="3433">
      <c r="P3433" s="42"/>
      <c r="AB3433" s="38"/>
    </row>
    <row r="3434">
      <c r="P3434" s="42"/>
      <c r="AB3434" s="38"/>
    </row>
    <row r="3435">
      <c r="P3435" s="42"/>
      <c r="AB3435" s="38"/>
    </row>
    <row r="3436">
      <c r="P3436" s="42"/>
      <c r="AB3436" s="38"/>
    </row>
    <row r="3437">
      <c r="P3437" s="42"/>
      <c r="AB3437" s="38"/>
    </row>
    <row r="3438">
      <c r="P3438" s="42"/>
      <c r="AB3438" s="38"/>
    </row>
    <row r="3439">
      <c r="P3439" s="42"/>
      <c r="AB3439" s="38"/>
    </row>
    <row r="3440">
      <c r="P3440" s="42"/>
      <c r="AB3440" s="38"/>
    </row>
    <row r="3441">
      <c r="P3441" s="42"/>
      <c r="AB3441" s="38"/>
    </row>
    <row r="3442">
      <c r="P3442" s="42"/>
      <c r="AB3442" s="38"/>
    </row>
    <row r="3443">
      <c r="P3443" s="42"/>
      <c r="AB3443" s="38"/>
    </row>
    <row r="3444">
      <c r="P3444" s="42"/>
      <c r="AB3444" s="38"/>
    </row>
    <row r="3445">
      <c r="P3445" s="42"/>
      <c r="AB3445" s="38"/>
    </row>
    <row r="3446">
      <c r="P3446" s="42"/>
      <c r="AB3446" s="38"/>
    </row>
    <row r="3447">
      <c r="P3447" s="42"/>
      <c r="AB3447" s="38"/>
    </row>
    <row r="3448">
      <c r="P3448" s="42"/>
      <c r="AB3448" s="38"/>
    </row>
    <row r="3449">
      <c r="P3449" s="42"/>
      <c r="AB3449" s="38"/>
    </row>
    <row r="3450">
      <c r="P3450" s="42"/>
      <c r="AB3450" s="38"/>
    </row>
    <row r="3451">
      <c r="P3451" s="42"/>
      <c r="AB3451" s="38"/>
    </row>
    <row r="3452">
      <c r="P3452" s="42"/>
      <c r="AB3452" s="38"/>
    </row>
    <row r="3453">
      <c r="P3453" s="42"/>
      <c r="AB3453" s="38"/>
    </row>
    <row r="3454">
      <c r="P3454" s="42"/>
      <c r="AB3454" s="38"/>
    </row>
    <row r="3455">
      <c r="P3455" s="42"/>
      <c r="AB3455" s="38"/>
    </row>
    <row r="3456">
      <c r="P3456" s="42"/>
      <c r="AB3456" s="38"/>
    </row>
    <row r="3457">
      <c r="P3457" s="42"/>
      <c r="AB3457" s="38"/>
    </row>
    <row r="3458">
      <c r="P3458" s="42"/>
      <c r="AB3458" s="38"/>
    </row>
    <row r="3459">
      <c r="P3459" s="42"/>
      <c r="AB3459" s="38"/>
    </row>
    <row r="3460">
      <c r="P3460" s="42"/>
      <c r="AB3460" s="38"/>
    </row>
    <row r="3461">
      <c r="P3461" s="42"/>
      <c r="AB3461" s="38"/>
    </row>
    <row r="3462">
      <c r="P3462" s="42"/>
      <c r="AB3462" s="38"/>
    </row>
    <row r="3463">
      <c r="P3463" s="42"/>
      <c r="AB3463" s="38"/>
    </row>
    <row r="3464">
      <c r="P3464" s="42"/>
      <c r="AB3464" s="38"/>
    </row>
    <row r="3465">
      <c r="P3465" s="42"/>
      <c r="AB3465" s="38"/>
    </row>
    <row r="3466">
      <c r="P3466" s="42"/>
      <c r="AB3466" s="38"/>
    </row>
    <row r="3467">
      <c r="P3467" s="42"/>
      <c r="AB3467" s="38"/>
    </row>
    <row r="3468">
      <c r="P3468" s="42"/>
      <c r="AB3468" s="38"/>
    </row>
    <row r="3469">
      <c r="P3469" s="42"/>
      <c r="AB3469" s="38"/>
    </row>
    <row r="3470">
      <c r="P3470" s="42"/>
      <c r="AB3470" s="38"/>
    </row>
    <row r="3471">
      <c r="P3471" s="42"/>
      <c r="AB3471" s="38"/>
    </row>
    <row r="3472">
      <c r="P3472" s="42"/>
      <c r="AB3472" s="38"/>
    </row>
    <row r="3473">
      <c r="P3473" s="42"/>
      <c r="AB3473" s="38"/>
    </row>
    <row r="3474">
      <c r="P3474" s="42"/>
      <c r="AB3474" s="38"/>
    </row>
    <row r="3475">
      <c r="P3475" s="42"/>
      <c r="AB3475" s="38"/>
    </row>
    <row r="3476">
      <c r="P3476" s="42"/>
      <c r="AB3476" s="38"/>
    </row>
    <row r="3477">
      <c r="P3477" s="42"/>
      <c r="AB3477" s="38"/>
    </row>
    <row r="3478">
      <c r="P3478" s="42"/>
      <c r="AB3478" s="38"/>
    </row>
    <row r="3479">
      <c r="P3479" s="42"/>
      <c r="AB3479" s="38"/>
    </row>
    <row r="3480">
      <c r="P3480" s="42"/>
      <c r="AB3480" s="38"/>
    </row>
    <row r="3481">
      <c r="P3481" s="42"/>
      <c r="AB3481" s="38"/>
    </row>
    <row r="3482">
      <c r="P3482" s="42"/>
      <c r="AB3482" s="38"/>
    </row>
    <row r="3483">
      <c r="P3483" s="42"/>
      <c r="AB3483" s="38"/>
    </row>
    <row r="3484">
      <c r="P3484" s="42"/>
      <c r="AB3484" s="38"/>
    </row>
    <row r="3485">
      <c r="P3485" s="42"/>
      <c r="AB3485" s="38"/>
    </row>
    <row r="3486">
      <c r="P3486" s="42"/>
      <c r="AB3486" s="38"/>
    </row>
    <row r="3487">
      <c r="P3487" s="42"/>
      <c r="AB3487" s="38"/>
    </row>
    <row r="3488">
      <c r="P3488" s="42"/>
      <c r="AB3488" s="38"/>
    </row>
    <row r="3489">
      <c r="P3489" s="42"/>
      <c r="AB3489" s="38"/>
    </row>
    <row r="3490">
      <c r="P3490" s="42"/>
      <c r="AB3490" s="38"/>
    </row>
    <row r="3491">
      <c r="P3491" s="42"/>
      <c r="AB3491" s="38"/>
    </row>
    <row r="3492">
      <c r="P3492" s="42"/>
      <c r="AB3492" s="38"/>
    </row>
    <row r="3493">
      <c r="P3493" s="42"/>
      <c r="AB3493" s="38"/>
    </row>
    <row r="3494">
      <c r="P3494" s="42"/>
      <c r="AB3494" s="38"/>
    </row>
    <row r="3495">
      <c r="P3495" s="42"/>
      <c r="AB3495" s="38"/>
    </row>
    <row r="3496">
      <c r="P3496" s="42"/>
      <c r="AB3496" s="38"/>
    </row>
    <row r="3497">
      <c r="P3497" s="42"/>
      <c r="AB3497" s="38"/>
    </row>
    <row r="3498">
      <c r="P3498" s="42"/>
      <c r="AB3498" s="38"/>
    </row>
    <row r="3499">
      <c r="P3499" s="42"/>
      <c r="AB3499" s="38"/>
    </row>
    <row r="3500">
      <c r="P3500" s="42"/>
      <c r="AB3500" s="38"/>
    </row>
    <row r="3501">
      <c r="P3501" s="42"/>
      <c r="AB3501" s="38"/>
    </row>
    <row r="3502">
      <c r="P3502" s="42"/>
      <c r="AB3502" s="38"/>
    </row>
    <row r="3503">
      <c r="P3503" s="42"/>
      <c r="AB3503" s="38"/>
    </row>
    <row r="3504">
      <c r="P3504" s="42"/>
      <c r="AB3504" s="38"/>
    </row>
    <row r="3505">
      <c r="P3505" s="42"/>
      <c r="AB3505" s="38"/>
    </row>
    <row r="3506">
      <c r="P3506" s="42"/>
      <c r="AB3506" s="38"/>
    </row>
    <row r="3507">
      <c r="P3507" s="42"/>
      <c r="AB3507" s="38"/>
    </row>
    <row r="3508">
      <c r="P3508" s="42"/>
      <c r="AB3508" s="38"/>
    </row>
    <row r="3509">
      <c r="P3509" s="42"/>
      <c r="AB3509" s="38"/>
    </row>
    <row r="3510">
      <c r="P3510" s="42"/>
      <c r="AB3510" s="38"/>
    </row>
    <row r="3511">
      <c r="P3511" s="42"/>
      <c r="AB3511" s="38"/>
    </row>
    <row r="3512">
      <c r="P3512" s="42"/>
      <c r="AB3512" s="38"/>
    </row>
    <row r="3513">
      <c r="P3513" s="42"/>
      <c r="AB3513" s="38"/>
    </row>
    <row r="3514">
      <c r="P3514" s="42"/>
      <c r="AB3514" s="38"/>
    </row>
    <row r="3515">
      <c r="P3515" s="42"/>
      <c r="AB3515" s="38"/>
    </row>
    <row r="3516">
      <c r="P3516" s="42"/>
      <c r="AB3516" s="38"/>
    </row>
    <row r="3517">
      <c r="P3517" s="42"/>
      <c r="AB3517" s="38"/>
    </row>
    <row r="3518">
      <c r="P3518" s="42"/>
      <c r="AB3518" s="38"/>
    </row>
    <row r="3519">
      <c r="P3519" s="42"/>
      <c r="AB3519" s="38"/>
    </row>
    <row r="3520">
      <c r="P3520" s="42"/>
      <c r="AB3520" s="38"/>
    </row>
    <row r="3521">
      <c r="P3521" s="42"/>
      <c r="AB3521" s="38"/>
    </row>
    <row r="3522">
      <c r="P3522" s="42"/>
      <c r="AB3522" s="38"/>
    </row>
    <row r="3523">
      <c r="P3523" s="42"/>
      <c r="AB3523" s="38"/>
    </row>
    <row r="3524">
      <c r="P3524" s="42"/>
      <c r="AB3524" s="38"/>
    </row>
    <row r="3525">
      <c r="P3525" s="42"/>
      <c r="AB3525" s="38"/>
    </row>
    <row r="3526">
      <c r="P3526" s="42"/>
      <c r="AB3526" s="38"/>
    </row>
    <row r="3527">
      <c r="P3527" s="42"/>
      <c r="AB3527" s="38"/>
    </row>
    <row r="3528">
      <c r="P3528" s="42"/>
      <c r="AB3528" s="38"/>
    </row>
    <row r="3529">
      <c r="P3529" s="42"/>
      <c r="AB3529" s="38"/>
    </row>
    <row r="3530">
      <c r="P3530" s="42"/>
      <c r="AB3530" s="38"/>
    </row>
    <row r="3531">
      <c r="P3531" s="42"/>
      <c r="AB3531" s="38"/>
    </row>
    <row r="3532">
      <c r="P3532" s="42"/>
      <c r="AB3532" s="38"/>
    </row>
    <row r="3533">
      <c r="P3533" s="42"/>
      <c r="AB3533" s="38"/>
    </row>
    <row r="3534">
      <c r="P3534" s="42"/>
      <c r="AB3534" s="38"/>
    </row>
    <row r="3535">
      <c r="P3535" s="42"/>
      <c r="AB3535" s="38"/>
    </row>
    <row r="3536">
      <c r="P3536" s="42"/>
      <c r="AB3536" s="38"/>
    </row>
    <row r="3537">
      <c r="P3537" s="42"/>
      <c r="AB3537" s="38"/>
    </row>
    <row r="3538">
      <c r="P3538" s="42"/>
      <c r="AB3538" s="38"/>
    </row>
    <row r="3539">
      <c r="P3539" s="42"/>
      <c r="AB3539" s="38"/>
    </row>
    <row r="3540">
      <c r="P3540" s="42"/>
      <c r="AB3540" s="38"/>
    </row>
    <row r="3541">
      <c r="P3541" s="42"/>
      <c r="AB3541" s="38"/>
    </row>
    <row r="3542">
      <c r="P3542" s="42"/>
      <c r="AB3542" s="38"/>
    </row>
    <row r="3543">
      <c r="P3543" s="42"/>
      <c r="AB3543" s="38"/>
    </row>
    <row r="3544">
      <c r="P3544" s="42"/>
      <c r="AB3544" s="38"/>
    </row>
    <row r="3545">
      <c r="P3545" s="42"/>
      <c r="AB3545" s="38"/>
    </row>
    <row r="3546">
      <c r="P3546" s="42"/>
      <c r="AB3546" s="38"/>
    </row>
    <row r="3547">
      <c r="P3547" s="42"/>
      <c r="AB3547" s="38"/>
    </row>
    <row r="3548">
      <c r="P3548" s="42"/>
      <c r="AB3548" s="38"/>
    </row>
    <row r="3549">
      <c r="P3549" s="42"/>
      <c r="AB3549" s="38"/>
    </row>
    <row r="3550">
      <c r="P3550" s="42"/>
      <c r="AB3550" s="38"/>
    </row>
    <row r="3551">
      <c r="P3551" s="42"/>
      <c r="AB3551" s="38"/>
    </row>
    <row r="3552">
      <c r="P3552" s="42"/>
      <c r="AB3552" s="38"/>
    </row>
    <row r="3553">
      <c r="P3553" s="42"/>
      <c r="AB3553" s="38"/>
    </row>
    <row r="3554">
      <c r="P3554" s="42"/>
      <c r="AB3554" s="38"/>
    </row>
    <row r="3555">
      <c r="P3555" s="42"/>
      <c r="AB3555" s="38"/>
    </row>
    <row r="3556">
      <c r="P3556" s="42"/>
      <c r="AB3556" s="38"/>
    </row>
    <row r="3557">
      <c r="P3557" s="42"/>
      <c r="AB3557" s="38"/>
    </row>
    <row r="3558">
      <c r="P3558" s="42"/>
      <c r="AB3558" s="38"/>
    </row>
    <row r="3559">
      <c r="P3559" s="42"/>
      <c r="AB3559" s="38"/>
    </row>
    <row r="3560">
      <c r="P3560" s="42"/>
      <c r="AB3560" s="38"/>
    </row>
    <row r="3561">
      <c r="P3561" s="42"/>
      <c r="AB3561" s="38"/>
    </row>
    <row r="3562">
      <c r="P3562" s="42"/>
      <c r="AB3562" s="38"/>
    </row>
    <row r="3563">
      <c r="P3563" s="42"/>
      <c r="AB3563" s="38"/>
    </row>
    <row r="3564">
      <c r="P3564" s="42"/>
      <c r="AB3564" s="38"/>
    </row>
    <row r="3565">
      <c r="P3565" s="42"/>
      <c r="AB3565" s="38"/>
    </row>
    <row r="3566">
      <c r="P3566" s="42"/>
      <c r="AB3566" s="38"/>
    </row>
    <row r="3567">
      <c r="P3567" s="42"/>
      <c r="AB3567" s="38"/>
    </row>
    <row r="3568">
      <c r="P3568" s="42"/>
      <c r="AB3568" s="38"/>
    </row>
    <row r="3569">
      <c r="P3569" s="42"/>
      <c r="AB3569" s="38"/>
    </row>
    <row r="3570">
      <c r="P3570" s="42"/>
      <c r="AB3570" s="38"/>
    </row>
    <row r="3571">
      <c r="P3571" s="42"/>
      <c r="AB3571" s="38"/>
    </row>
    <row r="3572">
      <c r="P3572" s="42"/>
      <c r="AB3572" s="38"/>
    </row>
    <row r="3573">
      <c r="P3573" s="42"/>
      <c r="AB3573" s="38"/>
    </row>
    <row r="3574">
      <c r="P3574" s="42"/>
      <c r="AB3574" s="38"/>
    </row>
    <row r="3575">
      <c r="P3575" s="42"/>
      <c r="AB3575" s="38"/>
    </row>
    <row r="3576">
      <c r="P3576" s="42"/>
      <c r="AB3576" s="38"/>
    </row>
    <row r="3577">
      <c r="P3577" s="42"/>
      <c r="AB3577" s="38"/>
    </row>
    <row r="3578">
      <c r="P3578" s="42"/>
      <c r="AB3578" s="38"/>
    </row>
    <row r="3579">
      <c r="P3579" s="42"/>
      <c r="AB3579" s="38"/>
    </row>
    <row r="3580">
      <c r="P3580" s="42"/>
      <c r="AB3580" s="38"/>
    </row>
    <row r="3581">
      <c r="P3581" s="42"/>
      <c r="AB3581" s="38"/>
    </row>
    <row r="3582">
      <c r="P3582" s="42"/>
      <c r="AB3582" s="38"/>
    </row>
    <row r="3583">
      <c r="P3583" s="42"/>
      <c r="AB3583" s="38"/>
    </row>
    <row r="3584">
      <c r="P3584" s="42"/>
      <c r="AB3584" s="38"/>
    </row>
    <row r="3585">
      <c r="P3585" s="42"/>
      <c r="AB3585" s="38"/>
    </row>
    <row r="3586">
      <c r="P3586" s="42"/>
      <c r="AB3586" s="38"/>
    </row>
    <row r="3587">
      <c r="P3587" s="42"/>
      <c r="AB3587" s="38"/>
    </row>
    <row r="3588">
      <c r="P3588" s="42"/>
      <c r="AB3588" s="38"/>
    </row>
    <row r="3589">
      <c r="P3589" s="42"/>
      <c r="AB3589" s="38"/>
    </row>
    <row r="3590">
      <c r="P3590" s="42"/>
      <c r="AB3590" s="38"/>
    </row>
    <row r="3591">
      <c r="P3591" s="42"/>
      <c r="AB3591" s="38"/>
    </row>
    <row r="3592">
      <c r="P3592" s="42"/>
      <c r="AB3592" s="38"/>
    </row>
    <row r="3593">
      <c r="P3593" s="42"/>
      <c r="AB3593" s="38"/>
    </row>
    <row r="3594">
      <c r="P3594" s="42"/>
      <c r="AB3594" s="38"/>
    </row>
    <row r="3595">
      <c r="P3595" s="42"/>
      <c r="AB3595" s="38"/>
    </row>
    <row r="3596">
      <c r="P3596" s="42"/>
      <c r="AB3596" s="38"/>
    </row>
    <row r="3597">
      <c r="P3597" s="42"/>
      <c r="AB3597" s="38"/>
    </row>
    <row r="3598">
      <c r="P3598" s="42"/>
      <c r="AB3598" s="38"/>
    </row>
    <row r="3599">
      <c r="P3599" s="42"/>
      <c r="AB3599" s="38"/>
    </row>
    <row r="3600">
      <c r="P3600" s="42"/>
      <c r="AB3600" s="38"/>
    </row>
    <row r="3601">
      <c r="P3601" s="42"/>
      <c r="AB3601" s="38"/>
    </row>
    <row r="3602">
      <c r="P3602" s="42"/>
      <c r="AB3602" s="38"/>
    </row>
    <row r="3603">
      <c r="P3603" s="42"/>
      <c r="AB3603" s="38"/>
    </row>
    <row r="3604">
      <c r="P3604" s="42"/>
      <c r="AB3604" s="38"/>
    </row>
    <row r="3605">
      <c r="P3605" s="42"/>
      <c r="AB3605" s="38"/>
    </row>
    <row r="3606">
      <c r="P3606" s="42"/>
      <c r="AB3606" s="38"/>
    </row>
    <row r="3607">
      <c r="P3607" s="42"/>
      <c r="AB3607" s="38"/>
    </row>
    <row r="3608">
      <c r="P3608" s="42"/>
      <c r="AB3608" s="38"/>
    </row>
    <row r="3609">
      <c r="P3609" s="42"/>
      <c r="AB3609" s="38"/>
    </row>
    <row r="3610">
      <c r="P3610" s="42"/>
      <c r="AB3610" s="38"/>
    </row>
    <row r="3611">
      <c r="P3611" s="42"/>
      <c r="AB3611" s="38"/>
    </row>
    <row r="3612">
      <c r="P3612" s="42"/>
      <c r="AB3612" s="38"/>
    </row>
    <row r="3613">
      <c r="P3613" s="42"/>
      <c r="AB3613" s="38"/>
    </row>
    <row r="3614">
      <c r="P3614" s="42"/>
      <c r="AB3614" s="38"/>
    </row>
    <row r="3615">
      <c r="P3615" s="42"/>
      <c r="AB3615" s="38"/>
    </row>
    <row r="3616">
      <c r="P3616" s="42"/>
      <c r="AB3616" s="38"/>
    </row>
    <row r="3617">
      <c r="P3617" s="42"/>
      <c r="AB3617" s="38"/>
    </row>
    <row r="3618">
      <c r="P3618" s="42"/>
      <c r="AB3618" s="38"/>
    </row>
    <row r="3619">
      <c r="P3619" s="42"/>
      <c r="AB3619" s="38"/>
    </row>
    <row r="3620">
      <c r="P3620" s="42"/>
      <c r="AB3620" s="38"/>
    </row>
    <row r="3621">
      <c r="P3621" s="42"/>
      <c r="AB3621" s="38"/>
    </row>
    <row r="3622">
      <c r="P3622" s="42"/>
      <c r="AB3622" s="38"/>
    </row>
    <row r="3623">
      <c r="P3623" s="42"/>
      <c r="AB3623" s="38"/>
    </row>
    <row r="3624">
      <c r="P3624" s="42"/>
      <c r="AB3624" s="38"/>
    </row>
    <row r="3625">
      <c r="P3625" s="42"/>
      <c r="AB3625" s="38"/>
    </row>
    <row r="3626">
      <c r="P3626" s="42"/>
      <c r="AB3626" s="38"/>
    </row>
    <row r="3627">
      <c r="P3627" s="42"/>
      <c r="AB3627" s="38"/>
    </row>
    <row r="3628">
      <c r="P3628" s="42"/>
      <c r="AB3628" s="38"/>
    </row>
    <row r="3629">
      <c r="P3629" s="42"/>
      <c r="AB3629" s="38"/>
    </row>
    <row r="3630">
      <c r="P3630" s="42"/>
      <c r="AB3630" s="38"/>
    </row>
    <row r="3631">
      <c r="P3631" s="42"/>
      <c r="AB3631" s="38"/>
    </row>
    <row r="3632">
      <c r="P3632" s="42"/>
      <c r="AB3632" s="38"/>
    </row>
    <row r="3633">
      <c r="P3633" s="42"/>
      <c r="AB3633" s="38"/>
    </row>
    <row r="3634">
      <c r="P3634" s="42"/>
      <c r="AB3634" s="38"/>
    </row>
    <row r="3635">
      <c r="P3635" s="42"/>
      <c r="AB3635" s="38"/>
    </row>
    <row r="3636">
      <c r="P3636" s="42"/>
      <c r="AB3636" s="38"/>
    </row>
    <row r="3637">
      <c r="P3637" s="42"/>
      <c r="AB3637" s="38"/>
    </row>
    <row r="3638">
      <c r="P3638" s="42"/>
      <c r="AB3638" s="38"/>
    </row>
    <row r="3639">
      <c r="P3639" s="42"/>
      <c r="AB3639" s="38"/>
    </row>
    <row r="3640">
      <c r="P3640" s="42"/>
      <c r="AB3640" s="38"/>
    </row>
    <row r="3641">
      <c r="P3641" s="42"/>
      <c r="AB3641" s="38"/>
    </row>
    <row r="3642">
      <c r="P3642" s="42"/>
      <c r="AB3642" s="38"/>
    </row>
    <row r="3643">
      <c r="P3643" s="42"/>
      <c r="AB3643" s="38"/>
    </row>
    <row r="3644">
      <c r="P3644" s="42"/>
      <c r="AB3644" s="38"/>
    </row>
    <row r="3645">
      <c r="P3645" s="42"/>
      <c r="AB3645" s="38"/>
    </row>
    <row r="3646">
      <c r="P3646" s="42"/>
      <c r="AB3646" s="38"/>
    </row>
    <row r="3647">
      <c r="P3647" s="42"/>
      <c r="AB3647" s="38"/>
    </row>
    <row r="3648">
      <c r="P3648" s="42"/>
      <c r="AB3648" s="38"/>
    </row>
    <row r="3649">
      <c r="P3649" s="42"/>
      <c r="AB3649" s="38"/>
    </row>
    <row r="3650">
      <c r="P3650" s="42"/>
      <c r="AB3650" s="38"/>
    </row>
    <row r="3651">
      <c r="P3651" s="42"/>
      <c r="AB3651" s="38"/>
    </row>
    <row r="3652">
      <c r="P3652" s="42"/>
      <c r="AB3652" s="38"/>
    </row>
    <row r="3653">
      <c r="P3653" s="42"/>
      <c r="AB3653" s="38"/>
    </row>
    <row r="3654">
      <c r="P3654" s="42"/>
      <c r="AB3654" s="38"/>
    </row>
    <row r="3655">
      <c r="P3655" s="42"/>
      <c r="AB3655" s="38"/>
    </row>
    <row r="3656">
      <c r="P3656" s="42"/>
      <c r="AB3656" s="38"/>
    </row>
    <row r="3657">
      <c r="P3657" s="42"/>
      <c r="AB3657" s="38"/>
    </row>
    <row r="3658">
      <c r="P3658" s="42"/>
      <c r="AB3658" s="38"/>
    </row>
    <row r="3659">
      <c r="P3659" s="42"/>
      <c r="AB3659" s="38"/>
    </row>
    <row r="3660">
      <c r="P3660" s="42"/>
      <c r="AB3660" s="38"/>
    </row>
    <row r="3661">
      <c r="P3661" s="42"/>
      <c r="AB3661" s="38"/>
    </row>
    <row r="3662">
      <c r="P3662" s="42"/>
      <c r="AB3662" s="38"/>
    </row>
    <row r="3663">
      <c r="P3663" s="42"/>
      <c r="AB3663" s="38"/>
    </row>
    <row r="3664">
      <c r="P3664" s="42"/>
      <c r="AB3664" s="38"/>
    </row>
    <row r="3665">
      <c r="P3665" s="42"/>
      <c r="AB3665" s="38"/>
    </row>
    <row r="3666">
      <c r="P3666" s="42"/>
      <c r="AB3666" s="38"/>
    </row>
    <row r="3667">
      <c r="P3667" s="42"/>
      <c r="AB3667" s="38"/>
    </row>
    <row r="3668">
      <c r="P3668" s="42"/>
      <c r="AB3668" s="38"/>
    </row>
    <row r="3669">
      <c r="P3669" s="42"/>
      <c r="AB3669" s="38"/>
    </row>
    <row r="3670">
      <c r="P3670" s="42"/>
      <c r="AB3670" s="38"/>
    </row>
    <row r="3671">
      <c r="P3671" s="42"/>
      <c r="AB3671" s="38"/>
    </row>
    <row r="3672">
      <c r="P3672" s="42"/>
      <c r="AB3672" s="38"/>
    </row>
    <row r="3673">
      <c r="P3673" s="42"/>
      <c r="AB3673" s="38"/>
    </row>
    <row r="3674">
      <c r="P3674" s="42"/>
      <c r="AB3674" s="38"/>
    </row>
    <row r="3675">
      <c r="P3675" s="42"/>
      <c r="AB3675" s="38"/>
    </row>
    <row r="3676">
      <c r="P3676" s="42"/>
      <c r="AB3676" s="38"/>
    </row>
    <row r="3677">
      <c r="P3677" s="42"/>
      <c r="AB3677" s="38"/>
    </row>
    <row r="3678">
      <c r="P3678" s="42"/>
      <c r="AB3678" s="38"/>
    </row>
    <row r="3679">
      <c r="P3679" s="42"/>
      <c r="AB3679" s="38"/>
    </row>
    <row r="3680">
      <c r="P3680" s="42"/>
      <c r="AB3680" s="38"/>
    </row>
    <row r="3681">
      <c r="P3681" s="42"/>
      <c r="AB3681" s="38"/>
    </row>
    <row r="3682">
      <c r="P3682" s="42"/>
      <c r="AB3682" s="38"/>
    </row>
    <row r="3683">
      <c r="P3683" s="42"/>
      <c r="AB3683" s="38"/>
    </row>
    <row r="3684">
      <c r="P3684" s="42"/>
      <c r="AB3684" s="38"/>
    </row>
    <row r="3685">
      <c r="P3685" s="42"/>
      <c r="AB3685" s="38"/>
    </row>
    <row r="3686">
      <c r="P3686" s="42"/>
      <c r="AB3686" s="38"/>
    </row>
    <row r="3687">
      <c r="P3687" s="42"/>
      <c r="AB3687" s="38"/>
    </row>
    <row r="3688">
      <c r="P3688" s="42"/>
      <c r="AB3688" s="38"/>
    </row>
    <row r="3689">
      <c r="P3689" s="42"/>
      <c r="AB3689" s="38"/>
    </row>
    <row r="3690">
      <c r="P3690" s="42"/>
      <c r="AB3690" s="38"/>
    </row>
    <row r="3691">
      <c r="P3691" s="42"/>
      <c r="AB3691" s="38"/>
    </row>
    <row r="3692">
      <c r="P3692" s="42"/>
      <c r="AB3692" s="38"/>
    </row>
    <row r="3693">
      <c r="P3693" s="42"/>
      <c r="AB3693" s="38"/>
    </row>
    <row r="3694">
      <c r="P3694" s="42"/>
      <c r="AB3694" s="38"/>
    </row>
    <row r="3695">
      <c r="P3695" s="42"/>
      <c r="AB3695" s="38"/>
    </row>
    <row r="3696">
      <c r="P3696" s="42"/>
      <c r="AB3696" s="38"/>
    </row>
    <row r="3697">
      <c r="P3697" s="42"/>
      <c r="AB3697" s="38"/>
    </row>
    <row r="3698">
      <c r="P3698" s="42"/>
      <c r="AB3698" s="38"/>
    </row>
    <row r="3699">
      <c r="P3699" s="42"/>
      <c r="AB3699" s="38"/>
    </row>
    <row r="3700">
      <c r="P3700" s="42"/>
      <c r="AB3700" s="38"/>
    </row>
    <row r="3701">
      <c r="P3701" s="42"/>
      <c r="AB3701" s="38"/>
    </row>
    <row r="3702">
      <c r="P3702" s="42"/>
      <c r="AB3702" s="38"/>
    </row>
    <row r="3703">
      <c r="P3703" s="42"/>
      <c r="AB3703" s="38"/>
    </row>
    <row r="3704">
      <c r="P3704" s="42"/>
      <c r="AB3704" s="38"/>
    </row>
    <row r="3705">
      <c r="P3705" s="42"/>
      <c r="AB3705" s="38"/>
    </row>
    <row r="3706">
      <c r="P3706" s="42"/>
      <c r="AB3706" s="38"/>
    </row>
    <row r="3707">
      <c r="P3707" s="42"/>
      <c r="AB3707" s="38"/>
    </row>
    <row r="3708">
      <c r="P3708" s="42"/>
      <c r="AB3708" s="38"/>
    </row>
    <row r="3709">
      <c r="P3709" s="42"/>
      <c r="AB3709" s="38"/>
    </row>
    <row r="3710">
      <c r="P3710" s="42"/>
      <c r="AB3710" s="38"/>
    </row>
    <row r="3711">
      <c r="P3711" s="42"/>
      <c r="AB3711" s="38"/>
    </row>
    <row r="3712">
      <c r="P3712" s="42"/>
      <c r="AB3712" s="38"/>
    </row>
    <row r="3713">
      <c r="P3713" s="42"/>
      <c r="AB3713" s="38"/>
    </row>
    <row r="3714">
      <c r="P3714" s="42"/>
      <c r="AB3714" s="38"/>
    </row>
    <row r="3715">
      <c r="P3715" s="42"/>
      <c r="AB3715" s="38"/>
    </row>
    <row r="3716">
      <c r="P3716" s="42"/>
      <c r="AB3716" s="38"/>
    </row>
    <row r="3717">
      <c r="P3717" s="42"/>
      <c r="AB3717" s="38"/>
    </row>
    <row r="3718">
      <c r="P3718" s="42"/>
      <c r="AB3718" s="38"/>
    </row>
    <row r="3719">
      <c r="P3719" s="42"/>
      <c r="AB3719" s="38"/>
    </row>
    <row r="3720">
      <c r="P3720" s="42"/>
      <c r="AB3720" s="38"/>
    </row>
    <row r="3721">
      <c r="P3721" s="42"/>
      <c r="AB3721" s="38"/>
    </row>
    <row r="3722">
      <c r="P3722" s="42"/>
      <c r="AB3722" s="38"/>
    </row>
    <row r="3723">
      <c r="P3723" s="42"/>
      <c r="AB3723" s="38"/>
    </row>
    <row r="3724">
      <c r="P3724" s="42"/>
      <c r="AB3724" s="38"/>
    </row>
    <row r="3725">
      <c r="P3725" s="42"/>
      <c r="AB3725" s="38"/>
    </row>
    <row r="3726">
      <c r="P3726" s="42"/>
      <c r="AB3726" s="38"/>
    </row>
    <row r="3727">
      <c r="P3727" s="42"/>
      <c r="AB3727" s="38"/>
    </row>
    <row r="3728">
      <c r="P3728" s="42"/>
      <c r="AB3728" s="38"/>
    </row>
    <row r="3729">
      <c r="P3729" s="42"/>
      <c r="AB3729" s="38"/>
    </row>
    <row r="3730">
      <c r="P3730" s="42"/>
      <c r="AB3730" s="38"/>
    </row>
    <row r="3731">
      <c r="P3731" s="42"/>
      <c r="AB3731" s="38"/>
    </row>
    <row r="3732">
      <c r="P3732" s="42"/>
      <c r="AB3732" s="38"/>
    </row>
    <row r="3733">
      <c r="P3733" s="42"/>
      <c r="AB3733" s="38"/>
    </row>
    <row r="3734">
      <c r="P3734" s="42"/>
      <c r="AB3734" s="38"/>
    </row>
    <row r="3735">
      <c r="P3735" s="42"/>
      <c r="AB3735" s="38"/>
    </row>
    <row r="3736">
      <c r="P3736" s="42"/>
      <c r="AB3736" s="38"/>
    </row>
    <row r="3737">
      <c r="P3737" s="42"/>
      <c r="AB3737" s="38"/>
    </row>
    <row r="3738">
      <c r="P3738" s="42"/>
      <c r="AB3738" s="38"/>
    </row>
    <row r="3739">
      <c r="P3739" s="42"/>
      <c r="AB3739" s="38"/>
    </row>
    <row r="3740">
      <c r="P3740" s="42"/>
      <c r="AB3740" s="38"/>
    </row>
    <row r="3741">
      <c r="P3741" s="42"/>
      <c r="AB3741" s="38"/>
    </row>
    <row r="3742">
      <c r="P3742" s="42"/>
      <c r="AB3742" s="38"/>
    </row>
    <row r="3743">
      <c r="P3743" s="42"/>
      <c r="AB3743" s="38"/>
    </row>
    <row r="3744">
      <c r="P3744" s="42"/>
      <c r="AB3744" s="38"/>
    </row>
    <row r="3745">
      <c r="P3745" s="42"/>
      <c r="AB3745" s="38"/>
    </row>
    <row r="3746">
      <c r="P3746" s="42"/>
      <c r="AB3746" s="38"/>
    </row>
    <row r="3747">
      <c r="P3747" s="42"/>
      <c r="AB3747" s="38"/>
    </row>
    <row r="3748">
      <c r="P3748" s="42"/>
      <c r="AB3748" s="38"/>
    </row>
    <row r="3749">
      <c r="P3749" s="42"/>
      <c r="AB3749" s="38"/>
    </row>
    <row r="3750">
      <c r="P3750" s="42"/>
      <c r="AB3750" s="38"/>
    </row>
    <row r="3751">
      <c r="P3751" s="42"/>
      <c r="AB3751" s="38"/>
    </row>
    <row r="3752">
      <c r="P3752" s="42"/>
      <c r="AB3752" s="38"/>
    </row>
    <row r="3753">
      <c r="P3753" s="42"/>
      <c r="AB3753" s="38"/>
    </row>
    <row r="3754">
      <c r="P3754" s="42"/>
      <c r="AB3754" s="38"/>
    </row>
    <row r="3755">
      <c r="P3755" s="42"/>
      <c r="AB3755" s="38"/>
    </row>
    <row r="3756">
      <c r="P3756" s="42"/>
      <c r="AB3756" s="38"/>
    </row>
    <row r="3757">
      <c r="P3757" s="42"/>
      <c r="AB3757" s="38"/>
    </row>
    <row r="3758">
      <c r="P3758" s="42"/>
      <c r="AB3758" s="38"/>
    </row>
    <row r="3759">
      <c r="P3759" s="42"/>
      <c r="AB3759" s="38"/>
    </row>
    <row r="3760">
      <c r="P3760" s="42"/>
      <c r="AB3760" s="38"/>
    </row>
    <row r="3761">
      <c r="P3761" s="42"/>
      <c r="AB3761" s="38"/>
    </row>
    <row r="3762">
      <c r="P3762" s="42"/>
      <c r="AB3762" s="38"/>
    </row>
    <row r="3763">
      <c r="P3763" s="42"/>
      <c r="AB3763" s="38"/>
    </row>
    <row r="3764">
      <c r="P3764" s="42"/>
      <c r="AB3764" s="38"/>
    </row>
    <row r="3765">
      <c r="P3765" s="42"/>
      <c r="AB3765" s="38"/>
    </row>
    <row r="3766">
      <c r="P3766" s="42"/>
      <c r="AB3766" s="38"/>
    </row>
    <row r="3767">
      <c r="P3767" s="42"/>
      <c r="AB3767" s="38"/>
    </row>
    <row r="3768">
      <c r="P3768" s="42"/>
      <c r="AB3768" s="38"/>
    </row>
    <row r="3769">
      <c r="P3769" s="42"/>
      <c r="AB3769" s="38"/>
    </row>
    <row r="3770">
      <c r="P3770" s="42"/>
      <c r="AB3770" s="38"/>
    </row>
    <row r="3771">
      <c r="P3771" s="42"/>
      <c r="AB3771" s="38"/>
    </row>
    <row r="3772">
      <c r="P3772" s="42"/>
      <c r="AB3772" s="38"/>
    </row>
    <row r="3773">
      <c r="P3773" s="42"/>
      <c r="AB3773" s="38"/>
    </row>
    <row r="3774">
      <c r="P3774" s="42"/>
      <c r="AB3774" s="38"/>
    </row>
    <row r="3775">
      <c r="P3775" s="42"/>
      <c r="AB3775" s="38"/>
    </row>
    <row r="3776">
      <c r="P3776" s="42"/>
      <c r="AB3776" s="38"/>
    </row>
    <row r="3777">
      <c r="P3777" s="42"/>
      <c r="AB3777" s="38"/>
    </row>
    <row r="3778">
      <c r="P3778" s="42"/>
      <c r="AB3778" s="38"/>
    </row>
    <row r="3779">
      <c r="P3779" s="42"/>
      <c r="AB3779" s="38"/>
    </row>
    <row r="3780">
      <c r="P3780" s="42"/>
      <c r="AB3780" s="38"/>
    </row>
    <row r="3781">
      <c r="P3781" s="42"/>
      <c r="AB3781" s="38"/>
    </row>
    <row r="3782">
      <c r="P3782" s="42"/>
      <c r="AB3782" s="38"/>
    </row>
    <row r="3783">
      <c r="P3783" s="42"/>
      <c r="AB3783" s="38"/>
    </row>
    <row r="3784">
      <c r="P3784" s="42"/>
      <c r="AB3784" s="38"/>
    </row>
    <row r="3785">
      <c r="P3785" s="42"/>
      <c r="AB3785" s="38"/>
    </row>
    <row r="3786">
      <c r="P3786" s="42"/>
      <c r="AB3786" s="38"/>
    </row>
    <row r="3787">
      <c r="P3787" s="42"/>
      <c r="AB3787" s="38"/>
    </row>
    <row r="3788">
      <c r="P3788" s="42"/>
      <c r="AB3788" s="38"/>
    </row>
    <row r="3789">
      <c r="P3789" s="42"/>
      <c r="AB3789" s="38"/>
    </row>
    <row r="3790">
      <c r="P3790" s="42"/>
      <c r="AB3790" s="38"/>
    </row>
    <row r="3791">
      <c r="P3791" s="42"/>
      <c r="AB3791" s="38"/>
    </row>
    <row r="3792">
      <c r="P3792" s="42"/>
      <c r="AB3792" s="38"/>
    </row>
    <row r="3793">
      <c r="P3793" s="42"/>
      <c r="AB3793" s="38"/>
    </row>
    <row r="3794">
      <c r="P3794" s="42"/>
      <c r="AB3794" s="38"/>
    </row>
    <row r="3795">
      <c r="P3795" s="42"/>
      <c r="AB3795" s="38"/>
    </row>
    <row r="3796">
      <c r="P3796" s="42"/>
      <c r="AB3796" s="38"/>
    </row>
    <row r="3797">
      <c r="P3797" s="42"/>
      <c r="AB3797" s="38"/>
    </row>
    <row r="3798">
      <c r="P3798" s="42"/>
      <c r="AB3798" s="38"/>
    </row>
    <row r="3799">
      <c r="P3799" s="42"/>
      <c r="AB3799" s="38"/>
    </row>
    <row r="3800">
      <c r="P3800" s="42"/>
      <c r="AB3800" s="38"/>
    </row>
    <row r="3801">
      <c r="P3801" s="42"/>
      <c r="AB3801" s="38"/>
    </row>
    <row r="3802">
      <c r="P3802" s="42"/>
      <c r="AB3802" s="38"/>
    </row>
    <row r="3803">
      <c r="P3803" s="42"/>
      <c r="AB3803" s="38"/>
    </row>
    <row r="3804">
      <c r="P3804" s="42"/>
      <c r="AB3804" s="38"/>
    </row>
    <row r="3805">
      <c r="P3805" s="42"/>
      <c r="AB3805" s="38"/>
    </row>
    <row r="3806">
      <c r="P3806" s="42"/>
      <c r="AB3806" s="38"/>
    </row>
    <row r="3807">
      <c r="P3807" s="42"/>
      <c r="AB3807" s="38"/>
    </row>
    <row r="3808">
      <c r="P3808" s="42"/>
      <c r="AB3808" s="38"/>
    </row>
    <row r="3809">
      <c r="P3809" s="42"/>
      <c r="AB3809" s="38"/>
    </row>
    <row r="3810">
      <c r="P3810" s="42"/>
      <c r="AB3810" s="38"/>
    </row>
    <row r="3811">
      <c r="P3811" s="42"/>
      <c r="AB3811" s="38"/>
    </row>
    <row r="3812">
      <c r="P3812" s="42"/>
      <c r="AB3812" s="38"/>
    </row>
    <row r="3813">
      <c r="P3813" s="42"/>
      <c r="AB3813" s="38"/>
    </row>
    <row r="3814">
      <c r="P3814" s="42"/>
      <c r="AB3814" s="38"/>
    </row>
    <row r="3815">
      <c r="P3815" s="42"/>
      <c r="AB3815" s="38"/>
    </row>
    <row r="3816">
      <c r="P3816" s="42"/>
      <c r="AB3816" s="38"/>
    </row>
    <row r="3817">
      <c r="P3817" s="42"/>
      <c r="AB3817" s="38"/>
    </row>
    <row r="3818">
      <c r="P3818" s="42"/>
      <c r="AB3818" s="38"/>
    </row>
    <row r="3819">
      <c r="P3819" s="42"/>
      <c r="AB3819" s="38"/>
    </row>
    <row r="3820">
      <c r="P3820" s="42"/>
      <c r="AB3820" s="38"/>
    </row>
    <row r="3821">
      <c r="P3821" s="42"/>
      <c r="AB3821" s="38"/>
    </row>
    <row r="3822">
      <c r="P3822" s="42"/>
      <c r="AB3822" s="38"/>
    </row>
    <row r="3823">
      <c r="P3823" s="42"/>
      <c r="AB3823" s="38"/>
    </row>
    <row r="3824">
      <c r="P3824" s="42"/>
      <c r="AB3824" s="38"/>
    </row>
    <row r="3825">
      <c r="P3825" s="42"/>
      <c r="AB3825" s="38"/>
    </row>
    <row r="3826">
      <c r="P3826" s="42"/>
      <c r="AB3826" s="38"/>
    </row>
    <row r="3827">
      <c r="P3827" s="42"/>
      <c r="AB3827" s="38"/>
    </row>
    <row r="3828">
      <c r="P3828" s="42"/>
      <c r="AB3828" s="38"/>
    </row>
    <row r="3829">
      <c r="P3829" s="42"/>
      <c r="AB3829" s="38"/>
    </row>
    <row r="3830">
      <c r="P3830" s="42"/>
      <c r="AB3830" s="38"/>
    </row>
    <row r="3831">
      <c r="P3831" s="42"/>
      <c r="AB3831" s="38"/>
    </row>
    <row r="3832">
      <c r="P3832" s="42"/>
      <c r="AB3832" s="38"/>
    </row>
    <row r="3833">
      <c r="P3833" s="42"/>
      <c r="AB3833" s="38"/>
    </row>
    <row r="3834">
      <c r="P3834" s="42"/>
      <c r="AB3834" s="38"/>
    </row>
    <row r="3835">
      <c r="P3835" s="42"/>
      <c r="AB3835" s="38"/>
    </row>
    <row r="3836">
      <c r="P3836" s="42"/>
      <c r="AB3836" s="38"/>
    </row>
    <row r="3837">
      <c r="P3837" s="42"/>
      <c r="AB3837" s="38"/>
    </row>
    <row r="3838">
      <c r="P3838" s="42"/>
      <c r="AB3838" s="38"/>
    </row>
    <row r="3839">
      <c r="P3839" s="42"/>
      <c r="AB3839" s="38"/>
    </row>
    <row r="3840">
      <c r="P3840" s="42"/>
      <c r="AB3840" s="38"/>
    </row>
    <row r="3841">
      <c r="P3841" s="42"/>
      <c r="AB3841" s="38"/>
    </row>
    <row r="3842">
      <c r="P3842" s="42"/>
      <c r="AB3842" s="38"/>
    </row>
    <row r="3843">
      <c r="P3843" s="42"/>
      <c r="AB3843" s="38"/>
    </row>
    <row r="3844">
      <c r="P3844" s="42"/>
      <c r="AB3844" s="38"/>
    </row>
    <row r="3845">
      <c r="P3845" s="42"/>
      <c r="AB3845" s="38"/>
    </row>
    <row r="3846">
      <c r="P3846" s="42"/>
      <c r="AB3846" s="38"/>
    </row>
    <row r="3847">
      <c r="P3847" s="42"/>
      <c r="AB3847" s="38"/>
    </row>
    <row r="3848">
      <c r="P3848" s="42"/>
      <c r="AB3848" s="38"/>
    </row>
    <row r="3849">
      <c r="P3849" s="42"/>
      <c r="AB3849" s="38"/>
    </row>
    <row r="3850">
      <c r="P3850" s="42"/>
      <c r="AB3850" s="38"/>
    </row>
    <row r="3851">
      <c r="P3851" s="42"/>
      <c r="AB3851" s="38"/>
    </row>
    <row r="3852">
      <c r="P3852" s="42"/>
      <c r="AB3852" s="38"/>
    </row>
    <row r="3853">
      <c r="P3853" s="42"/>
      <c r="AB3853" s="38"/>
    </row>
    <row r="3854">
      <c r="P3854" s="42"/>
      <c r="AB3854" s="38"/>
    </row>
    <row r="3855">
      <c r="P3855" s="42"/>
      <c r="AB3855" s="38"/>
    </row>
    <row r="3856">
      <c r="P3856" s="42"/>
      <c r="AB3856" s="38"/>
    </row>
    <row r="3857">
      <c r="P3857" s="42"/>
      <c r="AB3857" s="38"/>
    </row>
    <row r="3858">
      <c r="P3858" s="42"/>
      <c r="AB3858" s="38"/>
    </row>
    <row r="3859">
      <c r="P3859" s="42"/>
      <c r="AB3859" s="38"/>
    </row>
    <row r="3860">
      <c r="P3860" s="42"/>
      <c r="AB3860" s="38"/>
    </row>
    <row r="3861">
      <c r="P3861" s="42"/>
      <c r="AB3861" s="38"/>
    </row>
    <row r="3862">
      <c r="P3862" s="42"/>
      <c r="AB3862" s="38"/>
    </row>
    <row r="3863">
      <c r="P3863" s="42"/>
      <c r="AB3863" s="38"/>
    </row>
    <row r="3864">
      <c r="P3864" s="42"/>
      <c r="AB3864" s="38"/>
    </row>
    <row r="3865">
      <c r="P3865" s="42"/>
      <c r="AB3865" s="38"/>
    </row>
    <row r="3866">
      <c r="P3866" s="42"/>
      <c r="AB3866" s="38"/>
    </row>
    <row r="3867">
      <c r="P3867" s="42"/>
      <c r="AB3867" s="38"/>
    </row>
    <row r="3868">
      <c r="P3868" s="42"/>
      <c r="AB3868" s="38"/>
    </row>
    <row r="3869">
      <c r="P3869" s="42"/>
      <c r="AB3869" s="38"/>
    </row>
    <row r="3870">
      <c r="P3870" s="42"/>
      <c r="AB3870" s="38"/>
    </row>
    <row r="3871">
      <c r="P3871" s="42"/>
      <c r="AB3871" s="38"/>
    </row>
    <row r="3872">
      <c r="P3872" s="42"/>
      <c r="AB3872" s="38"/>
    </row>
    <row r="3873">
      <c r="P3873" s="42"/>
      <c r="AB3873" s="38"/>
    </row>
    <row r="3874">
      <c r="P3874" s="42"/>
      <c r="AB3874" s="38"/>
    </row>
    <row r="3875">
      <c r="P3875" s="42"/>
      <c r="AB3875" s="38"/>
    </row>
    <row r="3876">
      <c r="P3876" s="42"/>
      <c r="AB3876" s="38"/>
    </row>
    <row r="3877">
      <c r="P3877" s="42"/>
      <c r="AB3877" s="38"/>
    </row>
    <row r="3878">
      <c r="P3878" s="42"/>
      <c r="AB3878" s="38"/>
    </row>
    <row r="3879">
      <c r="P3879" s="42"/>
      <c r="AB3879" s="38"/>
    </row>
    <row r="3880">
      <c r="P3880" s="42"/>
      <c r="AB3880" s="38"/>
    </row>
    <row r="3881">
      <c r="P3881" s="42"/>
      <c r="AB3881" s="38"/>
    </row>
    <row r="3882">
      <c r="P3882" s="42"/>
      <c r="AB3882" s="38"/>
    </row>
    <row r="3883">
      <c r="P3883" s="42"/>
      <c r="AB3883" s="38"/>
    </row>
    <row r="3884">
      <c r="P3884" s="42"/>
      <c r="AB3884" s="38"/>
    </row>
    <row r="3885">
      <c r="P3885" s="42"/>
      <c r="AB3885" s="38"/>
    </row>
    <row r="3886">
      <c r="P3886" s="42"/>
      <c r="AB3886" s="38"/>
    </row>
    <row r="3887">
      <c r="P3887" s="42"/>
      <c r="AB3887" s="38"/>
    </row>
    <row r="3888">
      <c r="P3888" s="42"/>
      <c r="AB3888" s="38"/>
    </row>
    <row r="3889">
      <c r="P3889" s="42"/>
      <c r="AB3889" s="38"/>
    </row>
    <row r="3890">
      <c r="P3890" s="42"/>
      <c r="AB3890" s="38"/>
    </row>
    <row r="3891">
      <c r="P3891" s="42"/>
      <c r="AB3891" s="38"/>
    </row>
    <row r="3892">
      <c r="P3892" s="42"/>
      <c r="AB3892" s="38"/>
    </row>
    <row r="3893">
      <c r="P3893" s="42"/>
      <c r="AB3893" s="38"/>
    </row>
    <row r="3894">
      <c r="P3894" s="42"/>
      <c r="AB3894" s="38"/>
    </row>
    <row r="3895">
      <c r="P3895" s="42"/>
      <c r="AB3895" s="38"/>
    </row>
    <row r="3896">
      <c r="P3896" s="42"/>
      <c r="AB3896" s="38"/>
    </row>
    <row r="3897">
      <c r="P3897" s="42"/>
      <c r="AB3897" s="38"/>
    </row>
    <row r="3898">
      <c r="P3898" s="42"/>
      <c r="AB3898" s="38"/>
    </row>
    <row r="3899">
      <c r="P3899" s="42"/>
      <c r="AB3899" s="38"/>
    </row>
    <row r="3900">
      <c r="P3900" s="42"/>
      <c r="AB3900" s="38"/>
    </row>
    <row r="3901">
      <c r="P3901" s="42"/>
      <c r="AB3901" s="38"/>
    </row>
    <row r="3902">
      <c r="P3902" s="42"/>
      <c r="AB3902" s="38"/>
    </row>
    <row r="3903">
      <c r="P3903" s="42"/>
      <c r="AB3903" s="38"/>
    </row>
    <row r="3904">
      <c r="P3904" s="42"/>
      <c r="AB3904" s="38"/>
    </row>
    <row r="3905">
      <c r="P3905" s="42"/>
      <c r="AB3905" s="38"/>
    </row>
    <row r="3906">
      <c r="P3906" s="42"/>
      <c r="AB3906" s="38"/>
    </row>
    <row r="3907">
      <c r="P3907" s="42"/>
      <c r="AB3907" s="38"/>
    </row>
    <row r="3908">
      <c r="P3908" s="42"/>
      <c r="AB3908" s="38"/>
    </row>
    <row r="3909">
      <c r="P3909" s="42"/>
      <c r="AB3909" s="38"/>
    </row>
    <row r="3910">
      <c r="P3910" s="42"/>
      <c r="AB3910" s="38"/>
    </row>
    <row r="3911">
      <c r="P3911" s="42"/>
      <c r="AB3911" s="38"/>
    </row>
    <row r="3912">
      <c r="P3912" s="42"/>
      <c r="AB3912" s="38"/>
    </row>
    <row r="3913">
      <c r="P3913" s="42"/>
      <c r="AB3913" s="38"/>
    </row>
    <row r="3914">
      <c r="P3914" s="42"/>
      <c r="AB3914" s="38"/>
    </row>
    <row r="3915">
      <c r="P3915" s="42"/>
      <c r="AB3915" s="38"/>
    </row>
    <row r="3916">
      <c r="P3916" s="42"/>
      <c r="AB3916" s="38"/>
    </row>
    <row r="3917">
      <c r="P3917" s="42"/>
      <c r="AB3917" s="38"/>
    </row>
    <row r="3918">
      <c r="P3918" s="42"/>
      <c r="AB3918" s="38"/>
    </row>
    <row r="3919">
      <c r="P3919" s="42"/>
      <c r="AB3919" s="38"/>
    </row>
    <row r="3920">
      <c r="P3920" s="42"/>
      <c r="AB3920" s="38"/>
    </row>
    <row r="3921">
      <c r="P3921" s="42"/>
      <c r="AB3921" s="38"/>
    </row>
    <row r="3922">
      <c r="P3922" s="42"/>
      <c r="AB3922" s="38"/>
    </row>
    <row r="3923">
      <c r="P3923" s="42"/>
      <c r="AB3923" s="38"/>
    </row>
    <row r="3924">
      <c r="P3924" s="42"/>
      <c r="AB3924" s="38"/>
    </row>
    <row r="3925">
      <c r="P3925" s="42"/>
      <c r="AB3925" s="38"/>
    </row>
    <row r="3926">
      <c r="P3926" s="42"/>
      <c r="AB3926" s="38"/>
    </row>
    <row r="3927">
      <c r="P3927" s="42"/>
      <c r="AB3927" s="38"/>
    </row>
    <row r="3928">
      <c r="P3928" s="42"/>
      <c r="AB3928" s="38"/>
    </row>
    <row r="3929">
      <c r="P3929" s="42"/>
      <c r="AB3929" s="38"/>
    </row>
    <row r="3930">
      <c r="P3930" s="42"/>
      <c r="AB3930" s="38"/>
    </row>
    <row r="3931">
      <c r="P3931" s="42"/>
      <c r="AB3931" s="38"/>
    </row>
    <row r="3932">
      <c r="P3932" s="42"/>
      <c r="AB3932" s="38"/>
    </row>
    <row r="3933">
      <c r="P3933" s="42"/>
      <c r="AB3933" s="38"/>
    </row>
    <row r="3934">
      <c r="P3934" s="42"/>
      <c r="AB3934" s="38"/>
    </row>
    <row r="3935">
      <c r="P3935" s="42"/>
      <c r="AB3935" s="38"/>
    </row>
    <row r="3936">
      <c r="P3936" s="42"/>
      <c r="AB3936" s="38"/>
    </row>
    <row r="3937">
      <c r="P3937" s="42"/>
      <c r="AB3937" s="38"/>
    </row>
    <row r="3938">
      <c r="P3938" s="42"/>
      <c r="AB3938" s="38"/>
    </row>
    <row r="3939">
      <c r="P3939" s="42"/>
      <c r="AB3939" s="38"/>
    </row>
    <row r="3940">
      <c r="P3940" s="42"/>
      <c r="AB3940" s="38"/>
    </row>
    <row r="3941">
      <c r="P3941" s="42"/>
      <c r="AB3941" s="38"/>
    </row>
    <row r="3942">
      <c r="P3942" s="42"/>
      <c r="AB3942" s="38"/>
    </row>
    <row r="3943">
      <c r="P3943" s="42"/>
      <c r="AB3943" s="38"/>
    </row>
    <row r="3944">
      <c r="P3944" s="42"/>
      <c r="AB3944" s="38"/>
    </row>
    <row r="3945">
      <c r="P3945" s="42"/>
      <c r="AB3945" s="38"/>
    </row>
    <row r="3946">
      <c r="P3946" s="42"/>
      <c r="AB3946" s="38"/>
    </row>
    <row r="3947">
      <c r="P3947" s="42"/>
      <c r="AB3947" s="38"/>
    </row>
    <row r="3948">
      <c r="P3948" s="42"/>
      <c r="AB3948" s="38"/>
    </row>
    <row r="3949">
      <c r="P3949" s="42"/>
      <c r="AB3949" s="38"/>
    </row>
    <row r="3950">
      <c r="P3950" s="42"/>
      <c r="AB3950" s="38"/>
    </row>
    <row r="3951">
      <c r="P3951" s="42"/>
      <c r="AB3951" s="38"/>
    </row>
    <row r="3952">
      <c r="P3952" s="42"/>
      <c r="AB3952" s="38"/>
    </row>
    <row r="3953">
      <c r="P3953" s="42"/>
      <c r="AB3953" s="38"/>
    </row>
    <row r="3954">
      <c r="P3954" s="42"/>
      <c r="AB3954" s="38"/>
    </row>
    <row r="3955">
      <c r="P3955" s="42"/>
      <c r="AB3955" s="38"/>
    </row>
    <row r="3956">
      <c r="P3956" s="42"/>
      <c r="AB3956" s="38"/>
    </row>
    <row r="3957">
      <c r="P3957" s="42"/>
      <c r="AB3957" s="38"/>
    </row>
    <row r="3958">
      <c r="P3958" s="42"/>
      <c r="AB3958" s="38"/>
    </row>
    <row r="3959">
      <c r="P3959" s="42"/>
      <c r="AB3959" s="38"/>
    </row>
    <row r="3960">
      <c r="P3960" s="42"/>
      <c r="AB3960" s="38"/>
    </row>
    <row r="3961">
      <c r="P3961" s="42"/>
      <c r="AB3961" s="38"/>
    </row>
    <row r="3962">
      <c r="P3962" s="42"/>
      <c r="AB3962" s="38"/>
    </row>
    <row r="3963">
      <c r="P3963" s="42"/>
      <c r="AB3963" s="38"/>
    </row>
    <row r="3964">
      <c r="P3964" s="42"/>
      <c r="AB3964" s="38"/>
    </row>
    <row r="3965">
      <c r="P3965" s="42"/>
      <c r="AB3965" s="38"/>
    </row>
    <row r="3966">
      <c r="P3966" s="42"/>
      <c r="AB3966" s="38"/>
    </row>
    <row r="3967">
      <c r="P3967" s="42"/>
      <c r="AB3967" s="38"/>
    </row>
    <row r="3968">
      <c r="P3968" s="42"/>
      <c r="AB3968" s="38"/>
    </row>
    <row r="3969">
      <c r="P3969" s="42"/>
      <c r="AB3969" s="38"/>
    </row>
    <row r="3970">
      <c r="P3970" s="42"/>
      <c r="AB3970" s="38"/>
    </row>
    <row r="3971">
      <c r="P3971" s="42"/>
      <c r="AB3971" s="38"/>
    </row>
    <row r="3972">
      <c r="P3972" s="42"/>
      <c r="AB3972" s="38"/>
    </row>
    <row r="3973">
      <c r="P3973" s="42"/>
      <c r="AB3973" s="38"/>
    </row>
    <row r="3974">
      <c r="P3974" s="42"/>
      <c r="AB3974" s="38"/>
    </row>
    <row r="3975">
      <c r="P3975" s="42"/>
      <c r="AB3975" s="38"/>
    </row>
    <row r="3976">
      <c r="P3976" s="42"/>
      <c r="AB3976" s="38"/>
    </row>
    <row r="3977">
      <c r="P3977" s="42"/>
      <c r="AB3977" s="38"/>
    </row>
    <row r="3978">
      <c r="P3978" s="42"/>
      <c r="AB3978" s="38"/>
    </row>
    <row r="3979">
      <c r="P3979" s="42"/>
      <c r="AB3979" s="38"/>
    </row>
    <row r="3980">
      <c r="P3980" s="42"/>
      <c r="AB3980" s="38"/>
    </row>
    <row r="3981">
      <c r="P3981" s="42"/>
      <c r="AB3981" s="38"/>
    </row>
    <row r="3982">
      <c r="P3982" s="42"/>
      <c r="AB3982" s="38"/>
    </row>
    <row r="3983">
      <c r="P3983" s="42"/>
      <c r="AB3983" s="38"/>
    </row>
    <row r="3984">
      <c r="P3984" s="42"/>
      <c r="AB3984" s="38"/>
    </row>
    <row r="3985">
      <c r="P3985" s="42"/>
      <c r="AB3985" s="38"/>
    </row>
    <row r="3986">
      <c r="P3986" s="42"/>
      <c r="AB3986" s="38"/>
    </row>
    <row r="3987">
      <c r="P3987" s="42"/>
      <c r="AB3987" s="38"/>
    </row>
    <row r="3988">
      <c r="P3988" s="42"/>
      <c r="AB3988" s="38"/>
    </row>
    <row r="3989">
      <c r="P3989" s="42"/>
      <c r="AB3989" s="38"/>
    </row>
    <row r="3990">
      <c r="P3990" s="42"/>
      <c r="AB3990" s="38"/>
    </row>
    <row r="3991">
      <c r="P3991" s="42"/>
      <c r="AB3991" s="38"/>
    </row>
    <row r="3992">
      <c r="P3992" s="42"/>
      <c r="AB3992" s="38"/>
    </row>
    <row r="3993">
      <c r="P3993" s="42"/>
      <c r="AB3993" s="38"/>
    </row>
    <row r="3994">
      <c r="P3994" s="42"/>
      <c r="AB3994" s="38"/>
    </row>
    <row r="3995">
      <c r="P3995" s="42"/>
      <c r="AB3995" s="38"/>
    </row>
    <row r="3996">
      <c r="P3996" s="42"/>
      <c r="AB3996" s="38"/>
    </row>
    <row r="3997">
      <c r="P3997" s="42"/>
      <c r="AB3997" s="38"/>
    </row>
    <row r="3998">
      <c r="P3998" s="42"/>
      <c r="AB3998" s="38"/>
    </row>
    <row r="3999">
      <c r="P3999" s="42"/>
      <c r="AB3999" s="38"/>
    </row>
    <row r="4000">
      <c r="P4000" s="42"/>
      <c r="AB4000" s="38"/>
    </row>
    <row r="4001">
      <c r="P4001" s="42"/>
      <c r="AB4001" s="38"/>
    </row>
    <row r="4002">
      <c r="P4002" s="42"/>
      <c r="AB4002" s="38"/>
    </row>
    <row r="4003">
      <c r="P4003" s="42"/>
      <c r="AB4003" s="38"/>
    </row>
    <row r="4004">
      <c r="P4004" s="42"/>
      <c r="AB4004" s="38"/>
    </row>
    <row r="4005">
      <c r="P4005" s="42"/>
      <c r="AB4005" s="38"/>
    </row>
    <row r="4006">
      <c r="P4006" s="42"/>
      <c r="AB4006" s="38"/>
    </row>
    <row r="4007">
      <c r="P4007" s="42"/>
      <c r="AB4007" s="38"/>
    </row>
    <row r="4008">
      <c r="P4008" s="42"/>
      <c r="AB4008" s="38"/>
    </row>
    <row r="4009">
      <c r="P4009" s="42"/>
      <c r="AB4009" s="38"/>
    </row>
    <row r="4010">
      <c r="P4010" s="42"/>
      <c r="AB4010" s="38"/>
    </row>
    <row r="4011">
      <c r="P4011" s="42"/>
      <c r="AB4011" s="38"/>
    </row>
    <row r="4012">
      <c r="P4012" s="42"/>
      <c r="AB4012" s="38"/>
    </row>
    <row r="4013">
      <c r="P4013" s="42"/>
      <c r="AB4013" s="38"/>
    </row>
    <row r="4014">
      <c r="P4014" s="42"/>
      <c r="AB4014" s="38"/>
    </row>
    <row r="4015">
      <c r="P4015" s="42"/>
      <c r="AB4015" s="38"/>
    </row>
    <row r="4016">
      <c r="P4016" s="42"/>
      <c r="AB4016" s="38"/>
    </row>
    <row r="4017">
      <c r="P4017" s="42"/>
      <c r="AB4017" s="38"/>
    </row>
    <row r="4018">
      <c r="P4018" s="42"/>
      <c r="AB4018" s="38"/>
    </row>
    <row r="4019">
      <c r="P4019" s="42"/>
      <c r="AB4019" s="38"/>
    </row>
    <row r="4020">
      <c r="P4020" s="42"/>
      <c r="AB4020" s="38"/>
    </row>
    <row r="4021">
      <c r="P4021" s="42"/>
      <c r="AB4021" s="38"/>
    </row>
    <row r="4022">
      <c r="P4022" s="42"/>
      <c r="AB4022" s="38"/>
    </row>
    <row r="4023">
      <c r="P4023" s="42"/>
      <c r="AB4023" s="38"/>
    </row>
    <row r="4024">
      <c r="P4024" s="42"/>
      <c r="AB4024" s="38"/>
    </row>
    <row r="4025">
      <c r="P4025" s="42"/>
      <c r="AB4025" s="38"/>
    </row>
    <row r="4026">
      <c r="P4026" s="42"/>
      <c r="AB4026" s="38"/>
    </row>
    <row r="4027">
      <c r="P4027" s="42"/>
      <c r="AB4027" s="38"/>
    </row>
    <row r="4028">
      <c r="P4028" s="42"/>
      <c r="AB4028" s="38"/>
    </row>
    <row r="4029">
      <c r="P4029" s="42"/>
      <c r="AB4029" s="38"/>
    </row>
    <row r="4030">
      <c r="P4030" s="42"/>
      <c r="AB4030" s="38"/>
    </row>
    <row r="4031">
      <c r="P4031" s="42"/>
      <c r="AB4031" s="38"/>
    </row>
    <row r="4032">
      <c r="P4032" s="42"/>
      <c r="AB4032" s="38"/>
    </row>
    <row r="4033">
      <c r="P4033" s="42"/>
      <c r="AB4033" s="38"/>
    </row>
    <row r="4034">
      <c r="P4034" s="42"/>
      <c r="AB4034" s="38"/>
    </row>
    <row r="4035">
      <c r="P4035" s="42"/>
      <c r="AB4035" s="38"/>
    </row>
    <row r="4036">
      <c r="P4036" s="42"/>
      <c r="AB4036" s="38"/>
    </row>
    <row r="4037">
      <c r="P4037" s="42"/>
      <c r="AB4037" s="38"/>
    </row>
    <row r="4038">
      <c r="P4038" s="42"/>
      <c r="AB4038" s="38"/>
    </row>
    <row r="4039">
      <c r="P4039" s="42"/>
      <c r="AB4039" s="38"/>
    </row>
    <row r="4040">
      <c r="P4040" s="42"/>
      <c r="AB4040" s="38"/>
    </row>
    <row r="4041">
      <c r="P4041" s="42"/>
      <c r="AB4041" s="38"/>
    </row>
    <row r="4042">
      <c r="P4042" s="42"/>
      <c r="AB4042" s="38"/>
    </row>
    <row r="4043">
      <c r="P4043" s="42"/>
      <c r="AB4043" s="38"/>
    </row>
    <row r="4044">
      <c r="P4044" s="42"/>
      <c r="AB4044" s="38"/>
    </row>
    <row r="4045">
      <c r="P4045" s="42"/>
      <c r="AB4045" s="38"/>
    </row>
    <row r="4046">
      <c r="P4046" s="42"/>
      <c r="AB4046" s="38"/>
    </row>
    <row r="4047">
      <c r="P4047" s="42"/>
      <c r="AB4047" s="38"/>
    </row>
    <row r="4048">
      <c r="P4048" s="42"/>
      <c r="AB4048" s="38"/>
    </row>
    <row r="4049">
      <c r="P4049" s="42"/>
      <c r="AB4049" s="38"/>
    </row>
    <row r="4050">
      <c r="P4050" s="42"/>
      <c r="AB4050" s="38"/>
    </row>
    <row r="4051">
      <c r="P4051" s="42"/>
      <c r="AB4051" s="38"/>
    </row>
    <row r="4052">
      <c r="P4052" s="42"/>
      <c r="AB4052" s="38"/>
    </row>
    <row r="4053">
      <c r="P4053" s="42"/>
      <c r="AB4053" s="38"/>
    </row>
    <row r="4054">
      <c r="P4054" s="42"/>
      <c r="AB4054" s="38"/>
    </row>
    <row r="4055">
      <c r="P4055" s="42"/>
      <c r="AB4055" s="38"/>
    </row>
    <row r="4056">
      <c r="P4056" s="42"/>
      <c r="AB4056" s="38"/>
    </row>
    <row r="4057">
      <c r="P4057" s="42"/>
      <c r="AB4057" s="38"/>
    </row>
    <row r="4058">
      <c r="P4058" s="42"/>
      <c r="AB4058" s="38"/>
    </row>
    <row r="4059">
      <c r="P4059" s="42"/>
      <c r="AB4059" s="38"/>
    </row>
    <row r="4060">
      <c r="P4060" s="42"/>
      <c r="AB4060" s="38"/>
    </row>
    <row r="4061">
      <c r="P4061" s="42"/>
      <c r="AB4061" s="38"/>
    </row>
    <row r="4062">
      <c r="P4062" s="42"/>
      <c r="AB4062" s="38"/>
    </row>
    <row r="4063">
      <c r="P4063" s="42"/>
      <c r="AB4063" s="38"/>
    </row>
    <row r="4064">
      <c r="P4064" s="42"/>
      <c r="AB4064" s="38"/>
    </row>
    <row r="4065">
      <c r="P4065" s="42"/>
      <c r="AB4065" s="38"/>
    </row>
    <row r="4066">
      <c r="P4066" s="42"/>
      <c r="AB4066" s="38"/>
    </row>
    <row r="4067">
      <c r="P4067" s="42"/>
      <c r="AB4067" s="38"/>
    </row>
    <row r="4068">
      <c r="P4068" s="42"/>
      <c r="AB4068" s="38"/>
    </row>
    <row r="4069">
      <c r="P4069" s="42"/>
      <c r="AB4069" s="38"/>
    </row>
    <row r="4070">
      <c r="P4070" s="42"/>
      <c r="AB4070" s="38"/>
    </row>
    <row r="4071">
      <c r="P4071" s="42"/>
      <c r="AB4071" s="38"/>
    </row>
    <row r="4072">
      <c r="P4072" s="42"/>
      <c r="AB4072" s="38"/>
    </row>
    <row r="4073">
      <c r="P4073" s="42"/>
      <c r="AB4073" s="38"/>
    </row>
    <row r="4074">
      <c r="P4074" s="42"/>
      <c r="AB4074" s="38"/>
    </row>
    <row r="4075">
      <c r="P4075" s="42"/>
      <c r="AB4075" s="38"/>
    </row>
    <row r="4076">
      <c r="P4076" s="42"/>
      <c r="AB4076" s="38"/>
    </row>
    <row r="4077">
      <c r="P4077" s="42"/>
      <c r="AB4077" s="38"/>
    </row>
    <row r="4078">
      <c r="P4078" s="42"/>
      <c r="AB4078" s="38"/>
    </row>
    <row r="4079">
      <c r="P4079" s="42"/>
      <c r="AB4079" s="38"/>
    </row>
    <row r="4080">
      <c r="P4080" s="42"/>
      <c r="AB4080" s="38"/>
    </row>
    <row r="4081">
      <c r="P4081" s="42"/>
      <c r="AB4081" s="38"/>
    </row>
    <row r="4082">
      <c r="P4082" s="42"/>
      <c r="AB4082" s="38"/>
    </row>
    <row r="4083">
      <c r="P4083" s="42"/>
      <c r="AB4083" s="38"/>
    </row>
    <row r="4084">
      <c r="P4084" s="42"/>
      <c r="AB4084" s="38"/>
    </row>
    <row r="4085">
      <c r="P4085" s="42"/>
      <c r="AB4085" s="38"/>
    </row>
    <row r="4086">
      <c r="P4086" s="42"/>
      <c r="AB4086" s="38"/>
    </row>
    <row r="4087">
      <c r="P4087" s="42"/>
      <c r="AB4087" s="38"/>
    </row>
    <row r="4088">
      <c r="P4088" s="42"/>
      <c r="AB4088" s="38"/>
    </row>
    <row r="4089">
      <c r="P4089" s="42"/>
      <c r="AB4089" s="38"/>
    </row>
    <row r="4090">
      <c r="P4090" s="42"/>
      <c r="AB4090" s="38"/>
    </row>
    <row r="4091">
      <c r="P4091" s="42"/>
      <c r="AB4091" s="38"/>
    </row>
    <row r="4092">
      <c r="P4092" s="42"/>
      <c r="AB4092" s="38"/>
    </row>
    <row r="4093">
      <c r="P4093" s="42"/>
      <c r="AB4093" s="38"/>
    </row>
    <row r="4094">
      <c r="P4094" s="42"/>
      <c r="AB4094" s="38"/>
    </row>
    <row r="4095">
      <c r="P4095" s="42"/>
      <c r="AB4095" s="38"/>
    </row>
    <row r="4096">
      <c r="P4096" s="42"/>
      <c r="AB4096" s="38"/>
    </row>
    <row r="4097">
      <c r="P4097" s="42"/>
      <c r="AB4097" s="38"/>
    </row>
    <row r="4098">
      <c r="P4098" s="42"/>
      <c r="AB4098" s="38"/>
    </row>
    <row r="4099">
      <c r="P4099" s="42"/>
      <c r="AB4099" s="38"/>
    </row>
    <row r="4100">
      <c r="P4100" s="42"/>
      <c r="AB4100" s="38"/>
    </row>
    <row r="4101">
      <c r="P4101" s="42"/>
      <c r="AB4101" s="38"/>
    </row>
    <row r="4102">
      <c r="P4102" s="42"/>
      <c r="AB4102" s="38"/>
    </row>
    <row r="4103">
      <c r="P4103" s="42"/>
      <c r="AB4103" s="38"/>
    </row>
    <row r="4104">
      <c r="P4104" s="42"/>
      <c r="AB4104" s="38"/>
    </row>
    <row r="4105">
      <c r="P4105" s="42"/>
      <c r="AB4105" s="38"/>
    </row>
    <row r="4106">
      <c r="P4106" s="42"/>
      <c r="AB4106" s="38"/>
    </row>
    <row r="4107">
      <c r="P4107" s="42"/>
      <c r="AB4107" s="38"/>
    </row>
    <row r="4108">
      <c r="P4108" s="42"/>
      <c r="AB4108" s="38"/>
    </row>
    <row r="4109">
      <c r="P4109" s="42"/>
      <c r="AB4109" s="38"/>
    </row>
    <row r="4110">
      <c r="P4110" s="42"/>
      <c r="AB4110" s="38"/>
    </row>
    <row r="4111">
      <c r="P4111" s="42"/>
      <c r="AB4111" s="38"/>
    </row>
    <row r="4112">
      <c r="P4112" s="42"/>
      <c r="AB4112" s="38"/>
    </row>
    <row r="4113">
      <c r="P4113" s="42"/>
      <c r="AB4113" s="38"/>
    </row>
    <row r="4114">
      <c r="P4114" s="42"/>
      <c r="AB4114" s="38"/>
    </row>
    <row r="4115">
      <c r="P4115" s="42"/>
      <c r="AB4115" s="38"/>
    </row>
    <row r="4116">
      <c r="P4116" s="42"/>
      <c r="AB4116" s="38"/>
    </row>
    <row r="4117">
      <c r="P4117" s="42"/>
      <c r="AB4117" s="38"/>
    </row>
    <row r="4118">
      <c r="P4118" s="42"/>
      <c r="AB4118" s="38"/>
    </row>
    <row r="4119">
      <c r="P4119" s="42"/>
      <c r="AB4119" s="38"/>
    </row>
    <row r="4120">
      <c r="P4120" s="42"/>
      <c r="AB4120" s="38"/>
    </row>
    <row r="4121">
      <c r="P4121" s="42"/>
      <c r="AB4121" s="38"/>
    </row>
    <row r="4122">
      <c r="P4122" s="42"/>
      <c r="AB4122" s="38"/>
    </row>
    <row r="4123">
      <c r="P4123" s="42"/>
      <c r="AB4123" s="38"/>
    </row>
    <row r="4124">
      <c r="P4124" s="42"/>
      <c r="AB4124" s="38"/>
    </row>
    <row r="4125">
      <c r="P4125" s="42"/>
      <c r="AB4125" s="38"/>
    </row>
    <row r="4126">
      <c r="P4126" s="42"/>
      <c r="AB4126" s="38"/>
    </row>
    <row r="4127">
      <c r="P4127" s="42"/>
      <c r="AB4127" s="38"/>
    </row>
    <row r="4128">
      <c r="P4128" s="42"/>
      <c r="AB4128" s="38"/>
    </row>
    <row r="4129">
      <c r="P4129" s="42"/>
      <c r="AB4129" s="38"/>
    </row>
    <row r="4130">
      <c r="P4130" s="42"/>
      <c r="AB4130" s="38"/>
    </row>
    <row r="4131">
      <c r="P4131" s="42"/>
      <c r="AB4131" s="38"/>
    </row>
    <row r="4132">
      <c r="P4132" s="42"/>
      <c r="AB4132" s="38"/>
    </row>
    <row r="4133">
      <c r="P4133" s="42"/>
      <c r="AB4133" s="38"/>
    </row>
    <row r="4134">
      <c r="P4134" s="42"/>
      <c r="AB4134" s="38"/>
    </row>
    <row r="4135">
      <c r="P4135" s="42"/>
      <c r="AB4135" s="38"/>
    </row>
    <row r="4136">
      <c r="P4136" s="42"/>
      <c r="AB4136" s="38"/>
    </row>
    <row r="4137">
      <c r="P4137" s="42"/>
      <c r="AB4137" s="38"/>
    </row>
    <row r="4138">
      <c r="P4138" s="42"/>
      <c r="AB4138" s="38"/>
    </row>
    <row r="4139">
      <c r="P4139" s="42"/>
      <c r="AB4139" s="38"/>
    </row>
    <row r="4140">
      <c r="P4140" s="42"/>
      <c r="AB4140" s="38"/>
    </row>
    <row r="4141">
      <c r="P4141" s="42"/>
      <c r="AB4141" s="38"/>
    </row>
    <row r="4142">
      <c r="P4142" s="42"/>
      <c r="AB4142" s="38"/>
    </row>
    <row r="4143">
      <c r="P4143" s="42"/>
      <c r="AB4143" s="38"/>
    </row>
    <row r="4144">
      <c r="P4144" s="42"/>
      <c r="AB4144" s="38"/>
    </row>
    <row r="4145">
      <c r="P4145" s="42"/>
      <c r="AB4145" s="38"/>
    </row>
    <row r="4146">
      <c r="P4146" s="42"/>
      <c r="AB4146" s="38"/>
    </row>
    <row r="4147">
      <c r="P4147" s="42"/>
      <c r="AB4147" s="38"/>
    </row>
    <row r="4148">
      <c r="P4148" s="42"/>
      <c r="AB4148" s="38"/>
    </row>
    <row r="4149">
      <c r="P4149" s="42"/>
      <c r="AB4149" s="38"/>
    </row>
    <row r="4150">
      <c r="P4150" s="42"/>
      <c r="AB4150" s="38"/>
    </row>
    <row r="4151">
      <c r="P4151" s="42"/>
      <c r="AB4151" s="38"/>
    </row>
    <row r="4152">
      <c r="P4152" s="42"/>
      <c r="AB4152" s="38"/>
    </row>
    <row r="4153">
      <c r="P4153" s="42"/>
      <c r="AB4153" s="38"/>
    </row>
    <row r="4154">
      <c r="P4154" s="42"/>
      <c r="AB4154" s="38"/>
    </row>
    <row r="4155">
      <c r="P4155" s="42"/>
      <c r="AB4155" s="38"/>
    </row>
    <row r="4156">
      <c r="P4156" s="42"/>
      <c r="AB4156" s="38"/>
    </row>
    <row r="4157">
      <c r="P4157" s="42"/>
      <c r="AB4157" s="38"/>
    </row>
    <row r="4158">
      <c r="P4158" s="42"/>
      <c r="AB4158" s="38"/>
    </row>
    <row r="4159">
      <c r="P4159" s="42"/>
      <c r="AB4159" s="38"/>
    </row>
    <row r="4160">
      <c r="P4160" s="42"/>
      <c r="AB4160" s="38"/>
    </row>
    <row r="4161">
      <c r="P4161" s="42"/>
      <c r="AB4161" s="38"/>
    </row>
    <row r="4162">
      <c r="P4162" s="42"/>
      <c r="AB4162" s="38"/>
    </row>
    <row r="4163">
      <c r="P4163" s="42"/>
      <c r="AB4163" s="38"/>
    </row>
    <row r="4164">
      <c r="P4164" s="42"/>
      <c r="AB4164" s="38"/>
    </row>
    <row r="4165">
      <c r="P4165" s="42"/>
      <c r="AB4165" s="38"/>
    </row>
    <row r="4166">
      <c r="P4166" s="42"/>
      <c r="AB4166" s="38"/>
    </row>
    <row r="4167">
      <c r="P4167" s="42"/>
      <c r="AB4167" s="38"/>
    </row>
    <row r="4168">
      <c r="P4168" s="42"/>
      <c r="AB4168" s="38"/>
    </row>
    <row r="4169">
      <c r="P4169" s="42"/>
      <c r="AB4169" s="38"/>
    </row>
    <row r="4170">
      <c r="P4170" s="42"/>
      <c r="AB4170" s="38"/>
    </row>
    <row r="4171">
      <c r="P4171" s="42"/>
      <c r="AB4171" s="38"/>
    </row>
    <row r="4172">
      <c r="P4172" s="42"/>
      <c r="AB4172" s="38"/>
    </row>
    <row r="4173">
      <c r="P4173" s="42"/>
      <c r="AB4173" s="38"/>
    </row>
    <row r="4174">
      <c r="P4174" s="42"/>
      <c r="AB4174" s="38"/>
    </row>
    <row r="4175">
      <c r="P4175" s="42"/>
      <c r="AB4175" s="38"/>
    </row>
    <row r="4176">
      <c r="P4176" s="42"/>
      <c r="AB4176" s="38"/>
    </row>
    <row r="4177">
      <c r="P4177" s="42"/>
      <c r="AB4177" s="38"/>
    </row>
    <row r="4178">
      <c r="P4178" s="42"/>
      <c r="AB4178" s="38"/>
    </row>
    <row r="4179">
      <c r="P4179" s="42"/>
      <c r="AB4179" s="38"/>
    </row>
    <row r="4180">
      <c r="P4180" s="42"/>
      <c r="AB4180" s="38"/>
    </row>
    <row r="4181">
      <c r="P4181" s="42"/>
      <c r="AB4181" s="38"/>
    </row>
    <row r="4182">
      <c r="P4182" s="42"/>
      <c r="AB4182" s="38"/>
    </row>
    <row r="4183">
      <c r="P4183" s="42"/>
      <c r="AB4183" s="38"/>
    </row>
    <row r="4184">
      <c r="P4184" s="42"/>
      <c r="AB4184" s="38"/>
    </row>
    <row r="4185">
      <c r="P4185" s="42"/>
      <c r="AB4185" s="38"/>
    </row>
    <row r="4186">
      <c r="P4186" s="42"/>
      <c r="AB4186" s="38"/>
    </row>
    <row r="4187">
      <c r="P4187" s="42"/>
      <c r="AB4187" s="38"/>
    </row>
    <row r="4188">
      <c r="P4188" s="42"/>
      <c r="AB4188" s="38"/>
    </row>
    <row r="4189">
      <c r="P4189" s="42"/>
      <c r="AB4189" s="38"/>
    </row>
    <row r="4190">
      <c r="P4190" s="42"/>
      <c r="AB4190" s="38"/>
    </row>
    <row r="4191">
      <c r="P4191" s="42"/>
      <c r="AB4191" s="38"/>
    </row>
    <row r="4192">
      <c r="P4192" s="42"/>
      <c r="AB4192" s="38"/>
    </row>
    <row r="4193">
      <c r="P4193" s="42"/>
      <c r="AB4193" s="38"/>
    </row>
    <row r="4194">
      <c r="P4194" s="42"/>
      <c r="AB4194" s="38"/>
    </row>
    <row r="4195">
      <c r="P4195" s="42"/>
      <c r="AB4195" s="38"/>
    </row>
    <row r="4196">
      <c r="P4196" s="42"/>
      <c r="AB4196" s="38"/>
    </row>
    <row r="4197">
      <c r="P4197" s="42"/>
      <c r="AB4197" s="38"/>
    </row>
    <row r="4198">
      <c r="P4198" s="42"/>
      <c r="AB4198" s="38"/>
    </row>
    <row r="4199">
      <c r="P4199" s="42"/>
      <c r="AB4199" s="38"/>
    </row>
    <row r="4200">
      <c r="P4200" s="42"/>
      <c r="AB4200" s="38"/>
    </row>
    <row r="4201">
      <c r="P4201" s="42"/>
      <c r="AB4201" s="38"/>
    </row>
    <row r="4202">
      <c r="P4202" s="42"/>
      <c r="AB4202" s="38"/>
    </row>
    <row r="4203">
      <c r="P4203" s="42"/>
      <c r="AB4203" s="38"/>
    </row>
    <row r="4204">
      <c r="P4204" s="42"/>
      <c r="AB4204" s="38"/>
    </row>
    <row r="4205">
      <c r="P4205" s="42"/>
      <c r="AB4205" s="38"/>
    </row>
    <row r="4206">
      <c r="P4206" s="42"/>
      <c r="AB4206" s="38"/>
    </row>
    <row r="4207">
      <c r="P4207" s="42"/>
      <c r="AB4207" s="38"/>
    </row>
    <row r="4208">
      <c r="P4208" s="42"/>
      <c r="AB4208" s="38"/>
    </row>
    <row r="4209">
      <c r="P4209" s="42"/>
      <c r="AB4209" s="38"/>
    </row>
    <row r="4210">
      <c r="P4210" s="42"/>
      <c r="AB4210" s="38"/>
    </row>
    <row r="4211">
      <c r="P4211" s="42"/>
      <c r="AB4211" s="38"/>
    </row>
    <row r="4212">
      <c r="P4212" s="42"/>
      <c r="AB4212" s="38"/>
    </row>
    <row r="4213">
      <c r="P4213" s="42"/>
      <c r="AB4213" s="38"/>
    </row>
    <row r="4214">
      <c r="P4214" s="42"/>
      <c r="AB4214" s="38"/>
    </row>
    <row r="4215">
      <c r="P4215" s="42"/>
      <c r="AB4215" s="38"/>
    </row>
    <row r="4216">
      <c r="P4216" s="42"/>
      <c r="AB4216" s="38"/>
    </row>
    <row r="4217">
      <c r="P4217" s="42"/>
      <c r="AB4217" s="38"/>
    </row>
    <row r="4218">
      <c r="P4218" s="42"/>
      <c r="AB4218" s="38"/>
    </row>
    <row r="4219">
      <c r="P4219" s="42"/>
      <c r="AB4219" s="38"/>
    </row>
    <row r="4220">
      <c r="P4220" s="42"/>
      <c r="AB4220" s="38"/>
    </row>
    <row r="4221">
      <c r="P4221" s="42"/>
      <c r="AB4221" s="38"/>
    </row>
    <row r="4222">
      <c r="P4222" s="42"/>
      <c r="AB4222" s="38"/>
    </row>
    <row r="4223">
      <c r="P4223" s="42"/>
      <c r="AB4223" s="38"/>
    </row>
    <row r="4224">
      <c r="P4224" s="42"/>
      <c r="AB4224" s="38"/>
    </row>
    <row r="4225">
      <c r="P4225" s="42"/>
      <c r="AB4225" s="38"/>
    </row>
    <row r="4226">
      <c r="P4226" s="42"/>
      <c r="AB4226" s="38"/>
    </row>
    <row r="4227">
      <c r="P4227" s="42"/>
      <c r="AB4227" s="38"/>
    </row>
    <row r="4228">
      <c r="P4228" s="42"/>
      <c r="AB4228" s="38"/>
    </row>
    <row r="4229">
      <c r="P4229" s="42"/>
      <c r="AB4229" s="38"/>
    </row>
    <row r="4230">
      <c r="P4230" s="42"/>
      <c r="AB4230" s="38"/>
    </row>
    <row r="4231">
      <c r="P4231" s="42"/>
      <c r="AB4231" s="38"/>
    </row>
    <row r="4232">
      <c r="P4232" s="42"/>
      <c r="AB4232" s="38"/>
    </row>
    <row r="4233">
      <c r="P4233" s="42"/>
      <c r="AB4233" s="38"/>
    </row>
    <row r="4234">
      <c r="P4234" s="42"/>
      <c r="AB4234" s="38"/>
    </row>
    <row r="4235">
      <c r="P4235" s="42"/>
      <c r="AB4235" s="38"/>
    </row>
    <row r="4236">
      <c r="P4236" s="42"/>
      <c r="AB4236" s="38"/>
    </row>
    <row r="4237">
      <c r="P4237" s="42"/>
      <c r="AB4237" s="38"/>
    </row>
    <row r="4238">
      <c r="P4238" s="42"/>
      <c r="AB4238" s="38"/>
    </row>
    <row r="4239">
      <c r="P4239" s="42"/>
      <c r="AB4239" s="38"/>
    </row>
    <row r="4240">
      <c r="P4240" s="42"/>
      <c r="AB4240" s="38"/>
    </row>
    <row r="4241">
      <c r="P4241" s="42"/>
      <c r="AB4241" s="38"/>
    </row>
    <row r="4242">
      <c r="P4242" s="42"/>
      <c r="AB4242" s="38"/>
    </row>
    <row r="4243">
      <c r="P4243" s="42"/>
      <c r="AB4243" s="38"/>
    </row>
    <row r="4244">
      <c r="P4244" s="42"/>
      <c r="AB4244" s="38"/>
    </row>
    <row r="4245">
      <c r="P4245" s="42"/>
      <c r="AB4245" s="38"/>
    </row>
    <row r="4246">
      <c r="P4246" s="42"/>
      <c r="AB4246" s="38"/>
    </row>
    <row r="4247">
      <c r="P4247" s="42"/>
      <c r="AB4247" s="38"/>
    </row>
    <row r="4248">
      <c r="P4248" s="42"/>
      <c r="AB4248" s="38"/>
    </row>
    <row r="4249">
      <c r="P4249" s="42"/>
      <c r="AB4249" s="38"/>
    </row>
    <row r="4250">
      <c r="P4250" s="42"/>
      <c r="AB4250" s="38"/>
    </row>
    <row r="4251">
      <c r="P4251" s="42"/>
      <c r="AB4251" s="38"/>
    </row>
    <row r="4252">
      <c r="P4252" s="42"/>
      <c r="AB4252" s="38"/>
    </row>
    <row r="4253">
      <c r="P4253" s="42"/>
      <c r="AB4253" s="38"/>
    </row>
    <row r="4254">
      <c r="P4254" s="42"/>
      <c r="AB4254" s="38"/>
    </row>
    <row r="4255">
      <c r="P4255" s="42"/>
      <c r="AB4255" s="38"/>
    </row>
    <row r="4256">
      <c r="P4256" s="42"/>
      <c r="AB4256" s="38"/>
    </row>
    <row r="4257">
      <c r="P4257" s="42"/>
      <c r="AB4257" s="38"/>
    </row>
    <row r="4258">
      <c r="P4258" s="42"/>
      <c r="AB4258" s="38"/>
    </row>
    <row r="4259">
      <c r="P4259" s="42"/>
      <c r="AB4259" s="38"/>
    </row>
    <row r="4260">
      <c r="P4260" s="42"/>
      <c r="AB4260" s="38"/>
    </row>
    <row r="4261">
      <c r="P4261" s="42"/>
      <c r="AB4261" s="38"/>
    </row>
    <row r="4262">
      <c r="P4262" s="42"/>
      <c r="AB4262" s="38"/>
    </row>
    <row r="4263">
      <c r="P4263" s="42"/>
      <c r="AB4263" s="38"/>
    </row>
    <row r="4264">
      <c r="P4264" s="42"/>
      <c r="AB4264" s="38"/>
    </row>
    <row r="4265">
      <c r="P4265" s="42"/>
      <c r="AB4265" s="38"/>
    </row>
    <row r="4266">
      <c r="P4266" s="42"/>
      <c r="AB4266" s="38"/>
    </row>
    <row r="4267">
      <c r="P4267" s="42"/>
      <c r="AB4267" s="38"/>
    </row>
    <row r="4268">
      <c r="P4268" s="42"/>
      <c r="AB4268" s="38"/>
    </row>
    <row r="4269">
      <c r="P4269" s="42"/>
      <c r="AB4269" s="38"/>
    </row>
    <row r="4270">
      <c r="P4270" s="42"/>
      <c r="AB4270" s="38"/>
    </row>
    <row r="4271">
      <c r="P4271" s="42"/>
      <c r="AB4271" s="38"/>
    </row>
    <row r="4272">
      <c r="P4272" s="42"/>
      <c r="AB4272" s="38"/>
    </row>
    <row r="4273">
      <c r="P4273" s="42"/>
      <c r="AB4273" s="38"/>
    </row>
    <row r="4274">
      <c r="P4274" s="42"/>
      <c r="AB4274" s="38"/>
    </row>
    <row r="4275">
      <c r="P4275" s="42"/>
      <c r="AB4275" s="38"/>
    </row>
    <row r="4276">
      <c r="P4276" s="42"/>
      <c r="AB4276" s="38"/>
    </row>
    <row r="4277">
      <c r="P4277" s="42"/>
      <c r="AB4277" s="38"/>
    </row>
    <row r="4278">
      <c r="P4278" s="42"/>
      <c r="AB4278" s="38"/>
    </row>
    <row r="4279">
      <c r="P4279" s="42"/>
      <c r="AB4279" s="38"/>
    </row>
    <row r="4280">
      <c r="P4280" s="42"/>
      <c r="AB4280" s="38"/>
    </row>
    <row r="4281">
      <c r="P4281" s="42"/>
      <c r="AB4281" s="38"/>
    </row>
    <row r="4282">
      <c r="P4282" s="42"/>
      <c r="AB4282" s="38"/>
    </row>
    <row r="4283">
      <c r="P4283" s="42"/>
      <c r="AB4283" s="38"/>
    </row>
    <row r="4284">
      <c r="P4284" s="42"/>
      <c r="AB4284" s="38"/>
    </row>
    <row r="4285">
      <c r="P4285" s="42"/>
      <c r="AB4285" s="38"/>
    </row>
    <row r="4286">
      <c r="P4286" s="42"/>
      <c r="AB4286" s="38"/>
    </row>
    <row r="4287">
      <c r="P4287" s="42"/>
      <c r="AB4287" s="38"/>
    </row>
    <row r="4288">
      <c r="P4288" s="42"/>
      <c r="AB4288" s="38"/>
    </row>
    <row r="4289">
      <c r="P4289" s="42"/>
      <c r="AB4289" s="38"/>
    </row>
    <row r="4290">
      <c r="P4290" s="42"/>
      <c r="AB4290" s="38"/>
    </row>
    <row r="4291">
      <c r="P4291" s="42"/>
      <c r="AB4291" s="38"/>
    </row>
    <row r="4292">
      <c r="P4292" s="42"/>
      <c r="AB4292" s="38"/>
    </row>
    <row r="4293">
      <c r="P4293" s="42"/>
      <c r="AB4293" s="38"/>
    </row>
    <row r="4294">
      <c r="P4294" s="42"/>
      <c r="AB4294" s="38"/>
    </row>
    <row r="4295">
      <c r="P4295" s="42"/>
      <c r="AB4295" s="38"/>
    </row>
    <row r="4296">
      <c r="P4296" s="42"/>
      <c r="AB4296" s="38"/>
    </row>
    <row r="4297">
      <c r="P4297" s="42"/>
      <c r="AB4297" s="38"/>
    </row>
    <row r="4298">
      <c r="P4298" s="42"/>
      <c r="AB4298" s="38"/>
    </row>
    <row r="4299">
      <c r="P4299" s="42"/>
      <c r="AB4299" s="38"/>
    </row>
    <row r="4300">
      <c r="P4300" s="42"/>
      <c r="AB4300" s="38"/>
    </row>
    <row r="4301">
      <c r="P4301" s="42"/>
      <c r="AB4301" s="38"/>
    </row>
    <row r="4302">
      <c r="P4302" s="42"/>
      <c r="AB4302" s="38"/>
    </row>
    <row r="4303">
      <c r="P4303" s="42"/>
      <c r="AB4303" s="38"/>
    </row>
    <row r="4304">
      <c r="P4304" s="42"/>
      <c r="AB4304" s="38"/>
    </row>
    <row r="4305">
      <c r="P4305" s="42"/>
      <c r="AB4305" s="38"/>
    </row>
    <row r="4306">
      <c r="P4306" s="42"/>
      <c r="AB4306" s="38"/>
    </row>
    <row r="4307">
      <c r="P4307" s="42"/>
      <c r="AB4307" s="38"/>
    </row>
    <row r="4308">
      <c r="P4308" s="42"/>
      <c r="AB4308" s="38"/>
    </row>
    <row r="4309">
      <c r="P4309" s="42"/>
      <c r="AB4309" s="38"/>
    </row>
    <row r="4310">
      <c r="P4310" s="42"/>
      <c r="AB4310" s="38"/>
    </row>
    <row r="4311">
      <c r="P4311" s="42"/>
      <c r="AB4311" s="38"/>
    </row>
    <row r="4312">
      <c r="P4312" s="42"/>
      <c r="AB4312" s="38"/>
    </row>
    <row r="4313">
      <c r="P4313" s="42"/>
      <c r="AB4313" s="38"/>
    </row>
    <row r="4314">
      <c r="P4314" s="42"/>
      <c r="AB4314" s="38"/>
    </row>
    <row r="4315">
      <c r="P4315" s="42"/>
      <c r="AB4315" s="38"/>
    </row>
    <row r="4316">
      <c r="P4316" s="42"/>
      <c r="AB4316" s="38"/>
    </row>
    <row r="4317">
      <c r="P4317" s="42"/>
      <c r="AB4317" s="38"/>
    </row>
    <row r="4318">
      <c r="P4318" s="42"/>
      <c r="AB4318" s="38"/>
    </row>
    <row r="4319">
      <c r="P4319" s="42"/>
      <c r="AB4319" s="38"/>
    </row>
    <row r="4320">
      <c r="P4320" s="42"/>
      <c r="AB4320" s="38"/>
    </row>
    <row r="4321">
      <c r="P4321" s="42"/>
      <c r="AB4321" s="38"/>
    </row>
    <row r="4322">
      <c r="P4322" s="42"/>
      <c r="AB4322" s="38"/>
    </row>
    <row r="4323">
      <c r="P4323" s="42"/>
      <c r="AB4323" s="38"/>
    </row>
    <row r="4324">
      <c r="P4324" s="42"/>
      <c r="AB4324" s="38"/>
    </row>
    <row r="4325">
      <c r="P4325" s="42"/>
      <c r="AB4325" s="38"/>
    </row>
    <row r="4326">
      <c r="P4326" s="42"/>
      <c r="AB4326" s="38"/>
    </row>
    <row r="4327">
      <c r="P4327" s="42"/>
      <c r="AB4327" s="38"/>
    </row>
    <row r="4328">
      <c r="P4328" s="42"/>
      <c r="AB4328" s="38"/>
    </row>
    <row r="4329">
      <c r="P4329" s="42"/>
      <c r="AB4329" s="38"/>
    </row>
    <row r="4330">
      <c r="P4330" s="42"/>
      <c r="AB4330" s="38"/>
    </row>
    <row r="4331">
      <c r="P4331" s="42"/>
      <c r="AB4331" s="38"/>
    </row>
    <row r="4332">
      <c r="P4332" s="42"/>
      <c r="AB4332" s="38"/>
    </row>
    <row r="4333">
      <c r="P4333" s="42"/>
      <c r="AB4333" s="38"/>
    </row>
    <row r="4334">
      <c r="P4334" s="42"/>
      <c r="AB4334" s="38"/>
    </row>
    <row r="4335">
      <c r="P4335" s="42"/>
      <c r="AB4335" s="38"/>
    </row>
    <row r="4336">
      <c r="P4336" s="42"/>
      <c r="AB4336" s="38"/>
    </row>
    <row r="4337">
      <c r="P4337" s="42"/>
      <c r="AB4337" s="38"/>
    </row>
    <row r="4338">
      <c r="P4338" s="42"/>
      <c r="AB4338" s="38"/>
    </row>
    <row r="4339">
      <c r="P4339" s="42"/>
      <c r="AB4339" s="38"/>
    </row>
    <row r="4340">
      <c r="P4340" s="42"/>
      <c r="AB4340" s="38"/>
    </row>
    <row r="4341">
      <c r="P4341" s="42"/>
      <c r="AB4341" s="38"/>
    </row>
    <row r="4342">
      <c r="P4342" s="42"/>
      <c r="AB4342" s="38"/>
    </row>
    <row r="4343">
      <c r="P4343" s="42"/>
      <c r="AB4343" s="38"/>
    </row>
    <row r="4344">
      <c r="P4344" s="42"/>
      <c r="AB4344" s="38"/>
    </row>
    <row r="4345">
      <c r="P4345" s="42"/>
      <c r="AB4345" s="38"/>
    </row>
    <row r="4346">
      <c r="P4346" s="42"/>
      <c r="AB4346" s="38"/>
    </row>
    <row r="4347">
      <c r="P4347" s="42"/>
      <c r="AB4347" s="38"/>
    </row>
    <row r="4348">
      <c r="P4348" s="42"/>
      <c r="AB4348" s="38"/>
    </row>
    <row r="4349">
      <c r="P4349" s="42"/>
      <c r="AB4349" s="38"/>
    </row>
    <row r="4350">
      <c r="P4350" s="42"/>
      <c r="AB4350" s="38"/>
    </row>
    <row r="4351">
      <c r="P4351" s="42"/>
      <c r="AB4351" s="38"/>
    </row>
    <row r="4352">
      <c r="P4352" s="42"/>
      <c r="AB4352" s="38"/>
    </row>
    <row r="4353">
      <c r="P4353" s="42"/>
      <c r="AB4353" s="38"/>
    </row>
    <row r="4354">
      <c r="P4354" s="42"/>
      <c r="AB4354" s="38"/>
    </row>
    <row r="4355">
      <c r="P4355" s="42"/>
      <c r="AB4355" s="38"/>
    </row>
    <row r="4356">
      <c r="P4356" s="42"/>
      <c r="AB4356" s="38"/>
    </row>
    <row r="4357">
      <c r="P4357" s="42"/>
      <c r="AB4357" s="38"/>
    </row>
    <row r="4358">
      <c r="P4358" s="42"/>
      <c r="AB4358" s="38"/>
    </row>
    <row r="4359">
      <c r="P4359" s="42"/>
      <c r="AB4359" s="38"/>
    </row>
    <row r="4360">
      <c r="P4360" s="42"/>
      <c r="AB4360" s="38"/>
    </row>
    <row r="4361">
      <c r="P4361" s="42"/>
      <c r="AB4361" s="38"/>
    </row>
    <row r="4362">
      <c r="P4362" s="42"/>
      <c r="AB4362" s="38"/>
    </row>
    <row r="4363">
      <c r="P4363" s="42"/>
      <c r="AB4363" s="38"/>
    </row>
    <row r="4364">
      <c r="P4364" s="42"/>
      <c r="AB4364" s="38"/>
    </row>
    <row r="4365">
      <c r="P4365" s="42"/>
      <c r="AB4365" s="38"/>
    </row>
    <row r="4366">
      <c r="P4366" s="42"/>
      <c r="AB4366" s="38"/>
    </row>
    <row r="4367">
      <c r="P4367" s="42"/>
      <c r="AB4367" s="38"/>
    </row>
    <row r="4368">
      <c r="P4368" s="42"/>
      <c r="AB4368" s="38"/>
    </row>
    <row r="4369">
      <c r="P4369" s="42"/>
      <c r="AB4369" s="38"/>
    </row>
    <row r="4370">
      <c r="P4370" s="42"/>
      <c r="AB4370" s="38"/>
    </row>
    <row r="4371">
      <c r="P4371" s="42"/>
      <c r="AB4371" s="38"/>
    </row>
    <row r="4372">
      <c r="P4372" s="42"/>
      <c r="AB4372" s="38"/>
    </row>
    <row r="4373">
      <c r="P4373" s="42"/>
      <c r="AB4373" s="38"/>
    </row>
    <row r="4374">
      <c r="P4374" s="42"/>
      <c r="AB4374" s="38"/>
    </row>
    <row r="4375">
      <c r="P4375" s="42"/>
      <c r="AB4375" s="38"/>
    </row>
    <row r="4376">
      <c r="P4376" s="42"/>
      <c r="AB4376" s="38"/>
    </row>
    <row r="4377">
      <c r="P4377" s="42"/>
      <c r="AB4377" s="38"/>
    </row>
    <row r="4378">
      <c r="P4378" s="42"/>
      <c r="AB4378" s="38"/>
    </row>
    <row r="4379">
      <c r="P4379" s="42"/>
      <c r="AB4379" s="38"/>
    </row>
    <row r="4380">
      <c r="P4380" s="42"/>
      <c r="AB4380" s="38"/>
    </row>
    <row r="4381">
      <c r="P4381" s="42"/>
      <c r="AB4381" s="38"/>
    </row>
    <row r="4382">
      <c r="P4382" s="42"/>
      <c r="AB4382" s="38"/>
    </row>
    <row r="4383">
      <c r="P4383" s="42"/>
      <c r="AB4383" s="38"/>
    </row>
    <row r="4384">
      <c r="P4384" s="42"/>
      <c r="AB4384" s="38"/>
    </row>
    <row r="4385">
      <c r="P4385" s="42"/>
      <c r="AB4385" s="38"/>
    </row>
    <row r="4386">
      <c r="P4386" s="42"/>
      <c r="AB4386" s="38"/>
    </row>
    <row r="4387">
      <c r="P4387" s="42"/>
      <c r="AB4387" s="38"/>
    </row>
    <row r="4388">
      <c r="P4388" s="42"/>
      <c r="AB4388" s="38"/>
    </row>
    <row r="4389">
      <c r="P4389" s="42"/>
      <c r="AB4389" s="38"/>
    </row>
    <row r="4390">
      <c r="P4390" s="42"/>
      <c r="AB4390" s="38"/>
    </row>
    <row r="4391">
      <c r="P4391" s="42"/>
      <c r="AB4391" s="38"/>
    </row>
    <row r="4392">
      <c r="P4392" s="42"/>
      <c r="AB4392" s="38"/>
    </row>
    <row r="4393">
      <c r="P4393" s="42"/>
      <c r="AB4393" s="38"/>
    </row>
    <row r="4394">
      <c r="P4394" s="42"/>
      <c r="AB4394" s="38"/>
    </row>
    <row r="4395">
      <c r="P4395" s="42"/>
      <c r="AB4395" s="38"/>
    </row>
    <row r="4396">
      <c r="P4396" s="42"/>
      <c r="AB4396" s="38"/>
    </row>
    <row r="4397">
      <c r="P4397" s="42"/>
      <c r="AB4397" s="38"/>
    </row>
    <row r="4398">
      <c r="P4398" s="42"/>
      <c r="AB4398" s="38"/>
    </row>
    <row r="4399">
      <c r="P4399" s="42"/>
      <c r="AB4399" s="38"/>
    </row>
    <row r="4400">
      <c r="P4400" s="42"/>
      <c r="AB4400" s="38"/>
    </row>
    <row r="4401">
      <c r="P4401" s="42"/>
      <c r="AB4401" s="38"/>
    </row>
    <row r="4402">
      <c r="P4402" s="42"/>
      <c r="AB4402" s="38"/>
    </row>
    <row r="4403">
      <c r="P4403" s="42"/>
      <c r="AB4403" s="38"/>
    </row>
    <row r="4404">
      <c r="P4404" s="42"/>
      <c r="AB4404" s="38"/>
    </row>
    <row r="4405">
      <c r="P4405" s="42"/>
      <c r="AB4405" s="38"/>
    </row>
    <row r="4406">
      <c r="P4406" s="42"/>
      <c r="AB4406" s="38"/>
    </row>
    <row r="4407">
      <c r="P4407" s="42"/>
      <c r="AB4407" s="38"/>
    </row>
    <row r="4408">
      <c r="P4408" s="42"/>
      <c r="AB4408" s="38"/>
    </row>
    <row r="4409">
      <c r="P4409" s="42"/>
      <c r="AB4409" s="38"/>
    </row>
    <row r="4410">
      <c r="P4410" s="42"/>
      <c r="AB4410" s="38"/>
    </row>
    <row r="4411">
      <c r="P4411" s="42"/>
      <c r="AB4411" s="38"/>
    </row>
    <row r="4412">
      <c r="P4412" s="42"/>
      <c r="AB4412" s="38"/>
    </row>
    <row r="4413">
      <c r="P4413" s="42"/>
      <c r="AB4413" s="38"/>
    </row>
    <row r="4414">
      <c r="P4414" s="42"/>
      <c r="AB4414" s="38"/>
    </row>
    <row r="4415">
      <c r="P4415" s="42"/>
      <c r="AB4415" s="38"/>
    </row>
    <row r="4416">
      <c r="P4416" s="42"/>
      <c r="AB4416" s="38"/>
    </row>
    <row r="4417">
      <c r="P4417" s="42"/>
      <c r="AB4417" s="38"/>
    </row>
    <row r="4418">
      <c r="P4418" s="42"/>
      <c r="AB4418" s="38"/>
    </row>
    <row r="4419">
      <c r="P4419" s="42"/>
      <c r="AB4419" s="38"/>
    </row>
    <row r="4420">
      <c r="P4420" s="42"/>
      <c r="AB4420" s="38"/>
    </row>
    <row r="4421">
      <c r="P4421" s="42"/>
      <c r="AB4421" s="38"/>
    </row>
    <row r="4422">
      <c r="P4422" s="42"/>
      <c r="AB4422" s="38"/>
    </row>
    <row r="4423">
      <c r="P4423" s="42"/>
      <c r="AB4423" s="38"/>
    </row>
    <row r="4424">
      <c r="P4424" s="42"/>
      <c r="AB4424" s="38"/>
    </row>
    <row r="4425">
      <c r="P4425" s="42"/>
      <c r="AB4425" s="38"/>
    </row>
    <row r="4426">
      <c r="P4426" s="42"/>
      <c r="AB4426" s="38"/>
    </row>
    <row r="4427">
      <c r="P4427" s="42"/>
      <c r="AB4427" s="38"/>
    </row>
    <row r="4428">
      <c r="P4428" s="42"/>
      <c r="AB4428" s="38"/>
    </row>
    <row r="4429">
      <c r="P4429" s="42"/>
      <c r="AB4429" s="38"/>
    </row>
    <row r="4430">
      <c r="P4430" s="42"/>
      <c r="AB4430" s="38"/>
    </row>
    <row r="4431">
      <c r="P4431" s="42"/>
      <c r="AB4431" s="38"/>
    </row>
    <row r="4432">
      <c r="P4432" s="42"/>
      <c r="AB4432" s="38"/>
    </row>
    <row r="4433">
      <c r="P4433" s="42"/>
      <c r="AB4433" s="38"/>
    </row>
    <row r="4434">
      <c r="P4434" s="42"/>
      <c r="AB4434" s="38"/>
    </row>
    <row r="4435">
      <c r="P4435" s="42"/>
      <c r="AB4435" s="38"/>
    </row>
    <row r="4436">
      <c r="P4436" s="42"/>
      <c r="AB4436" s="38"/>
    </row>
    <row r="4437">
      <c r="P4437" s="42"/>
      <c r="AB4437" s="38"/>
    </row>
    <row r="4438">
      <c r="P4438" s="42"/>
      <c r="AB4438" s="38"/>
    </row>
    <row r="4439">
      <c r="P4439" s="42"/>
      <c r="AB4439" s="38"/>
    </row>
    <row r="4440">
      <c r="P4440" s="42"/>
      <c r="AB4440" s="38"/>
    </row>
    <row r="4441">
      <c r="P4441" s="42"/>
      <c r="AB4441" s="38"/>
    </row>
    <row r="4442">
      <c r="P4442" s="42"/>
      <c r="AB4442" s="38"/>
    </row>
    <row r="4443">
      <c r="P4443" s="42"/>
      <c r="AB4443" s="38"/>
    </row>
    <row r="4444">
      <c r="P4444" s="42"/>
      <c r="AB4444" s="38"/>
    </row>
    <row r="4445">
      <c r="P4445" s="42"/>
      <c r="AB4445" s="38"/>
    </row>
    <row r="4446">
      <c r="P4446" s="42"/>
      <c r="AB4446" s="38"/>
    </row>
    <row r="4447">
      <c r="P4447" s="42"/>
      <c r="AB4447" s="38"/>
    </row>
    <row r="4448">
      <c r="P4448" s="42"/>
      <c r="AB4448" s="38"/>
    </row>
    <row r="4449">
      <c r="P4449" s="42"/>
      <c r="AB4449" s="38"/>
    </row>
    <row r="4450">
      <c r="P4450" s="42"/>
      <c r="AB4450" s="38"/>
    </row>
    <row r="4451">
      <c r="P4451" s="42"/>
      <c r="AB4451" s="38"/>
    </row>
    <row r="4452">
      <c r="P4452" s="42"/>
      <c r="AB4452" s="38"/>
    </row>
    <row r="4453">
      <c r="P4453" s="42"/>
      <c r="AB4453" s="38"/>
    </row>
    <row r="4454">
      <c r="P4454" s="42"/>
      <c r="AB4454" s="38"/>
    </row>
    <row r="4455">
      <c r="P4455" s="42"/>
      <c r="AB4455" s="38"/>
    </row>
    <row r="4456">
      <c r="P4456" s="42"/>
      <c r="AB4456" s="38"/>
    </row>
    <row r="4457">
      <c r="P4457" s="42"/>
      <c r="AB4457" s="38"/>
    </row>
    <row r="4458">
      <c r="P4458" s="42"/>
      <c r="AB4458" s="38"/>
    </row>
    <row r="4459">
      <c r="P4459" s="42"/>
      <c r="AB4459" s="38"/>
    </row>
    <row r="4460">
      <c r="P4460" s="42"/>
      <c r="AB4460" s="38"/>
    </row>
    <row r="4461">
      <c r="P4461" s="42"/>
      <c r="AB4461" s="38"/>
    </row>
    <row r="4462">
      <c r="P4462" s="42"/>
      <c r="AB4462" s="38"/>
    </row>
    <row r="4463">
      <c r="P4463" s="42"/>
      <c r="AB4463" s="38"/>
    </row>
    <row r="4464">
      <c r="P4464" s="42"/>
      <c r="AB4464" s="38"/>
    </row>
    <row r="4465">
      <c r="P4465" s="42"/>
      <c r="AB4465" s="38"/>
    </row>
    <row r="4466">
      <c r="P4466" s="42"/>
      <c r="AB4466" s="38"/>
    </row>
    <row r="4467">
      <c r="P4467" s="42"/>
      <c r="AB4467" s="38"/>
    </row>
    <row r="4468">
      <c r="P4468" s="42"/>
      <c r="AB4468" s="38"/>
    </row>
    <row r="4469">
      <c r="P4469" s="42"/>
      <c r="AB4469" s="38"/>
    </row>
    <row r="4470">
      <c r="P4470" s="42"/>
      <c r="AB4470" s="38"/>
    </row>
    <row r="4471">
      <c r="P4471" s="42"/>
      <c r="AB4471" s="38"/>
    </row>
    <row r="4472">
      <c r="P4472" s="42"/>
      <c r="AB4472" s="38"/>
    </row>
    <row r="4473">
      <c r="P4473" s="42"/>
      <c r="AB4473" s="38"/>
    </row>
    <row r="4474">
      <c r="P4474" s="42"/>
      <c r="AB4474" s="38"/>
    </row>
    <row r="4475">
      <c r="P4475" s="42"/>
      <c r="AB4475" s="38"/>
    </row>
    <row r="4476">
      <c r="P4476" s="42"/>
      <c r="AB4476" s="38"/>
    </row>
    <row r="4477">
      <c r="P4477" s="42"/>
      <c r="AB4477" s="38"/>
    </row>
    <row r="4478">
      <c r="P4478" s="42"/>
      <c r="AB4478" s="38"/>
    </row>
    <row r="4479">
      <c r="P4479" s="42"/>
      <c r="AB4479" s="38"/>
    </row>
    <row r="4480">
      <c r="P4480" s="42"/>
      <c r="AB4480" s="38"/>
    </row>
    <row r="4481">
      <c r="P4481" s="42"/>
      <c r="AB4481" s="38"/>
    </row>
    <row r="4482">
      <c r="P4482" s="42"/>
      <c r="AB4482" s="38"/>
    </row>
    <row r="4483">
      <c r="P4483" s="42"/>
      <c r="AB4483" s="38"/>
    </row>
    <row r="4484">
      <c r="P4484" s="42"/>
      <c r="AB4484" s="38"/>
    </row>
    <row r="4485">
      <c r="P4485" s="42"/>
      <c r="AB4485" s="38"/>
    </row>
    <row r="4486">
      <c r="P4486" s="42"/>
      <c r="AB4486" s="38"/>
    </row>
    <row r="4487">
      <c r="P4487" s="42"/>
      <c r="AB4487" s="38"/>
    </row>
    <row r="4488">
      <c r="P4488" s="42"/>
      <c r="AB4488" s="38"/>
    </row>
    <row r="4489">
      <c r="P4489" s="42"/>
      <c r="AB4489" s="38"/>
    </row>
    <row r="4490">
      <c r="P4490" s="42"/>
      <c r="AB4490" s="38"/>
    </row>
    <row r="4491">
      <c r="P4491" s="42"/>
      <c r="AB4491" s="38"/>
    </row>
    <row r="4492">
      <c r="P4492" s="42"/>
      <c r="AB4492" s="38"/>
    </row>
    <row r="4493">
      <c r="P4493" s="42"/>
      <c r="AB4493" s="38"/>
    </row>
    <row r="4494">
      <c r="P4494" s="42"/>
      <c r="AB4494" s="38"/>
    </row>
    <row r="4495">
      <c r="P4495" s="42"/>
      <c r="AB4495" s="38"/>
    </row>
    <row r="4496">
      <c r="P4496" s="42"/>
      <c r="AB4496" s="38"/>
    </row>
    <row r="4497">
      <c r="P4497" s="42"/>
      <c r="AB4497" s="38"/>
    </row>
    <row r="4498">
      <c r="P4498" s="42"/>
      <c r="AB4498" s="38"/>
    </row>
    <row r="4499">
      <c r="P4499" s="42"/>
      <c r="AB4499" s="38"/>
    </row>
    <row r="4500">
      <c r="P4500" s="42"/>
      <c r="AB4500" s="38"/>
    </row>
    <row r="4501">
      <c r="P4501" s="42"/>
      <c r="AB4501" s="38"/>
    </row>
    <row r="4502">
      <c r="P4502" s="42"/>
      <c r="AB4502" s="38"/>
    </row>
    <row r="4503">
      <c r="P4503" s="42"/>
      <c r="AB4503" s="38"/>
    </row>
    <row r="4504">
      <c r="P4504" s="42"/>
      <c r="AB4504" s="38"/>
    </row>
    <row r="4505">
      <c r="P4505" s="42"/>
      <c r="AB4505" s="38"/>
    </row>
    <row r="4506">
      <c r="P4506" s="42"/>
      <c r="AB4506" s="38"/>
    </row>
    <row r="4507">
      <c r="P4507" s="42"/>
      <c r="AB4507" s="38"/>
    </row>
    <row r="4508">
      <c r="P4508" s="42"/>
      <c r="AB4508" s="38"/>
    </row>
    <row r="4509">
      <c r="P4509" s="42"/>
      <c r="AB4509" s="38"/>
    </row>
    <row r="4510">
      <c r="P4510" s="42"/>
      <c r="AB4510" s="38"/>
    </row>
    <row r="4511">
      <c r="P4511" s="42"/>
      <c r="AB4511" s="38"/>
    </row>
    <row r="4512">
      <c r="P4512" s="42"/>
      <c r="AB4512" s="38"/>
    </row>
    <row r="4513">
      <c r="P4513" s="42"/>
      <c r="AB4513" s="38"/>
    </row>
    <row r="4514">
      <c r="P4514" s="42"/>
      <c r="AB4514" s="38"/>
    </row>
    <row r="4515">
      <c r="P4515" s="42"/>
      <c r="AB4515" s="38"/>
    </row>
    <row r="4516">
      <c r="P4516" s="42"/>
      <c r="AB4516" s="38"/>
    </row>
    <row r="4517">
      <c r="P4517" s="42"/>
      <c r="AB4517" s="38"/>
    </row>
    <row r="4518">
      <c r="P4518" s="42"/>
      <c r="AB4518" s="38"/>
    </row>
    <row r="4519">
      <c r="P4519" s="42"/>
      <c r="AB4519" s="38"/>
    </row>
    <row r="4520">
      <c r="P4520" s="42"/>
      <c r="AB4520" s="38"/>
    </row>
    <row r="4521">
      <c r="P4521" s="42"/>
      <c r="AB4521" s="38"/>
    </row>
    <row r="4522">
      <c r="P4522" s="42"/>
      <c r="AB4522" s="38"/>
    </row>
    <row r="4523">
      <c r="P4523" s="42"/>
      <c r="AB4523" s="38"/>
    </row>
    <row r="4524">
      <c r="P4524" s="42"/>
      <c r="AB4524" s="38"/>
    </row>
    <row r="4525">
      <c r="P4525" s="42"/>
      <c r="AB4525" s="38"/>
    </row>
    <row r="4526">
      <c r="P4526" s="42"/>
      <c r="AB4526" s="38"/>
    </row>
    <row r="4527">
      <c r="P4527" s="42"/>
      <c r="AB4527" s="38"/>
    </row>
    <row r="4528">
      <c r="P4528" s="42"/>
      <c r="AB4528" s="38"/>
    </row>
    <row r="4529">
      <c r="P4529" s="42"/>
      <c r="AB4529" s="38"/>
    </row>
    <row r="4530">
      <c r="P4530" s="42"/>
      <c r="AB4530" s="38"/>
    </row>
    <row r="4531">
      <c r="P4531" s="42"/>
      <c r="AB4531" s="38"/>
    </row>
    <row r="4532">
      <c r="P4532" s="42"/>
      <c r="AB4532" s="38"/>
    </row>
    <row r="4533">
      <c r="P4533" s="42"/>
      <c r="AB4533" s="38"/>
    </row>
    <row r="4534">
      <c r="P4534" s="42"/>
      <c r="AB4534" s="38"/>
    </row>
    <row r="4535">
      <c r="P4535" s="42"/>
      <c r="AB4535" s="38"/>
    </row>
    <row r="4536">
      <c r="P4536" s="42"/>
      <c r="AB4536" s="38"/>
    </row>
    <row r="4537">
      <c r="P4537" s="42"/>
      <c r="AB4537" s="38"/>
    </row>
    <row r="4538">
      <c r="P4538" s="42"/>
      <c r="AB4538" s="38"/>
    </row>
    <row r="4539">
      <c r="P4539" s="42"/>
      <c r="AB4539" s="38"/>
    </row>
    <row r="4540">
      <c r="P4540" s="42"/>
      <c r="AB4540" s="38"/>
    </row>
    <row r="4541">
      <c r="P4541" s="42"/>
      <c r="AB4541" s="38"/>
    </row>
    <row r="4542">
      <c r="P4542" s="42"/>
      <c r="AB4542" s="38"/>
    </row>
    <row r="4543">
      <c r="P4543" s="42"/>
      <c r="AB4543" s="38"/>
    </row>
    <row r="4544">
      <c r="P4544" s="42"/>
      <c r="AB4544" s="38"/>
    </row>
    <row r="4545">
      <c r="P4545" s="42"/>
      <c r="AB4545" s="38"/>
    </row>
    <row r="4546">
      <c r="P4546" s="42"/>
      <c r="AB4546" s="38"/>
    </row>
    <row r="4547">
      <c r="P4547" s="42"/>
      <c r="AB4547" s="38"/>
    </row>
    <row r="4548">
      <c r="P4548" s="42"/>
      <c r="AB4548" s="38"/>
    </row>
    <row r="4549">
      <c r="P4549" s="42"/>
      <c r="AB4549" s="38"/>
    </row>
    <row r="4550">
      <c r="P4550" s="42"/>
      <c r="AB4550" s="38"/>
    </row>
    <row r="4551">
      <c r="P4551" s="42"/>
      <c r="AB4551" s="38"/>
    </row>
    <row r="4552">
      <c r="P4552" s="42"/>
      <c r="AB4552" s="38"/>
    </row>
    <row r="4553">
      <c r="P4553" s="42"/>
      <c r="AB4553" s="38"/>
    </row>
    <row r="4554">
      <c r="P4554" s="42"/>
      <c r="AB4554" s="38"/>
    </row>
    <row r="4555">
      <c r="P4555" s="42"/>
      <c r="AB4555" s="38"/>
    </row>
    <row r="4556">
      <c r="P4556" s="42"/>
      <c r="AB4556" s="38"/>
    </row>
    <row r="4557">
      <c r="P4557" s="42"/>
      <c r="AB4557" s="38"/>
    </row>
    <row r="4558">
      <c r="P4558" s="42"/>
      <c r="AB4558" s="38"/>
    </row>
    <row r="4559">
      <c r="P4559" s="42"/>
      <c r="AB4559" s="38"/>
    </row>
    <row r="4560">
      <c r="P4560" s="42"/>
      <c r="AB4560" s="38"/>
    </row>
    <row r="4561">
      <c r="P4561" s="42"/>
      <c r="AB4561" s="38"/>
    </row>
    <row r="4562">
      <c r="P4562" s="42"/>
      <c r="AB4562" s="38"/>
    </row>
    <row r="4563">
      <c r="P4563" s="42"/>
      <c r="AB4563" s="38"/>
    </row>
    <row r="4564">
      <c r="P4564" s="42"/>
      <c r="AB4564" s="38"/>
    </row>
    <row r="4565">
      <c r="P4565" s="42"/>
      <c r="AB4565" s="38"/>
    </row>
    <row r="4566">
      <c r="P4566" s="42"/>
      <c r="AB4566" s="38"/>
    </row>
    <row r="4567">
      <c r="P4567" s="42"/>
      <c r="AB4567" s="38"/>
    </row>
    <row r="4568">
      <c r="P4568" s="42"/>
      <c r="AB4568" s="38"/>
    </row>
    <row r="4569">
      <c r="P4569" s="42"/>
      <c r="AB4569" s="38"/>
    </row>
    <row r="4570">
      <c r="P4570" s="42"/>
      <c r="AB4570" s="38"/>
    </row>
    <row r="4571">
      <c r="P4571" s="42"/>
      <c r="AB4571" s="38"/>
    </row>
    <row r="4572">
      <c r="P4572" s="42"/>
      <c r="AB4572" s="38"/>
    </row>
    <row r="4573">
      <c r="P4573" s="42"/>
      <c r="AB4573" s="38"/>
    </row>
    <row r="4574">
      <c r="P4574" s="42"/>
      <c r="AB4574" s="38"/>
    </row>
    <row r="4575">
      <c r="P4575" s="42"/>
      <c r="AB4575" s="38"/>
    </row>
    <row r="4576">
      <c r="P4576" s="42"/>
      <c r="AB4576" s="38"/>
    </row>
    <row r="4577">
      <c r="P4577" s="42"/>
      <c r="AB4577" s="38"/>
    </row>
    <row r="4578">
      <c r="P4578" s="42"/>
      <c r="AB4578" s="38"/>
    </row>
    <row r="4579">
      <c r="P4579" s="42"/>
      <c r="AB4579" s="38"/>
    </row>
    <row r="4580">
      <c r="P4580" s="42"/>
      <c r="AB4580" s="38"/>
    </row>
    <row r="4581">
      <c r="P4581" s="42"/>
      <c r="AB4581" s="38"/>
    </row>
    <row r="4582">
      <c r="P4582" s="42"/>
      <c r="AB4582" s="38"/>
    </row>
    <row r="4583">
      <c r="P4583" s="42"/>
      <c r="AB4583" s="38"/>
    </row>
    <row r="4584">
      <c r="P4584" s="42"/>
      <c r="AB4584" s="38"/>
    </row>
    <row r="4585">
      <c r="P4585" s="42"/>
      <c r="AB4585" s="38"/>
    </row>
    <row r="4586">
      <c r="P4586" s="42"/>
      <c r="AB4586" s="38"/>
    </row>
    <row r="4587">
      <c r="P4587" s="42"/>
      <c r="AB4587" s="38"/>
    </row>
    <row r="4588">
      <c r="P4588" s="42"/>
      <c r="AB4588" s="38"/>
    </row>
    <row r="4589">
      <c r="P4589" s="42"/>
      <c r="AB4589" s="38"/>
    </row>
    <row r="4590">
      <c r="P4590" s="42"/>
      <c r="AB4590" s="38"/>
    </row>
    <row r="4591">
      <c r="P4591" s="42"/>
      <c r="AB4591" s="38"/>
    </row>
    <row r="4592">
      <c r="P4592" s="42"/>
      <c r="AB4592" s="38"/>
    </row>
    <row r="4593">
      <c r="P4593" s="42"/>
      <c r="AB4593" s="38"/>
    </row>
    <row r="4594">
      <c r="P4594" s="42"/>
      <c r="AB4594" s="38"/>
    </row>
    <row r="4595">
      <c r="P4595" s="42"/>
      <c r="AB4595" s="38"/>
    </row>
    <row r="4596">
      <c r="P4596" s="42"/>
      <c r="AB4596" s="38"/>
    </row>
    <row r="4597">
      <c r="P4597" s="42"/>
      <c r="AB4597" s="38"/>
    </row>
    <row r="4598">
      <c r="P4598" s="42"/>
      <c r="AB4598" s="38"/>
    </row>
    <row r="4599">
      <c r="P4599" s="42"/>
      <c r="AB4599" s="38"/>
    </row>
    <row r="4600">
      <c r="P4600" s="42"/>
      <c r="AB4600" s="38"/>
    </row>
    <row r="4601">
      <c r="P4601" s="42"/>
      <c r="AB4601" s="38"/>
    </row>
    <row r="4602">
      <c r="P4602" s="42"/>
      <c r="AB4602" s="38"/>
    </row>
    <row r="4603">
      <c r="P4603" s="42"/>
      <c r="AB4603" s="38"/>
    </row>
    <row r="4604">
      <c r="P4604" s="42"/>
      <c r="AB4604" s="38"/>
    </row>
    <row r="4605">
      <c r="P4605" s="42"/>
      <c r="AB4605" s="38"/>
    </row>
    <row r="4606">
      <c r="P4606" s="42"/>
      <c r="AB4606" s="38"/>
    </row>
    <row r="4607">
      <c r="P4607" s="42"/>
      <c r="AB4607" s="38"/>
    </row>
    <row r="4608">
      <c r="P4608" s="42"/>
      <c r="AB4608" s="38"/>
    </row>
    <row r="4609">
      <c r="P4609" s="42"/>
      <c r="AB4609" s="38"/>
    </row>
    <row r="4610">
      <c r="P4610" s="42"/>
      <c r="AB4610" s="38"/>
    </row>
    <row r="4611">
      <c r="P4611" s="42"/>
      <c r="AB4611" s="38"/>
    </row>
    <row r="4612">
      <c r="P4612" s="42"/>
      <c r="AB4612" s="38"/>
    </row>
    <row r="4613">
      <c r="P4613" s="42"/>
      <c r="AB4613" s="38"/>
    </row>
    <row r="4614">
      <c r="P4614" s="42"/>
      <c r="AB4614" s="38"/>
    </row>
    <row r="4615">
      <c r="P4615" s="42"/>
      <c r="AB4615" s="38"/>
    </row>
    <row r="4616">
      <c r="P4616" s="42"/>
      <c r="AB4616" s="38"/>
    </row>
    <row r="4617">
      <c r="P4617" s="42"/>
      <c r="AB4617" s="38"/>
    </row>
    <row r="4618">
      <c r="P4618" s="42"/>
      <c r="AB4618" s="38"/>
    </row>
    <row r="4619">
      <c r="P4619" s="42"/>
      <c r="AB4619" s="38"/>
    </row>
    <row r="4620">
      <c r="P4620" s="42"/>
      <c r="AB4620" s="38"/>
    </row>
    <row r="4621">
      <c r="P4621" s="42"/>
      <c r="AB4621" s="38"/>
    </row>
    <row r="4622">
      <c r="P4622" s="42"/>
      <c r="AB4622" s="38"/>
    </row>
    <row r="4623">
      <c r="P4623" s="42"/>
      <c r="AB4623" s="38"/>
    </row>
    <row r="4624">
      <c r="P4624" s="42"/>
      <c r="AB4624" s="38"/>
    </row>
    <row r="4625">
      <c r="P4625" s="42"/>
      <c r="AB4625" s="38"/>
    </row>
    <row r="4626">
      <c r="P4626" s="42"/>
      <c r="AB4626" s="38"/>
    </row>
    <row r="4627">
      <c r="P4627" s="42"/>
      <c r="AB4627" s="38"/>
    </row>
    <row r="4628">
      <c r="P4628" s="42"/>
      <c r="AB4628" s="38"/>
    </row>
    <row r="4629">
      <c r="P4629" s="42"/>
      <c r="AB4629" s="38"/>
    </row>
    <row r="4630">
      <c r="P4630" s="42"/>
      <c r="AB4630" s="38"/>
    </row>
    <row r="4631">
      <c r="P4631" s="42"/>
      <c r="AB4631" s="38"/>
    </row>
    <row r="4632">
      <c r="P4632" s="42"/>
      <c r="AB4632" s="38"/>
    </row>
    <row r="4633">
      <c r="P4633" s="42"/>
      <c r="AB4633" s="38"/>
    </row>
    <row r="4634">
      <c r="P4634" s="42"/>
      <c r="AB4634" s="38"/>
    </row>
    <row r="4635">
      <c r="P4635" s="42"/>
      <c r="AB4635" s="38"/>
    </row>
    <row r="4636">
      <c r="P4636" s="42"/>
      <c r="AB4636" s="38"/>
    </row>
    <row r="4637">
      <c r="P4637" s="42"/>
      <c r="AB4637" s="38"/>
    </row>
    <row r="4638">
      <c r="P4638" s="42"/>
      <c r="AB4638" s="38"/>
    </row>
    <row r="4639">
      <c r="P4639" s="42"/>
      <c r="AB4639" s="38"/>
    </row>
    <row r="4640">
      <c r="P4640" s="42"/>
      <c r="AB4640" s="38"/>
    </row>
    <row r="4641">
      <c r="P4641" s="42"/>
      <c r="AB4641" s="38"/>
    </row>
    <row r="4642">
      <c r="P4642" s="42"/>
      <c r="AB4642" s="38"/>
    </row>
    <row r="4643">
      <c r="P4643" s="42"/>
      <c r="AB4643" s="38"/>
    </row>
    <row r="4644">
      <c r="P4644" s="42"/>
      <c r="AB4644" s="38"/>
    </row>
    <row r="4645">
      <c r="P4645" s="42"/>
      <c r="AB4645" s="38"/>
    </row>
    <row r="4646">
      <c r="P4646" s="42"/>
      <c r="AB4646" s="38"/>
    </row>
    <row r="4647">
      <c r="P4647" s="42"/>
      <c r="AB4647" s="38"/>
    </row>
    <row r="4648">
      <c r="P4648" s="42"/>
      <c r="AB4648" s="38"/>
    </row>
    <row r="4649">
      <c r="P4649" s="42"/>
      <c r="AB4649" s="38"/>
    </row>
    <row r="4650">
      <c r="P4650" s="42"/>
      <c r="AB4650" s="38"/>
    </row>
    <row r="4651">
      <c r="P4651" s="42"/>
      <c r="AB4651" s="38"/>
    </row>
    <row r="4652">
      <c r="P4652" s="42"/>
      <c r="AB4652" s="38"/>
    </row>
    <row r="4653">
      <c r="P4653" s="42"/>
      <c r="AB4653" s="38"/>
    </row>
    <row r="4654">
      <c r="P4654" s="42"/>
      <c r="AB4654" s="38"/>
    </row>
    <row r="4655">
      <c r="P4655" s="42"/>
      <c r="AB4655" s="38"/>
    </row>
    <row r="4656">
      <c r="P4656" s="42"/>
      <c r="AB4656" s="38"/>
    </row>
    <row r="4657">
      <c r="P4657" s="42"/>
      <c r="AB4657" s="38"/>
    </row>
    <row r="4658">
      <c r="P4658" s="42"/>
      <c r="AB4658" s="38"/>
    </row>
    <row r="4659">
      <c r="P4659" s="42"/>
      <c r="AB4659" s="38"/>
    </row>
    <row r="4660">
      <c r="P4660" s="42"/>
      <c r="AB4660" s="38"/>
    </row>
    <row r="4661">
      <c r="P4661" s="42"/>
      <c r="AB4661" s="38"/>
    </row>
    <row r="4662">
      <c r="P4662" s="42"/>
      <c r="AB4662" s="38"/>
    </row>
    <row r="4663">
      <c r="P4663" s="42"/>
      <c r="AB4663" s="38"/>
    </row>
    <row r="4664">
      <c r="P4664" s="42"/>
      <c r="AB4664" s="38"/>
    </row>
    <row r="4665">
      <c r="P4665" s="42"/>
      <c r="AB4665" s="38"/>
    </row>
    <row r="4666">
      <c r="P4666" s="42"/>
      <c r="AB4666" s="38"/>
    </row>
    <row r="4667">
      <c r="P4667" s="42"/>
      <c r="AB4667" s="38"/>
    </row>
    <row r="4668">
      <c r="P4668" s="42"/>
      <c r="AB4668" s="38"/>
    </row>
    <row r="4669">
      <c r="P4669" s="42"/>
      <c r="AB4669" s="38"/>
    </row>
    <row r="4670">
      <c r="P4670" s="42"/>
      <c r="AB4670" s="38"/>
    </row>
    <row r="4671">
      <c r="P4671" s="42"/>
      <c r="AB4671" s="38"/>
    </row>
    <row r="4672">
      <c r="P4672" s="42"/>
      <c r="AB4672" s="38"/>
    </row>
    <row r="4673">
      <c r="P4673" s="42"/>
      <c r="AB4673" s="38"/>
    </row>
    <row r="4674">
      <c r="P4674" s="42"/>
      <c r="AB4674" s="38"/>
    </row>
    <row r="4675">
      <c r="P4675" s="42"/>
      <c r="AB4675" s="38"/>
    </row>
    <row r="4676">
      <c r="P4676" s="42"/>
      <c r="AB4676" s="38"/>
    </row>
    <row r="4677">
      <c r="P4677" s="42"/>
      <c r="AB4677" s="38"/>
    </row>
    <row r="4678">
      <c r="P4678" s="42"/>
      <c r="AB4678" s="38"/>
    </row>
    <row r="4679">
      <c r="P4679" s="42"/>
      <c r="AB4679" s="38"/>
    </row>
    <row r="4680">
      <c r="P4680" s="42"/>
      <c r="AB4680" s="38"/>
    </row>
    <row r="4681">
      <c r="P4681" s="42"/>
      <c r="AB4681" s="38"/>
    </row>
    <row r="4682">
      <c r="P4682" s="42"/>
      <c r="AB4682" s="38"/>
    </row>
    <row r="4683">
      <c r="P4683" s="42"/>
      <c r="AB4683" s="38"/>
    </row>
    <row r="4684">
      <c r="P4684" s="42"/>
      <c r="AB4684" s="38"/>
    </row>
    <row r="4685">
      <c r="P4685" s="42"/>
      <c r="AB4685" s="38"/>
    </row>
    <row r="4686">
      <c r="P4686" s="42"/>
      <c r="AB4686" s="38"/>
    </row>
    <row r="4687">
      <c r="P4687" s="42"/>
      <c r="AB4687" s="38"/>
    </row>
    <row r="4688">
      <c r="P4688" s="42"/>
      <c r="AB4688" s="38"/>
    </row>
    <row r="4689">
      <c r="P4689" s="42"/>
      <c r="AB4689" s="38"/>
    </row>
    <row r="4690">
      <c r="P4690" s="42"/>
      <c r="AB4690" s="38"/>
    </row>
    <row r="4691">
      <c r="P4691" s="42"/>
      <c r="AB4691" s="38"/>
    </row>
    <row r="4692">
      <c r="P4692" s="42"/>
      <c r="AB4692" s="38"/>
    </row>
    <row r="4693">
      <c r="P4693" s="42"/>
      <c r="AB4693" s="38"/>
    </row>
    <row r="4694">
      <c r="P4694" s="42"/>
      <c r="AB4694" s="38"/>
    </row>
    <row r="4695">
      <c r="P4695" s="42"/>
      <c r="AB4695" s="38"/>
    </row>
    <row r="4696">
      <c r="P4696" s="42"/>
      <c r="AB4696" s="38"/>
    </row>
    <row r="4697">
      <c r="P4697" s="42"/>
      <c r="AB4697" s="38"/>
    </row>
    <row r="4698">
      <c r="P4698" s="42"/>
      <c r="AB4698" s="38"/>
    </row>
    <row r="4699">
      <c r="P4699" s="42"/>
      <c r="AB4699" s="38"/>
    </row>
    <row r="4700">
      <c r="P4700" s="42"/>
      <c r="AB4700" s="38"/>
    </row>
    <row r="4701">
      <c r="P4701" s="42"/>
      <c r="AB4701" s="38"/>
    </row>
    <row r="4702">
      <c r="P4702" s="42"/>
      <c r="AB4702" s="38"/>
    </row>
    <row r="4703">
      <c r="P4703" s="42"/>
      <c r="AB4703" s="38"/>
    </row>
    <row r="4704">
      <c r="P4704" s="42"/>
      <c r="AB4704" s="38"/>
    </row>
    <row r="4705">
      <c r="P4705" s="42"/>
      <c r="AB4705" s="38"/>
    </row>
    <row r="4706">
      <c r="P4706" s="42"/>
      <c r="AB4706" s="38"/>
    </row>
    <row r="4707">
      <c r="P4707" s="42"/>
      <c r="AB4707" s="38"/>
    </row>
    <row r="4708">
      <c r="P4708" s="42"/>
      <c r="AB4708" s="38"/>
    </row>
    <row r="4709">
      <c r="P4709" s="42"/>
      <c r="AB4709" s="38"/>
    </row>
    <row r="4710">
      <c r="P4710" s="42"/>
      <c r="AB4710" s="38"/>
    </row>
    <row r="4711">
      <c r="P4711" s="42"/>
      <c r="AB4711" s="38"/>
    </row>
    <row r="4712">
      <c r="P4712" s="42"/>
      <c r="AB4712" s="38"/>
    </row>
    <row r="4713">
      <c r="P4713" s="42"/>
      <c r="AB4713" s="38"/>
    </row>
    <row r="4714">
      <c r="P4714" s="42"/>
      <c r="AB4714" s="38"/>
    </row>
    <row r="4715">
      <c r="P4715" s="42"/>
      <c r="AB4715" s="38"/>
    </row>
    <row r="4716">
      <c r="P4716" s="42"/>
      <c r="AB4716" s="38"/>
    </row>
    <row r="4717">
      <c r="P4717" s="42"/>
      <c r="AB4717" s="38"/>
    </row>
    <row r="4718">
      <c r="P4718" s="42"/>
      <c r="AB4718" s="38"/>
    </row>
    <row r="4719">
      <c r="P4719" s="42"/>
      <c r="AB4719" s="38"/>
    </row>
    <row r="4720">
      <c r="P4720" s="42"/>
      <c r="AB4720" s="38"/>
    </row>
    <row r="4721">
      <c r="P4721" s="42"/>
      <c r="AB4721" s="38"/>
    </row>
    <row r="4722">
      <c r="P4722" s="42"/>
      <c r="AB4722" s="38"/>
    </row>
    <row r="4723">
      <c r="P4723" s="42"/>
      <c r="AB4723" s="38"/>
    </row>
    <row r="4724">
      <c r="P4724" s="42"/>
      <c r="AB4724" s="38"/>
    </row>
    <row r="4725">
      <c r="P4725" s="42"/>
      <c r="AB4725" s="38"/>
    </row>
    <row r="4726">
      <c r="P4726" s="42"/>
      <c r="AB4726" s="38"/>
    </row>
    <row r="4727">
      <c r="P4727" s="42"/>
      <c r="AB4727" s="38"/>
    </row>
    <row r="4728">
      <c r="P4728" s="42"/>
      <c r="AB4728" s="38"/>
    </row>
    <row r="4729">
      <c r="P4729" s="42"/>
      <c r="AB4729" s="38"/>
    </row>
    <row r="4730">
      <c r="P4730" s="42"/>
      <c r="AB4730" s="38"/>
    </row>
    <row r="4731">
      <c r="P4731" s="42"/>
      <c r="AB4731" s="38"/>
    </row>
    <row r="4732">
      <c r="P4732" s="42"/>
      <c r="AB4732" s="38"/>
    </row>
    <row r="4733">
      <c r="P4733" s="42"/>
      <c r="AB4733" s="38"/>
    </row>
    <row r="4734">
      <c r="P4734" s="42"/>
      <c r="AB4734" s="38"/>
    </row>
    <row r="4735">
      <c r="P4735" s="42"/>
      <c r="AB4735" s="38"/>
    </row>
    <row r="4736">
      <c r="P4736" s="42"/>
      <c r="AB4736" s="38"/>
    </row>
    <row r="4737">
      <c r="P4737" s="42"/>
      <c r="AB4737" s="38"/>
    </row>
    <row r="4738">
      <c r="P4738" s="42"/>
      <c r="AB4738" s="38"/>
    </row>
    <row r="4739">
      <c r="P4739" s="42"/>
      <c r="AB4739" s="38"/>
    </row>
    <row r="4740">
      <c r="P4740" s="42"/>
      <c r="AB4740" s="38"/>
    </row>
    <row r="4741">
      <c r="P4741" s="42"/>
      <c r="AB4741" s="38"/>
    </row>
    <row r="4742">
      <c r="P4742" s="42"/>
      <c r="AB4742" s="38"/>
    </row>
    <row r="4743">
      <c r="P4743" s="42"/>
      <c r="AB4743" s="38"/>
    </row>
    <row r="4744">
      <c r="P4744" s="42"/>
      <c r="AB4744" s="38"/>
    </row>
    <row r="4745">
      <c r="P4745" s="42"/>
      <c r="AB4745" s="38"/>
    </row>
    <row r="4746">
      <c r="P4746" s="42"/>
      <c r="AB4746" s="38"/>
    </row>
    <row r="4747">
      <c r="P4747" s="42"/>
      <c r="AB4747" s="38"/>
    </row>
    <row r="4748">
      <c r="P4748" s="42"/>
      <c r="AB4748" s="38"/>
    </row>
    <row r="4749">
      <c r="P4749" s="42"/>
      <c r="AB4749" s="38"/>
    </row>
    <row r="4750">
      <c r="P4750" s="42"/>
      <c r="AB4750" s="38"/>
    </row>
    <row r="4751">
      <c r="P4751" s="42"/>
      <c r="AB4751" s="38"/>
    </row>
    <row r="4752">
      <c r="P4752" s="42"/>
      <c r="AB4752" s="38"/>
    </row>
    <row r="4753">
      <c r="P4753" s="42"/>
      <c r="AB4753" s="38"/>
    </row>
    <row r="4754">
      <c r="P4754" s="42"/>
      <c r="AB4754" s="38"/>
    </row>
    <row r="4755">
      <c r="P4755" s="42"/>
      <c r="AB4755" s="38"/>
    </row>
    <row r="4756">
      <c r="P4756" s="42"/>
      <c r="AB4756" s="38"/>
    </row>
    <row r="4757">
      <c r="P4757" s="42"/>
      <c r="AB4757" s="38"/>
    </row>
    <row r="4758">
      <c r="P4758" s="42"/>
      <c r="AB4758" s="38"/>
    </row>
    <row r="4759">
      <c r="P4759" s="42"/>
      <c r="AB4759" s="38"/>
    </row>
    <row r="4760">
      <c r="P4760" s="42"/>
      <c r="AB4760" s="38"/>
    </row>
    <row r="4761">
      <c r="P4761" s="42"/>
      <c r="AB4761" s="38"/>
    </row>
    <row r="4762">
      <c r="P4762" s="42"/>
      <c r="AB4762" s="38"/>
    </row>
    <row r="4763">
      <c r="P4763" s="42"/>
      <c r="AB4763" s="38"/>
    </row>
    <row r="4764">
      <c r="P4764" s="42"/>
      <c r="AB4764" s="38"/>
    </row>
    <row r="4765">
      <c r="P4765" s="42"/>
      <c r="AB4765" s="38"/>
    </row>
    <row r="4766">
      <c r="P4766" s="42"/>
      <c r="AB4766" s="38"/>
    </row>
    <row r="4767">
      <c r="P4767" s="42"/>
      <c r="AB4767" s="38"/>
    </row>
    <row r="4768">
      <c r="P4768" s="42"/>
      <c r="AB4768" s="38"/>
    </row>
    <row r="4769">
      <c r="P4769" s="42"/>
      <c r="AB4769" s="38"/>
    </row>
    <row r="4770">
      <c r="P4770" s="42"/>
      <c r="AB4770" s="38"/>
    </row>
    <row r="4771">
      <c r="P4771" s="42"/>
      <c r="AB4771" s="38"/>
    </row>
    <row r="4772">
      <c r="P4772" s="42"/>
      <c r="AB4772" s="38"/>
    </row>
    <row r="4773">
      <c r="P4773" s="42"/>
      <c r="AB4773" s="38"/>
    </row>
    <row r="4774">
      <c r="P4774" s="42"/>
      <c r="AB4774" s="38"/>
    </row>
    <row r="4775">
      <c r="P4775" s="42"/>
      <c r="AB4775" s="38"/>
    </row>
    <row r="4776">
      <c r="P4776" s="42"/>
      <c r="AB4776" s="38"/>
    </row>
    <row r="4777">
      <c r="P4777" s="42"/>
      <c r="AB4777" s="38"/>
    </row>
    <row r="4778">
      <c r="P4778" s="42"/>
      <c r="AB4778" s="38"/>
    </row>
    <row r="4779">
      <c r="P4779" s="42"/>
      <c r="AB4779" s="38"/>
    </row>
    <row r="4780">
      <c r="P4780" s="42"/>
      <c r="AB4780" s="38"/>
    </row>
    <row r="4781">
      <c r="P4781" s="42"/>
      <c r="AB4781" s="38"/>
    </row>
    <row r="4782">
      <c r="P4782" s="42"/>
      <c r="AB4782" s="38"/>
    </row>
    <row r="4783">
      <c r="P4783" s="42"/>
      <c r="AB4783" s="38"/>
    </row>
    <row r="4784">
      <c r="P4784" s="42"/>
      <c r="AB4784" s="38"/>
    </row>
    <row r="4785">
      <c r="P4785" s="42"/>
      <c r="AB4785" s="38"/>
    </row>
    <row r="4786">
      <c r="P4786" s="42"/>
      <c r="AB4786" s="38"/>
    </row>
    <row r="4787">
      <c r="P4787" s="42"/>
      <c r="AB4787" s="38"/>
    </row>
    <row r="4788">
      <c r="P4788" s="42"/>
      <c r="AB4788" s="38"/>
    </row>
    <row r="4789">
      <c r="P4789" s="42"/>
      <c r="AB4789" s="38"/>
    </row>
    <row r="4790">
      <c r="P4790" s="42"/>
      <c r="AB4790" s="38"/>
    </row>
    <row r="4791">
      <c r="P4791" s="42"/>
      <c r="AB4791" s="38"/>
    </row>
    <row r="4792">
      <c r="P4792" s="42"/>
      <c r="AB4792" s="38"/>
    </row>
    <row r="4793">
      <c r="P4793" s="42"/>
      <c r="AB4793" s="38"/>
    </row>
    <row r="4794">
      <c r="P4794" s="42"/>
      <c r="AB4794" s="38"/>
    </row>
    <row r="4795">
      <c r="P4795" s="42"/>
      <c r="AB4795" s="38"/>
    </row>
    <row r="4796">
      <c r="P4796" s="42"/>
      <c r="AB4796" s="38"/>
    </row>
    <row r="4797">
      <c r="P4797" s="42"/>
      <c r="AB4797" s="38"/>
    </row>
    <row r="4798">
      <c r="P4798" s="42"/>
      <c r="AB4798" s="38"/>
    </row>
    <row r="4799">
      <c r="P4799" s="42"/>
      <c r="AB4799" s="38"/>
    </row>
    <row r="4800">
      <c r="P4800" s="42"/>
      <c r="AB4800" s="38"/>
    </row>
    <row r="4801">
      <c r="P4801" s="42"/>
      <c r="AB4801" s="38"/>
    </row>
    <row r="4802">
      <c r="P4802" s="42"/>
      <c r="AB4802" s="38"/>
    </row>
    <row r="4803">
      <c r="P4803" s="42"/>
      <c r="AB4803" s="38"/>
    </row>
    <row r="4804">
      <c r="P4804" s="42"/>
      <c r="AB4804" s="38"/>
    </row>
    <row r="4805">
      <c r="P4805" s="42"/>
      <c r="AB4805" s="38"/>
    </row>
    <row r="4806">
      <c r="P4806" s="42"/>
      <c r="AB4806" s="38"/>
    </row>
    <row r="4807">
      <c r="P4807" s="42"/>
      <c r="AB4807" s="38"/>
    </row>
    <row r="4808">
      <c r="P4808" s="42"/>
      <c r="AB4808" s="38"/>
    </row>
    <row r="4809">
      <c r="P4809" s="42"/>
      <c r="AB4809" s="38"/>
    </row>
    <row r="4810">
      <c r="P4810" s="42"/>
      <c r="AB4810" s="38"/>
    </row>
    <row r="4811">
      <c r="P4811" s="42"/>
      <c r="AB4811" s="38"/>
    </row>
    <row r="4812">
      <c r="P4812" s="42"/>
      <c r="AB4812" s="38"/>
    </row>
    <row r="4813">
      <c r="P4813" s="42"/>
      <c r="AB4813" s="38"/>
    </row>
    <row r="4814">
      <c r="P4814" s="42"/>
      <c r="AB4814" s="38"/>
    </row>
    <row r="4815">
      <c r="P4815" s="42"/>
      <c r="AB4815" s="38"/>
    </row>
    <row r="4816">
      <c r="P4816" s="42"/>
      <c r="AB4816" s="38"/>
    </row>
    <row r="4817">
      <c r="P4817" s="42"/>
      <c r="AB4817" s="38"/>
    </row>
    <row r="4818">
      <c r="P4818" s="42"/>
      <c r="AB4818" s="38"/>
    </row>
    <row r="4819">
      <c r="P4819" s="42"/>
      <c r="AB4819" s="38"/>
    </row>
    <row r="4820">
      <c r="P4820" s="42"/>
      <c r="AB4820" s="38"/>
    </row>
    <row r="4821">
      <c r="P4821" s="42"/>
      <c r="AB4821" s="38"/>
    </row>
    <row r="4822">
      <c r="P4822" s="42"/>
      <c r="AB4822" s="38"/>
    </row>
    <row r="4823">
      <c r="P4823" s="42"/>
      <c r="AB4823" s="38"/>
    </row>
    <row r="4824">
      <c r="P4824" s="42"/>
      <c r="AB4824" s="38"/>
    </row>
    <row r="4825">
      <c r="P4825" s="42"/>
      <c r="AB4825" s="38"/>
    </row>
    <row r="4826">
      <c r="P4826" s="42"/>
      <c r="AB4826" s="38"/>
    </row>
    <row r="4827">
      <c r="P4827" s="42"/>
      <c r="AB4827" s="38"/>
    </row>
    <row r="4828">
      <c r="P4828" s="42"/>
      <c r="AB4828" s="38"/>
    </row>
    <row r="4829">
      <c r="P4829" s="42"/>
      <c r="AB4829" s="38"/>
    </row>
    <row r="4830">
      <c r="P4830" s="42"/>
      <c r="AB4830" s="38"/>
    </row>
    <row r="4831">
      <c r="P4831" s="42"/>
      <c r="AB4831" s="38"/>
    </row>
    <row r="4832">
      <c r="P4832" s="42"/>
      <c r="AB4832" s="38"/>
    </row>
    <row r="4833">
      <c r="P4833" s="42"/>
      <c r="AB4833" s="38"/>
    </row>
    <row r="4834">
      <c r="P4834" s="42"/>
      <c r="AB4834" s="38"/>
    </row>
    <row r="4835">
      <c r="P4835" s="42"/>
      <c r="AB4835" s="38"/>
    </row>
    <row r="4836">
      <c r="P4836" s="42"/>
      <c r="AB4836" s="38"/>
    </row>
    <row r="4837">
      <c r="P4837" s="42"/>
      <c r="AB4837" s="38"/>
    </row>
    <row r="4838">
      <c r="P4838" s="42"/>
      <c r="AB4838" s="38"/>
    </row>
    <row r="4839">
      <c r="P4839" s="42"/>
      <c r="AB4839" s="38"/>
    </row>
    <row r="4840">
      <c r="P4840" s="42"/>
      <c r="AB4840" s="38"/>
    </row>
    <row r="4841">
      <c r="P4841" s="42"/>
      <c r="AB4841" s="38"/>
    </row>
    <row r="4842">
      <c r="P4842" s="42"/>
      <c r="AB4842" s="38"/>
    </row>
    <row r="4843">
      <c r="P4843" s="42"/>
      <c r="AB4843" s="38"/>
    </row>
    <row r="4844">
      <c r="P4844" s="42"/>
      <c r="AB4844" s="38"/>
    </row>
    <row r="4845">
      <c r="P4845" s="42"/>
      <c r="AB4845" s="38"/>
    </row>
    <row r="4846">
      <c r="P4846" s="42"/>
      <c r="AB4846" s="38"/>
    </row>
    <row r="4847">
      <c r="P4847" s="42"/>
      <c r="AB4847" s="38"/>
    </row>
    <row r="4848">
      <c r="P4848" s="42"/>
      <c r="AB4848" s="38"/>
    </row>
    <row r="4849">
      <c r="P4849" s="42"/>
      <c r="AB4849" s="38"/>
    </row>
    <row r="4850">
      <c r="P4850" s="42"/>
      <c r="AB4850" s="38"/>
    </row>
    <row r="4851">
      <c r="P4851" s="42"/>
      <c r="AB4851" s="38"/>
    </row>
    <row r="4852">
      <c r="P4852" s="42"/>
      <c r="AB4852" s="38"/>
    </row>
    <row r="4853">
      <c r="P4853" s="42"/>
      <c r="AB4853" s="38"/>
    </row>
    <row r="4854">
      <c r="P4854" s="42"/>
      <c r="AB4854" s="38"/>
    </row>
    <row r="4855">
      <c r="P4855" s="42"/>
      <c r="AB4855" s="38"/>
    </row>
    <row r="4856">
      <c r="P4856" s="42"/>
      <c r="AB4856" s="38"/>
    </row>
    <row r="4857">
      <c r="P4857" s="42"/>
      <c r="AB4857" s="38"/>
    </row>
    <row r="4858">
      <c r="P4858" s="42"/>
      <c r="AB4858" s="38"/>
    </row>
    <row r="4859">
      <c r="P4859" s="42"/>
      <c r="AB4859" s="38"/>
    </row>
    <row r="4860">
      <c r="P4860" s="42"/>
      <c r="AB4860" s="38"/>
    </row>
    <row r="4861">
      <c r="P4861" s="42"/>
      <c r="AB4861" s="38"/>
    </row>
    <row r="4862">
      <c r="P4862" s="42"/>
      <c r="AB4862" s="38"/>
    </row>
    <row r="4863">
      <c r="P4863" s="42"/>
      <c r="AB4863" s="38"/>
    </row>
    <row r="4864">
      <c r="P4864" s="42"/>
      <c r="AB4864" s="38"/>
    </row>
    <row r="4865">
      <c r="P4865" s="42"/>
      <c r="AB4865" s="38"/>
    </row>
    <row r="4866">
      <c r="P4866" s="42"/>
      <c r="AB4866" s="38"/>
    </row>
    <row r="4867">
      <c r="P4867" s="42"/>
      <c r="AB4867" s="38"/>
    </row>
    <row r="4868">
      <c r="P4868" s="42"/>
      <c r="AB4868" s="38"/>
    </row>
    <row r="4869">
      <c r="P4869" s="42"/>
      <c r="AB4869" s="38"/>
    </row>
    <row r="4870">
      <c r="P4870" s="42"/>
      <c r="AB4870" s="38"/>
    </row>
    <row r="4871">
      <c r="P4871" s="42"/>
      <c r="AB4871" s="38"/>
    </row>
    <row r="4872">
      <c r="P4872" s="42"/>
      <c r="AB4872" s="38"/>
    </row>
    <row r="4873">
      <c r="P4873" s="42"/>
      <c r="AB4873" s="38"/>
    </row>
    <row r="4874">
      <c r="P4874" s="42"/>
      <c r="AB4874" s="38"/>
    </row>
    <row r="4875">
      <c r="P4875" s="42"/>
      <c r="AB4875" s="38"/>
    </row>
    <row r="4876">
      <c r="P4876" s="42"/>
      <c r="AB4876" s="38"/>
    </row>
    <row r="4877">
      <c r="P4877" s="42"/>
      <c r="AB4877" s="38"/>
    </row>
    <row r="4878">
      <c r="P4878" s="42"/>
      <c r="AB4878" s="38"/>
    </row>
    <row r="4879">
      <c r="P4879" s="42"/>
      <c r="AB4879" s="38"/>
    </row>
    <row r="4880">
      <c r="P4880" s="42"/>
      <c r="AB4880" s="38"/>
    </row>
    <row r="4881">
      <c r="P4881" s="42"/>
      <c r="AB4881" s="38"/>
    </row>
    <row r="4882">
      <c r="P4882" s="42"/>
      <c r="AB4882" s="38"/>
    </row>
    <row r="4883">
      <c r="P4883" s="42"/>
      <c r="AB4883" s="38"/>
    </row>
    <row r="4884">
      <c r="P4884" s="42"/>
      <c r="AB4884" s="38"/>
    </row>
    <row r="4885">
      <c r="P4885" s="42"/>
      <c r="AB4885" s="38"/>
    </row>
    <row r="4886">
      <c r="P4886" s="42"/>
      <c r="AB4886" s="38"/>
    </row>
    <row r="4887">
      <c r="P4887" s="42"/>
      <c r="AB4887" s="38"/>
    </row>
    <row r="4888">
      <c r="P4888" s="42"/>
      <c r="AB4888" s="38"/>
    </row>
    <row r="4889">
      <c r="P4889" s="42"/>
      <c r="AB4889" s="38"/>
    </row>
    <row r="4890">
      <c r="P4890" s="42"/>
      <c r="AB4890" s="38"/>
    </row>
    <row r="4891">
      <c r="P4891" s="42"/>
      <c r="AB4891" s="38"/>
    </row>
    <row r="4892">
      <c r="P4892" s="42"/>
      <c r="AB4892" s="38"/>
    </row>
    <row r="4893">
      <c r="P4893" s="42"/>
      <c r="AB4893" s="38"/>
    </row>
    <row r="4894">
      <c r="P4894" s="42"/>
      <c r="AB4894" s="38"/>
    </row>
    <row r="4895">
      <c r="P4895" s="42"/>
      <c r="AB4895" s="38"/>
    </row>
    <row r="4896">
      <c r="P4896" s="42"/>
      <c r="AB4896" s="38"/>
    </row>
    <row r="4897">
      <c r="P4897" s="42"/>
      <c r="AB4897" s="38"/>
    </row>
    <row r="4898">
      <c r="P4898" s="42"/>
      <c r="AB4898" s="38"/>
    </row>
    <row r="4899">
      <c r="P4899" s="42"/>
      <c r="AB4899" s="38"/>
    </row>
    <row r="4900">
      <c r="P4900" s="42"/>
      <c r="AB4900" s="38"/>
    </row>
    <row r="4901">
      <c r="P4901" s="42"/>
      <c r="AB4901" s="38"/>
    </row>
    <row r="4902">
      <c r="P4902" s="42"/>
      <c r="AB4902" s="38"/>
    </row>
    <row r="4903">
      <c r="P4903" s="42"/>
      <c r="AB4903" s="38"/>
    </row>
    <row r="4904">
      <c r="P4904" s="42"/>
      <c r="AB4904" s="38"/>
    </row>
    <row r="4905">
      <c r="P4905" s="42"/>
      <c r="AB4905" s="38"/>
    </row>
    <row r="4906">
      <c r="P4906" s="42"/>
      <c r="AB4906" s="38"/>
    </row>
    <row r="4907">
      <c r="P4907" s="42"/>
      <c r="AB4907" s="38"/>
    </row>
    <row r="4908">
      <c r="P4908" s="42"/>
      <c r="AB4908" s="38"/>
    </row>
    <row r="4909">
      <c r="P4909" s="42"/>
      <c r="AB4909" s="38"/>
    </row>
    <row r="4910">
      <c r="P4910" s="42"/>
      <c r="AB4910" s="38"/>
    </row>
    <row r="4911">
      <c r="P4911" s="42"/>
      <c r="AB4911" s="38"/>
    </row>
    <row r="4912">
      <c r="P4912" s="42"/>
      <c r="AB4912" s="38"/>
    </row>
    <row r="4913">
      <c r="P4913" s="42"/>
      <c r="AB4913" s="38"/>
    </row>
    <row r="4914">
      <c r="P4914" s="42"/>
      <c r="AB4914" s="38"/>
    </row>
    <row r="4915">
      <c r="P4915" s="42"/>
      <c r="AB4915" s="38"/>
    </row>
    <row r="4916">
      <c r="P4916" s="42"/>
      <c r="AB4916" s="38"/>
    </row>
    <row r="4917">
      <c r="P4917" s="42"/>
      <c r="AB4917" s="38"/>
    </row>
    <row r="4918">
      <c r="P4918" s="42"/>
      <c r="AB4918" s="38"/>
    </row>
    <row r="4919">
      <c r="P4919" s="42"/>
      <c r="AB4919" s="38"/>
    </row>
    <row r="4920">
      <c r="P4920" s="42"/>
      <c r="AB4920" s="38"/>
    </row>
    <row r="4921">
      <c r="P4921" s="42"/>
      <c r="AB4921" s="38"/>
    </row>
    <row r="4922">
      <c r="P4922" s="42"/>
      <c r="AB4922" s="38"/>
    </row>
    <row r="4923">
      <c r="P4923" s="42"/>
      <c r="AB4923" s="38"/>
    </row>
    <row r="4924">
      <c r="P4924" s="42"/>
      <c r="AB4924" s="38"/>
    </row>
    <row r="4925">
      <c r="P4925" s="42"/>
      <c r="AB4925" s="38"/>
    </row>
    <row r="4926">
      <c r="P4926" s="42"/>
      <c r="AB4926" s="38"/>
    </row>
    <row r="4927">
      <c r="P4927" s="42"/>
      <c r="AB4927" s="38"/>
    </row>
    <row r="4928">
      <c r="P4928" s="42"/>
      <c r="AB4928" s="38"/>
    </row>
    <row r="4929">
      <c r="P4929" s="42"/>
      <c r="AB4929" s="38"/>
    </row>
    <row r="4930">
      <c r="P4930" s="42"/>
      <c r="AB4930" s="38"/>
    </row>
    <row r="4931">
      <c r="P4931" s="42"/>
      <c r="AB4931" s="38"/>
    </row>
    <row r="4932">
      <c r="P4932" s="42"/>
      <c r="AB4932" s="38"/>
    </row>
    <row r="4933">
      <c r="P4933" s="42"/>
      <c r="AB4933" s="38"/>
    </row>
    <row r="4934">
      <c r="P4934" s="42"/>
      <c r="AB4934" s="38"/>
    </row>
    <row r="4935">
      <c r="P4935" s="42"/>
      <c r="AB4935" s="38"/>
    </row>
    <row r="4936">
      <c r="P4936" s="42"/>
      <c r="AB4936" s="38"/>
    </row>
    <row r="4937">
      <c r="P4937" s="42"/>
      <c r="AB4937" s="38"/>
    </row>
    <row r="4938">
      <c r="P4938" s="42"/>
      <c r="AB4938" s="38"/>
    </row>
    <row r="4939">
      <c r="P4939" s="42"/>
      <c r="AB4939" s="38"/>
    </row>
    <row r="4940">
      <c r="P4940" s="42"/>
      <c r="AB4940" s="38"/>
    </row>
    <row r="4941">
      <c r="P4941" s="42"/>
      <c r="AB4941" s="38"/>
    </row>
    <row r="4942">
      <c r="P4942" s="42"/>
      <c r="AB4942" s="38"/>
    </row>
    <row r="4943">
      <c r="P4943" s="42"/>
      <c r="AB4943" s="38"/>
    </row>
    <row r="4944">
      <c r="P4944" s="42"/>
      <c r="AB4944" s="38"/>
    </row>
    <row r="4945">
      <c r="P4945" s="42"/>
      <c r="AB4945" s="38"/>
    </row>
    <row r="4946">
      <c r="P4946" s="42"/>
      <c r="AB4946" s="38"/>
    </row>
    <row r="4947">
      <c r="P4947" s="42"/>
      <c r="AB4947" s="38"/>
    </row>
    <row r="4948">
      <c r="P4948" s="42"/>
      <c r="AB4948" s="38"/>
    </row>
    <row r="4949">
      <c r="P4949" s="42"/>
      <c r="AB4949" s="38"/>
    </row>
    <row r="4950">
      <c r="P4950" s="42"/>
      <c r="AB4950" s="38"/>
    </row>
    <row r="4951">
      <c r="P4951" s="42"/>
      <c r="AB4951" s="38"/>
    </row>
    <row r="4952">
      <c r="P4952" s="42"/>
      <c r="AB4952" s="38"/>
    </row>
    <row r="4953">
      <c r="P4953" s="42"/>
      <c r="AB4953" s="38"/>
    </row>
    <row r="4954">
      <c r="P4954" s="42"/>
      <c r="AB4954" s="38"/>
    </row>
    <row r="4955">
      <c r="P4955" s="42"/>
      <c r="AB4955" s="38"/>
    </row>
    <row r="4956">
      <c r="P4956" s="42"/>
      <c r="AB4956" s="38"/>
    </row>
    <row r="4957">
      <c r="P4957" s="42"/>
      <c r="AB4957" s="38"/>
    </row>
    <row r="4958">
      <c r="P4958" s="42"/>
      <c r="AB4958" s="38"/>
    </row>
    <row r="4959">
      <c r="P4959" s="42"/>
      <c r="AB4959" s="38"/>
    </row>
    <row r="4960">
      <c r="P4960" s="42"/>
      <c r="AB4960" s="38"/>
    </row>
    <row r="4961">
      <c r="P4961" s="42"/>
      <c r="AB4961" s="38"/>
    </row>
    <row r="4962">
      <c r="P4962" s="42"/>
      <c r="AB4962" s="38"/>
    </row>
    <row r="4963">
      <c r="P4963" s="42"/>
      <c r="AB4963" s="38"/>
    </row>
    <row r="4964">
      <c r="P4964" s="42"/>
      <c r="AB4964" s="38"/>
    </row>
    <row r="4965">
      <c r="P4965" s="42"/>
      <c r="AB4965" s="38"/>
    </row>
    <row r="4966">
      <c r="P4966" s="42"/>
      <c r="AB4966" s="38"/>
    </row>
    <row r="4967">
      <c r="P4967" s="42"/>
      <c r="AB4967" s="38"/>
    </row>
    <row r="4968">
      <c r="P4968" s="42"/>
      <c r="AB4968" s="38"/>
    </row>
    <row r="4969">
      <c r="P4969" s="42"/>
      <c r="AB4969" s="38"/>
    </row>
    <row r="4970">
      <c r="P4970" s="42"/>
      <c r="AB4970" s="38"/>
    </row>
    <row r="4971">
      <c r="P4971" s="42"/>
      <c r="AB4971" s="38"/>
    </row>
    <row r="4972">
      <c r="P4972" s="42"/>
      <c r="AB4972" s="38"/>
    </row>
    <row r="4973">
      <c r="P4973" s="42"/>
      <c r="AB4973" s="38"/>
    </row>
    <row r="4974">
      <c r="P4974" s="42"/>
      <c r="AB4974" s="38"/>
    </row>
    <row r="4975">
      <c r="P4975" s="42"/>
      <c r="AB4975" s="38"/>
    </row>
    <row r="4976">
      <c r="P4976" s="42"/>
      <c r="AB4976" s="38"/>
    </row>
    <row r="4977">
      <c r="P4977" s="42"/>
      <c r="AB4977" s="38"/>
    </row>
    <row r="4978">
      <c r="P4978" s="42"/>
      <c r="AB4978" s="38"/>
    </row>
    <row r="4979">
      <c r="P4979" s="42"/>
      <c r="AB4979" s="38"/>
    </row>
    <row r="4980">
      <c r="P4980" s="42"/>
      <c r="AB4980" s="38"/>
    </row>
    <row r="4981">
      <c r="P4981" s="42"/>
      <c r="AB4981" s="38"/>
    </row>
    <row r="4982">
      <c r="P4982" s="42"/>
      <c r="AB4982" s="38"/>
    </row>
    <row r="4983">
      <c r="P4983" s="42"/>
      <c r="AB4983" s="38"/>
    </row>
    <row r="4984">
      <c r="P4984" s="42"/>
      <c r="AB4984" s="38"/>
    </row>
    <row r="4985">
      <c r="P4985" s="42"/>
      <c r="AB4985" s="38"/>
    </row>
    <row r="4986">
      <c r="P4986" s="42"/>
      <c r="AB4986" s="38"/>
    </row>
    <row r="4987">
      <c r="P4987" s="42"/>
      <c r="AB4987" s="38"/>
    </row>
    <row r="4988">
      <c r="P4988" s="42"/>
      <c r="AB4988" s="38"/>
    </row>
    <row r="4989">
      <c r="P4989" s="42"/>
      <c r="AB4989" s="38"/>
    </row>
    <row r="4990">
      <c r="P4990" s="42"/>
      <c r="AB4990" s="38"/>
    </row>
    <row r="4991">
      <c r="P4991" s="42"/>
      <c r="AB4991" s="38"/>
    </row>
    <row r="4992">
      <c r="P4992" s="42"/>
      <c r="AB4992" s="38"/>
    </row>
    <row r="4993">
      <c r="P4993" s="42"/>
      <c r="AB4993" s="38"/>
    </row>
    <row r="4994">
      <c r="P4994" s="42"/>
      <c r="AB4994" s="38"/>
    </row>
    <row r="4995">
      <c r="P4995" s="42"/>
      <c r="AB4995" s="38"/>
    </row>
    <row r="4996">
      <c r="P4996" s="42"/>
      <c r="AB4996" s="38"/>
    </row>
    <row r="4997">
      <c r="P4997" s="42"/>
      <c r="AB4997" s="38"/>
    </row>
    <row r="4998">
      <c r="P4998" s="42"/>
      <c r="AB4998" s="38"/>
    </row>
    <row r="4999">
      <c r="P4999" s="42"/>
      <c r="AB4999" s="38"/>
    </row>
    <row r="5000">
      <c r="P5000" s="42"/>
      <c r="AB5000" s="38"/>
    </row>
    <row r="5001">
      <c r="P5001" s="42"/>
      <c r="AB5001" s="38"/>
    </row>
    <row r="5002">
      <c r="P5002" s="42"/>
      <c r="AB5002" s="38"/>
    </row>
    <row r="5003">
      <c r="P5003" s="42"/>
      <c r="AB5003" s="38"/>
    </row>
    <row r="5004">
      <c r="P5004" s="42"/>
      <c r="AB5004" s="38"/>
    </row>
    <row r="5005">
      <c r="P5005" s="42"/>
      <c r="AB5005" s="38"/>
    </row>
    <row r="5006">
      <c r="P5006" s="42"/>
      <c r="AB5006" s="38"/>
    </row>
    <row r="5007">
      <c r="P5007" s="42"/>
      <c r="AB5007" s="38"/>
    </row>
    <row r="5008">
      <c r="P5008" s="42"/>
      <c r="AB5008" s="38"/>
    </row>
    <row r="5009">
      <c r="P5009" s="42"/>
      <c r="AB5009" s="38"/>
    </row>
    <row r="5010">
      <c r="P5010" s="42"/>
      <c r="AB5010" s="38"/>
    </row>
    <row r="5011">
      <c r="P5011" s="42"/>
      <c r="AB5011" s="38"/>
    </row>
    <row r="5012">
      <c r="P5012" s="42"/>
      <c r="AB5012" s="38"/>
    </row>
    <row r="5013">
      <c r="P5013" s="42"/>
      <c r="AB5013" s="38"/>
    </row>
    <row r="5014">
      <c r="P5014" s="42"/>
      <c r="AB5014" s="38"/>
    </row>
    <row r="5015">
      <c r="P5015" s="42"/>
      <c r="AB5015" s="38"/>
    </row>
    <row r="5016">
      <c r="P5016" s="42"/>
      <c r="AB5016" s="38"/>
    </row>
    <row r="5017">
      <c r="P5017" s="42"/>
      <c r="AB5017" s="38"/>
    </row>
    <row r="5018">
      <c r="P5018" s="42"/>
      <c r="AB5018" s="38"/>
    </row>
    <row r="5019">
      <c r="P5019" s="42"/>
      <c r="AB5019" s="38"/>
    </row>
    <row r="5020">
      <c r="P5020" s="42"/>
      <c r="AB5020" s="38"/>
    </row>
    <row r="5021">
      <c r="P5021" s="42"/>
      <c r="AB5021" s="38"/>
    </row>
    <row r="5022">
      <c r="P5022" s="42"/>
      <c r="AB5022" s="38"/>
    </row>
    <row r="5023">
      <c r="P5023" s="42"/>
      <c r="AB5023" s="38"/>
    </row>
    <row r="5024">
      <c r="P5024" s="42"/>
      <c r="AB5024" s="38"/>
    </row>
    <row r="5025">
      <c r="P5025" s="42"/>
      <c r="AB5025" s="38"/>
    </row>
    <row r="5026">
      <c r="P5026" s="42"/>
      <c r="AB5026" s="38"/>
    </row>
    <row r="5027">
      <c r="P5027" s="42"/>
      <c r="AB5027" s="38"/>
    </row>
    <row r="5028">
      <c r="P5028" s="42"/>
      <c r="AB5028" s="38"/>
    </row>
    <row r="5029">
      <c r="P5029" s="42"/>
      <c r="AB5029" s="38"/>
    </row>
    <row r="5030">
      <c r="P5030" s="42"/>
      <c r="AB5030" s="38"/>
    </row>
    <row r="5031">
      <c r="P5031" s="42"/>
      <c r="AB5031" s="38"/>
    </row>
    <row r="5032">
      <c r="P5032" s="42"/>
      <c r="AB5032" s="38"/>
    </row>
    <row r="5033">
      <c r="P5033" s="42"/>
      <c r="AB5033" s="38"/>
    </row>
    <row r="5034">
      <c r="P5034" s="42"/>
      <c r="AB5034" s="38"/>
    </row>
    <row r="5035">
      <c r="P5035" s="42"/>
      <c r="AB5035" s="38"/>
    </row>
    <row r="5036">
      <c r="P5036" s="42"/>
      <c r="AB5036" s="38"/>
    </row>
    <row r="5037">
      <c r="P5037" s="42"/>
      <c r="AB5037" s="38"/>
    </row>
    <row r="5038">
      <c r="P5038" s="42"/>
      <c r="AB5038" s="38"/>
    </row>
    <row r="5039">
      <c r="P5039" s="42"/>
      <c r="AB5039" s="38"/>
    </row>
    <row r="5040">
      <c r="P5040" s="42"/>
      <c r="AB5040" s="38"/>
    </row>
    <row r="5041">
      <c r="P5041" s="42"/>
      <c r="AB5041" s="38"/>
    </row>
    <row r="5042">
      <c r="P5042" s="42"/>
      <c r="AB5042" s="38"/>
    </row>
    <row r="5043">
      <c r="P5043" s="42"/>
      <c r="AB5043" s="38"/>
    </row>
    <row r="5044">
      <c r="P5044" s="42"/>
      <c r="AB5044" s="38"/>
    </row>
    <row r="5045">
      <c r="P5045" s="42"/>
      <c r="AB5045" s="38"/>
    </row>
    <row r="5046">
      <c r="P5046" s="42"/>
      <c r="AB5046" s="38"/>
    </row>
    <row r="5047">
      <c r="P5047" s="42"/>
      <c r="AB5047" s="38"/>
    </row>
    <row r="5048">
      <c r="P5048" s="42"/>
      <c r="AB5048" s="38"/>
    </row>
    <row r="5049">
      <c r="P5049" s="42"/>
      <c r="AB5049" s="38"/>
    </row>
    <row r="5050">
      <c r="P5050" s="42"/>
      <c r="AB5050" s="38"/>
    </row>
    <row r="5051">
      <c r="P5051" s="42"/>
      <c r="AB5051" s="38"/>
    </row>
    <row r="5052">
      <c r="P5052" s="42"/>
      <c r="AB5052" s="38"/>
    </row>
    <row r="5053">
      <c r="P5053" s="42"/>
      <c r="AB5053" s="38"/>
    </row>
    <row r="5054">
      <c r="P5054" s="42"/>
      <c r="AB5054" s="38"/>
    </row>
    <row r="5055">
      <c r="P5055" s="42"/>
      <c r="AB5055" s="38"/>
    </row>
    <row r="5056">
      <c r="P5056" s="42"/>
      <c r="AB5056" s="38"/>
    </row>
    <row r="5057">
      <c r="P5057" s="42"/>
      <c r="AB5057" s="38"/>
    </row>
    <row r="5058">
      <c r="P5058" s="42"/>
      <c r="AB5058" s="38"/>
    </row>
    <row r="5059">
      <c r="P5059" s="42"/>
      <c r="AB5059" s="38"/>
    </row>
    <row r="5060">
      <c r="P5060" s="42"/>
      <c r="AB5060" s="38"/>
    </row>
    <row r="5061">
      <c r="P5061" s="42"/>
      <c r="AB5061" s="38"/>
    </row>
    <row r="5062">
      <c r="P5062" s="42"/>
      <c r="AB5062" s="38"/>
    </row>
    <row r="5063">
      <c r="P5063" s="42"/>
      <c r="AB5063" s="38"/>
    </row>
    <row r="5064">
      <c r="P5064" s="42"/>
      <c r="AB5064" s="38"/>
    </row>
    <row r="5065">
      <c r="P5065" s="42"/>
      <c r="AB5065" s="38"/>
    </row>
    <row r="5066">
      <c r="P5066" s="42"/>
      <c r="AB5066" s="38"/>
    </row>
    <row r="5067">
      <c r="P5067" s="42"/>
      <c r="AB5067" s="38"/>
    </row>
    <row r="5068">
      <c r="P5068" s="42"/>
      <c r="AB5068" s="38"/>
    </row>
    <row r="5069">
      <c r="P5069" s="42"/>
      <c r="AB5069" s="38"/>
    </row>
    <row r="5070">
      <c r="P5070" s="42"/>
      <c r="AB5070" s="38"/>
    </row>
    <row r="5071">
      <c r="P5071" s="42"/>
      <c r="AB5071" s="38"/>
    </row>
    <row r="5072">
      <c r="P5072" s="42"/>
      <c r="AB5072" s="38"/>
    </row>
    <row r="5073">
      <c r="P5073" s="42"/>
      <c r="AB5073" s="38"/>
    </row>
    <row r="5074">
      <c r="P5074" s="42"/>
      <c r="AB5074" s="38"/>
    </row>
    <row r="5075">
      <c r="P5075" s="42"/>
      <c r="AB5075" s="38"/>
    </row>
    <row r="5076">
      <c r="P5076" s="42"/>
      <c r="AB5076" s="38"/>
    </row>
    <row r="5077">
      <c r="P5077" s="42"/>
      <c r="AB5077" s="38"/>
    </row>
    <row r="5078">
      <c r="P5078" s="42"/>
      <c r="AB5078" s="38"/>
    </row>
    <row r="5079">
      <c r="P5079" s="42"/>
      <c r="AB5079" s="38"/>
    </row>
    <row r="5080">
      <c r="P5080" s="42"/>
      <c r="AB5080" s="38"/>
    </row>
    <row r="5081">
      <c r="P5081" s="42"/>
      <c r="AB5081" s="38"/>
    </row>
    <row r="5082">
      <c r="P5082" s="42"/>
      <c r="AB5082" s="38"/>
    </row>
    <row r="5083">
      <c r="P5083" s="42"/>
      <c r="AB5083" s="38"/>
    </row>
    <row r="5084">
      <c r="P5084" s="42"/>
      <c r="AB5084" s="38"/>
    </row>
    <row r="5085">
      <c r="P5085" s="42"/>
      <c r="AB5085" s="38"/>
    </row>
    <row r="5086">
      <c r="P5086" s="42"/>
      <c r="AB5086" s="38"/>
    </row>
    <row r="5087">
      <c r="P5087" s="42"/>
      <c r="AB5087" s="38"/>
    </row>
    <row r="5088">
      <c r="P5088" s="42"/>
      <c r="AB5088" s="38"/>
    </row>
    <row r="5089">
      <c r="P5089" s="42"/>
      <c r="AB5089" s="38"/>
    </row>
    <row r="5090">
      <c r="P5090" s="42"/>
      <c r="AB5090" s="38"/>
    </row>
    <row r="5091">
      <c r="P5091" s="42"/>
      <c r="AB5091" s="38"/>
    </row>
    <row r="5092">
      <c r="P5092" s="42"/>
      <c r="AB5092" s="38"/>
    </row>
    <row r="5093">
      <c r="P5093" s="42"/>
      <c r="AB5093" s="38"/>
    </row>
    <row r="5094">
      <c r="P5094" s="42"/>
      <c r="AB5094" s="38"/>
    </row>
    <row r="5095">
      <c r="P5095" s="42"/>
      <c r="AB5095" s="38"/>
    </row>
    <row r="5096">
      <c r="P5096" s="42"/>
      <c r="AB5096" s="38"/>
    </row>
    <row r="5097">
      <c r="P5097" s="42"/>
      <c r="AB5097" s="38"/>
    </row>
    <row r="5098">
      <c r="P5098" s="42"/>
      <c r="AB5098" s="38"/>
    </row>
    <row r="5099">
      <c r="P5099" s="42"/>
      <c r="AB5099" s="38"/>
    </row>
    <row r="5100">
      <c r="P5100" s="42"/>
      <c r="AB5100" s="38"/>
    </row>
    <row r="5101">
      <c r="P5101" s="42"/>
      <c r="AB5101" s="38"/>
    </row>
    <row r="5102">
      <c r="P5102" s="42"/>
      <c r="AB5102" s="38"/>
    </row>
    <row r="5103">
      <c r="P5103" s="42"/>
      <c r="AB5103" s="38"/>
    </row>
    <row r="5104">
      <c r="P5104" s="42"/>
      <c r="AB5104" s="38"/>
    </row>
    <row r="5105">
      <c r="P5105" s="42"/>
      <c r="AB5105" s="38"/>
    </row>
    <row r="5106">
      <c r="P5106" s="42"/>
      <c r="AB5106" s="38"/>
    </row>
    <row r="5107">
      <c r="P5107" s="42"/>
      <c r="AB5107" s="38"/>
    </row>
    <row r="5108">
      <c r="P5108" s="42"/>
      <c r="AB5108" s="38"/>
    </row>
    <row r="5109">
      <c r="P5109" s="42"/>
      <c r="AB5109" s="38"/>
    </row>
    <row r="5110">
      <c r="P5110" s="42"/>
      <c r="AB5110" s="38"/>
    </row>
    <row r="5111">
      <c r="P5111" s="42"/>
      <c r="AB5111" s="38"/>
    </row>
    <row r="5112">
      <c r="P5112" s="42"/>
      <c r="AB5112" s="38"/>
    </row>
    <row r="5113">
      <c r="P5113" s="42"/>
      <c r="AB5113" s="38"/>
    </row>
    <row r="5114">
      <c r="P5114" s="42"/>
      <c r="AB5114" s="38"/>
    </row>
    <row r="5115">
      <c r="P5115" s="42"/>
      <c r="AB5115" s="38"/>
    </row>
    <row r="5116">
      <c r="P5116" s="42"/>
      <c r="AB5116" s="38"/>
    </row>
    <row r="5117">
      <c r="P5117" s="42"/>
      <c r="AB5117" s="38"/>
    </row>
    <row r="5118">
      <c r="P5118" s="42"/>
      <c r="AB5118" s="38"/>
    </row>
    <row r="5119">
      <c r="P5119" s="42"/>
      <c r="AB5119" s="38"/>
    </row>
    <row r="5120">
      <c r="P5120" s="42"/>
      <c r="AB5120" s="38"/>
    </row>
    <row r="5121">
      <c r="P5121" s="42"/>
      <c r="AB5121" s="38"/>
    </row>
    <row r="5122">
      <c r="P5122" s="42"/>
      <c r="AB5122" s="38"/>
    </row>
    <row r="5123">
      <c r="P5123" s="42"/>
      <c r="AB5123" s="38"/>
    </row>
    <row r="5124">
      <c r="P5124" s="42"/>
      <c r="AB5124" s="38"/>
    </row>
    <row r="5125">
      <c r="P5125" s="42"/>
      <c r="AB5125" s="38"/>
    </row>
    <row r="5126">
      <c r="P5126" s="42"/>
      <c r="AB5126" s="38"/>
    </row>
    <row r="5127">
      <c r="P5127" s="42"/>
      <c r="AB5127" s="38"/>
    </row>
    <row r="5128">
      <c r="P5128" s="42"/>
      <c r="AB5128" s="38"/>
    </row>
    <row r="5129">
      <c r="P5129" s="42"/>
      <c r="AB5129" s="38"/>
    </row>
    <row r="5130">
      <c r="P5130" s="42"/>
      <c r="AB5130" s="38"/>
    </row>
    <row r="5131">
      <c r="P5131" s="42"/>
      <c r="AB5131" s="38"/>
    </row>
    <row r="5132">
      <c r="P5132" s="42"/>
      <c r="AB5132" s="38"/>
    </row>
    <row r="5133">
      <c r="P5133" s="42"/>
      <c r="AB5133" s="38"/>
    </row>
    <row r="5134">
      <c r="P5134" s="42"/>
      <c r="AB5134" s="38"/>
    </row>
    <row r="5135">
      <c r="P5135" s="42"/>
      <c r="AB5135" s="38"/>
    </row>
    <row r="5136">
      <c r="P5136" s="42"/>
      <c r="AB5136" s="38"/>
    </row>
    <row r="5137">
      <c r="P5137" s="42"/>
      <c r="AB5137" s="38"/>
    </row>
    <row r="5138">
      <c r="P5138" s="42"/>
      <c r="AB5138" s="38"/>
    </row>
    <row r="5139">
      <c r="P5139" s="42"/>
      <c r="AB5139" s="38"/>
    </row>
    <row r="5140">
      <c r="P5140" s="42"/>
      <c r="AB5140" s="38"/>
    </row>
    <row r="5141">
      <c r="P5141" s="42"/>
      <c r="AB5141" s="38"/>
    </row>
    <row r="5142">
      <c r="P5142" s="42"/>
      <c r="AB5142" s="38"/>
    </row>
    <row r="5143">
      <c r="P5143" s="42"/>
      <c r="AB5143" s="38"/>
    </row>
    <row r="5144">
      <c r="P5144" s="42"/>
      <c r="AB5144" s="38"/>
    </row>
    <row r="5145">
      <c r="P5145" s="42"/>
      <c r="AB5145" s="38"/>
    </row>
    <row r="5146">
      <c r="P5146" s="42"/>
      <c r="AB5146" s="38"/>
    </row>
    <row r="5147">
      <c r="P5147" s="42"/>
      <c r="AB5147" s="38"/>
    </row>
    <row r="5148">
      <c r="P5148" s="42"/>
      <c r="AB5148" s="38"/>
    </row>
    <row r="5149">
      <c r="P5149" s="42"/>
      <c r="AB5149" s="38"/>
    </row>
    <row r="5150">
      <c r="P5150" s="42"/>
      <c r="AB5150" s="38"/>
    </row>
    <row r="5151">
      <c r="P5151" s="42"/>
      <c r="AB5151" s="38"/>
    </row>
    <row r="5152">
      <c r="P5152" s="42"/>
      <c r="AB5152" s="38"/>
    </row>
    <row r="5153">
      <c r="P5153" s="42"/>
      <c r="AB5153" s="38"/>
    </row>
    <row r="5154">
      <c r="P5154" s="42"/>
      <c r="AB5154" s="38"/>
    </row>
    <row r="5155">
      <c r="P5155" s="42"/>
      <c r="AB5155" s="38"/>
    </row>
    <row r="5156">
      <c r="P5156" s="42"/>
      <c r="AB5156" s="38"/>
    </row>
    <row r="5157">
      <c r="P5157" s="42"/>
      <c r="AB5157" s="38"/>
    </row>
    <row r="5158">
      <c r="P5158" s="42"/>
      <c r="AB5158" s="38"/>
    </row>
    <row r="5159">
      <c r="P5159" s="42"/>
      <c r="AB5159" s="38"/>
    </row>
    <row r="5160">
      <c r="P5160" s="42"/>
      <c r="AB5160" s="38"/>
    </row>
    <row r="5161">
      <c r="P5161" s="42"/>
      <c r="AB5161" s="38"/>
    </row>
    <row r="5162">
      <c r="P5162" s="42"/>
      <c r="AB5162" s="38"/>
    </row>
    <row r="5163">
      <c r="P5163" s="42"/>
      <c r="AB5163" s="38"/>
    </row>
    <row r="5164">
      <c r="P5164" s="42"/>
      <c r="AB5164" s="38"/>
    </row>
    <row r="5165">
      <c r="P5165" s="42"/>
      <c r="AB5165" s="38"/>
    </row>
    <row r="5166">
      <c r="P5166" s="42"/>
      <c r="AB5166" s="38"/>
    </row>
    <row r="5167">
      <c r="P5167" s="42"/>
      <c r="AB5167" s="38"/>
    </row>
    <row r="5168">
      <c r="P5168" s="42"/>
      <c r="AB5168" s="38"/>
    </row>
    <row r="5169">
      <c r="P5169" s="42"/>
      <c r="AB5169" s="38"/>
    </row>
    <row r="5170">
      <c r="P5170" s="42"/>
      <c r="AB5170" s="38"/>
    </row>
    <row r="5171">
      <c r="P5171" s="42"/>
      <c r="AB5171" s="38"/>
    </row>
    <row r="5172">
      <c r="P5172" s="42"/>
      <c r="AB5172" s="38"/>
    </row>
    <row r="5173">
      <c r="P5173" s="42"/>
      <c r="AB5173" s="38"/>
    </row>
    <row r="5174">
      <c r="P5174" s="42"/>
      <c r="AB5174" s="38"/>
    </row>
    <row r="5175">
      <c r="P5175" s="42"/>
      <c r="AB5175" s="38"/>
    </row>
    <row r="5176">
      <c r="P5176" s="42"/>
      <c r="AB5176" s="38"/>
    </row>
    <row r="5177">
      <c r="P5177" s="42"/>
      <c r="AB5177" s="38"/>
    </row>
    <row r="5178">
      <c r="P5178" s="42"/>
      <c r="AB5178" s="38"/>
    </row>
    <row r="5179">
      <c r="P5179" s="42"/>
      <c r="AB5179" s="38"/>
    </row>
    <row r="5180">
      <c r="P5180" s="42"/>
      <c r="AB5180" s="38"/>
    </row>
    <row r="5181">
      <c r="P5181" s="42"/>
      <c r="AB5181" s="38"/>
    </row>
    <row r="5182">
      <c r="P5182" s="42"/>
      <c r="AB5182" s="38"/>
    </row>
    <row r="5183">
      <c r="P5183" s="42"/>
      <c r="AB5183" s="38"/>
    </row>
    <row r="5184">
      <c r="P5184" s="42"/>
      <c r="AB5184" s="38"/>
    </row>
    <row r="5185">
      <c r="P5185" s="42"/>
      <c r="AB5185" s="38"/>
    </row>
    <row r="5186">
      <c r="P5186" s="42"/>
      <c r="AB5186" s="38"/>
    </row>
    <row r="5187">
      <c r="P5187" s="42"/>
      <c r="AB5187" s="38"/>
    </row>
    <row r="5188">
      <c r="P5188" s="42"/>
      <c r="AB5188" s="38"/>
    </row>
    <row r="5189">
      <c r="P5189" s="42"/>
      <c r="AB5189" s="38"/>
    </row>
    <row r="5190">
      <c r="P5190" s="42"/>
      <c r="AB5190" s="38"/>
    </row>
    <row r="5191">
      <c r="P5191" s="42"/>
      <c r="AB5191" s="38"/>
    </row>
    <row r="5192">
      <c r="P5192" s="42"/>
      <c r="AB5192" s="38"/>
    </row>
    <row r="5193">
      <c r="P5193" s="42"/>
      <c r="AB5193" s="38"/>
    </row>
    <row r="5194">
      <c r="P5194" s="42"/>
      <c r="AB5194" s="38"/>
    </row>
    <row r="5195">
      <c r="P5195" s="42"/>
      <c r="AB5195" s="38"/>
    </row>
    <row r="5196">
      <c r="P5196" s="42"/>
      <c r="AB5196" s="38"/>
    </row>
    <row r="5197">
      <c r="P5197" s="42"/>
      <c r="AB5197" s="38"/>
    </row>
    <row r="5198">
      <c r="P5198" s="42"/>
      <c r="AB5198" s="38"/>
    </row>
    <row r="5199">
      <c r="P5199" s="42"/>
      <c r="AB5199" s="38"/>
    </row>
    <row r="5200">
      <c r="P5200" s="42"/>
      <c r="AB5200" s="38"/>
    </row>
    <row r="5201">
      <c r="P5201" s="42"/>
      <c r="AB5201" s="38"/>
    </row>
    <row r="5202">
      <c r="P5202" s="42"/>
      <c r="AB5202" s="38"/>
    </row>
    <row r="5203">
      <c r="P5203" s="42"/>
      <c r="AB5203" s="38"/>
    </row>
    <row r="5204">
      <c r="P5204" s="42"/>
      <c r="AB5204" s="38"/>
    </row>
    <row r="5205">
      <c r="P5205" s="42"/>
      <c r="AB5205" s="38"/>
    </row>
    <row r="5206">
      <c r="P5206" s="42"/>
      <c r="AB5206" s="38"/>
    </row>
    <row r="5207">
      <c r="P5207" s="42"/>
      <c r="AB5207" s="38"/>
    </row>
    <row r="5208">
      <c r="P5208" s="42"/>
      <c r="AB5208" s="38"/>
    </row>
    <row r="5209">
      <c r="P5209" s="42"/>
      <c r="AB5209" s="38"/>
    </row>
    <row r="5210">
      <c r="P5210" s="42"/>
      <c r="AB5210" s="38"/>
    </row>
    <row r="5211">
      <c r="P5211" s="42"/>
      <c r="AB5211" s="38"/>
    </row>
    <row r="5212">
      <c r="P5212" s="42"/>
      <c r="AB5212" s="38"/>
    </row>
    <row r="5213">
      <c r="P5213" s="42"/>
      <c r="AB5213" s="38"/>
    </row>
    <row r="5214">
      <c r="P5214" s="42"/>
      <c r="AB5214" s="38"/>
    </row>
    <row r="5215">
      <c r="P5215" s="42"/>
      <c r="AB5215" s="38"/>
    </row>
    <row r="5216">
      <c r="P5216" s="42"/>
      <c r="AB5216" s="38"/>
    </row>
    <row r="5217">
      <c r="P5217" s="42"/>
      <c r="AB5217" s="38"/>
    </row>
    <row r="5218">
      <c r="P5218" s="42"/>
      <c r="AB5218" s="38"/>
    </row>
    <row r="5219">
      <c r="P5219" s="42"/>
      <c r="AB5219" s="38"/>
    </row>
    <row r="5220">
      <c r="P5220" s="42"/>
      <c r="AB5220" s="38"/>
    </row>
    <row r="5221">
      <c r="P5221" s="42"/>
      <c r="AB5221" s="38"/>
    </row>
    <row r="5222">
      <c r="P5222" s="42"/>
      <c r="AB5222" s="38"/>
    </row>
    <row r="5223">
      <c r="P5223" s="42"/>
      <c r="AB5223" s="38"/>
    </row>
    <row r="5224">
      <c r="P5224" s="42"/>
      <c r="AB5224" s="38"/>
    </row>
    <row r="5225">
      <c r="P5225" s="42"/>
      <c r="AB5225" s="38"/>
    </row>
    <row r="5226">
      <c r="P5226" s="42"/>
      <c r="AB5226" s="38"/>
    </row>
    <row r="5227">
      <c r="P5227" s="42"/>
      <c r="AB5227" s="38"/>
    </row>
    <row r="5228">
      <c r="P5228" s="42"/>
      <c r="AB5228" s="38"/>
    </row>
    <row r="5229">
      <c r="P5229" s="42"/>
      <c r="AB5229" s="38"/>
    </row>
    <row r="5230">
      <c r="P5230" s="42"/>
      <c r="AB5230" s="38"/>
    </row>
    <row r="5231">
      <c r="P5231" s="42"/>
      <c r="AB5231" s="38"/>
    </row>
    <row r="5232">
      <c r="P5232" s="42"/>
      <c r="AB5232" s="38"/>
    </row>
    <row r="5233">
      <c r="P5233" s="42"/>
      <c r="AB5233" s="38"/>
    </row>
    <row r="5234">
      <c r="P5234" s="42"/>
      <c r="AB5234" s="38"/>
    </row>
    <row r="5235">
      <c r="P5235" s="42"/>
      <c r="AB5235" s="38"/>
    </row>
    <row r="5236">
      <c r="P5236" s="42"/>
      <c r="AB5236" s="38"/>
    </row>
    <row r="5237">
      <c r="P5237" s="42"/>
      <c r="AB5237" s="38"/>
    </row>
    <row r="5238">
      <c r="P5238" s="42"/>
      <c r="AB5238" s="38"/>
    </row>
    <row r="5239">
      <c r="P5239" s="42"/>
      <c r="AB5239" s="38"/>
    </row>
    <row r="5240">
      <c r="P5240" s="42"/>
      <c r="AB5240" s="38"/>
    </row>
    <row r="5241">
      <c r="P5241" s="42"/>
      <c r="AB5241" s="38"/>
    </row>
    <row r="5242">
      <c r="P5242" s="42"/>
      <c r="AB5242" s="38"/>
    </row>
    <row r="5243">
      <c r="P5243" s="42"/>
      <c r="AB5243" s="38"/>
    </row>
    <row r="5244">
      <c r="P5244" s="42"/>
      <c r="AB5244" s="38"/>
    </row>
    <row r="5245">
      <c r="P5245" s="42"/>
      <c r="AB5245" s="38"/>
    </row>
    <row r="5246">
      <c r="P5246" s="42"/>
      <c r="AB5246" s="38"/>
    </row>
    <row r="5247">
      <c r="P5247" s="42"/>
      <c r="AB5247" s="38"/>
    </row>
    <row r="5248">
      <c r="P5248" s="42"/>
      <c r="AB5248" s="38"/>
    </row>
    <row r="5249">
      <c r="P5249" s="42"/>
      <c r="AB5249" s="38"/>
    </row>
    <row r="5250">
      <c r="P5250" s="42"/>
      <c r="AB5250" s="38"/>
    </row>
    <row r="5251">
      <c r="P5251" s="42"/>
      <c r="AB5251" s="38"/>
    </row>
    <row r="5252">
      <c r="P5252" s="42"/>
      <c r="AB5252" s="38"/>
    </row>
    <row r="5253">
      <c r="P5253" s="42"/>
      <c r="AB5253" s="38"/>
    </row>
    <row r="5254">
      <c r="P5254" s="42"/>
      <c r="AB5254" s="38"/>
    </row>
    <row r="5255">
      <c r="P5255" s="42"/>
      <c r="AB5255" s="38"/>
    </row>
    <row r="5256">
      <c r="P5256" s="42"/>
      <c r="AB5256" s="38"/>
    </row>
    <row r="5257">
      <c r="P5257" s="42"/>
      <c r="AB5257" s="38"/>
    </row>
    <row r="5258">
      <c r="P5258" s="42"/>
      <c r="AB5258" s="38"/>
    </row>
    <row r="5259">
      <c r="P5259" s="42"/>
      <c r="AB5259" s="38"/>
    </row>
    <row r="5260">
      <c r="P5260" s="42"/>
      <c r="AB5260" s="38"/>
    </row>
    <row r="5261">
      <c r="P5261" s="42"/>
      <c r="AB5261" s="38"/>
    </row>
    <row r="5262">
      <c r="P5262" s="42"/>
      <c r="AB5262" s="38"/>
    </row>
    <row r="5263">
      <c r="P5263" s="42"/>
      <c r="AB5263" s="38"/>
    </row>
    <row r="5264">
      <c r="P5264" s="42"/>
      <c r="AB5264" s="38"/>
    </row>
    <row r="5265">
      <c r="P5265" s="42"/>
      <c r="AB5265" s="38"/>
    </row>
    <row r="5266">
      <c r="P5266" s="42"/>
      <c r="AB5266" s="38"/>
    </row>
    <row r="5267">
      <c r="P5267" s="42"/>
      <c r="AB5267" s="38"/>
    </row>
    <row r="5268">
      <c r="P5268" s="42"/>
      <c r="AB5268" s="38"/>
    </row>
    <row r="5269">
      <c r="P5269" s="42"/>
      <c r="AB5269" s="38"/>
    </row>
    <row r="5270">
      <c r="P5270" s="42"/>
      <c r="AB5270" s="38"/>
    </row>
    <row r="5271">
      <c r="P5271" s="42"/>
      <c r="AB5271" s="38"/>
    </row>
    <row r="5272">
      <c r="P5272" s="42"/>
      <c r="AB5272" s="38"/>
    </row>
    <row r="5273">
      <c r="P5273" s="42"/>
      <c r="AB5273" s="38"/>
    </row>
    <row r="5274">
      <c r="P5274" s="42"/>
      <c r="AB5274" s="38"/>
    </row>
    <row r="5275">
      <c r="P5275" s="42"/>
      <c r="AB5275" s="38"/>
    </row>
    <row r="5276">
      <c r="P5276" s="42"/>
      <c r="AB5276" s="38"/>
    </row>
    <row r="5277">
      <c r="P5277" s="42"/>
      <c r="AB5277" s="38"/>
    </row>
    <row r="5278">
      <c r="P5278" s="42"/>
      <c r="AB5278" s="38"/>
    </row>
    <row r="5279">
      <c r="P5279" s="42"/>
      <c r="AB5279" s="38"/>
    </row>
    <row r="5280">
      <c r="P5280" s="42"/>
      <c r="AB5280" s="38"/>
    </row>
    <row r="5281">
      <c r="P5281" s="42"/>
      <c r="AB5281" s="38"/>
    </row>
    <row r="5282">
      <c r="P5282" s="42"/>
      <c r="AB5282" s="38"/>
    </row>
    <row r="5283">
      <c r="P5283" s="42"/>
      <c r="AB5283" s="38"/>
    </row>
    <row r="5284">
      <c r="P5284" s="42"/>
      <c r="AB5284" s="38"/>
    </row>
    <row r="5285">
      <c r="P5285" s="42"/>
      <c r="AB5285" s="38"/>
    </row>
    <row r="5286">
      <c r="P5286" s="42"/>
      <c r="AB5286" s="38"/>
    </row>
    <row r="5287">
      <c r="P5287" s="42"/>
      <c r="AB5287" s="38"/>
    </row>
    <row r="5288">
      <c r="P5288" s="42"/>
      <c r="AB5288" s="38"/>
    </row>
    <row r="5289">
      <c r="P5289" s="42"/>
      <c r="AB5289" s="38"/>
    </row>
    <row r="5290">
      <c r="P5290" s="42"/>
      <c r="AB5290" s="38"/>
    </row>
    <row r="5291">
      <c r="P5291" s="42"/>
      <c r="AB5291" s="38"/>
    </row>
    <row r="5292">
      <c r="P5292" s="42"/>
      <c r="AB5292" s="38"/>
    </row>
    <row r="5293">
      <c r="P5293" s="42"/>
      <c r="AB5293" s="38"/>
    </row>
    <row r="5294">
      <c r="P5294" s="42"/>
      <c r="AB5294" s="38"/>
    </row>
    <row r="5295">
      <c r="P5295" s="42"/>
      <c r="AB5295" s="38"/>
    </row>
    <row r="5296">
      <c r="P5296" s="42"/>
      <c r="AB5296" s="38"/>
    </row>
    <row r="5297">
      <c r="P5297" s="42"/>
      <c r="AB5297" s="38"/>
    </row>
    <row r="5298">
      <c r="P5298" s="42"/>
      <c r="AB5298" s="38"/>
    </row>
    <row r="5299">
      <c r="P5299" s="42"/>
      <c r="AB5299" s="38"/>
    </row>
    <row r="5300">
      <c r="P5300" s="42"/>
      <c r="AB5300" s="38"/>
    </row>
    <row r="5301">
      <c r="P5301" s="42"/>
      <c r="AB5301" s="38"/>
    </row>
    <row r="5302">
      <c r="P5302" s="42"/>
      <c r="AB5302" s="38"/>
    </row>
    <row r="5303">
      <c r="P5303" s="42"/>
      <c r="AB5303" s="38"/>
    </row>
    <row r="5304">
      <c r="P5304" s="42"/>
      <c r="AB5304" s="38"/>
    </row>
    <row r="5305">
      <c r="P5305" s="42"/>
      <c r="AB5305" s="38"/>
    </row>
    <row r="5306">
      <c r="P5306" s="42"/>
      <c r="AB5306" s="38"/>
    </row>
    <row r="5307">
      <c r="P5307" s="42"/>
      <c r="AB5307" s="38"/>
    </row>
    <row r="5308">
      <c r="P5308" s="42"/>
      <c r="AB5308" s="38"/>
    </row>
    <row r="5309">
      <c r="P5309" s="42"/>
      <c r="AB5309" s="38"/>
    </row>
    <row r="5310">
      <c r="P5310" s="42"/>
      <c r="AB5310" s="38"/>
    </row>
    <row r="5311">
      <c r="P5311" s="42"/>
      <c r="AB5311" s="38"/>
    </row>
    <row r="5312">
      <c r="P5312" s="42"/>
      <c r="AB5312" s="38"/>
    </row>
    <row r="5313">
      <c r="P5313" s="42"/>
      <c r="AB5313" s="38"/>
    </row>
    <row r="5314">
      <c r="P5314" s="42"/>
      <c r="AB5314" s="38"/>
    </row>
    <row r="5315">
      <c r="P5315" s="42"/>
      <c r="AB5315" s="38"/>
    </row>
    <row r="5316">
      <c r="P5316" s="42"/>
      <c r="AB5316" s="38"/>
    </row>
    <row r="5317">
      <c r="P5317" s="42"/>
      <c r="AB5317" s="38"/>
    </row>
    <row r="5318">
      <c r="P5318" s="42"/>
      <c r="AB5318" s="38"/>
    </row>
    <row r="5319">
      <c r="P5319" s="42"/>
      <c r="AB5319" s="38"/>
    </row>
    <row r="5320">
      <c r="P5320" s="42"/>
      <c r="AB5320" s="38"/>
    </row>
    <row r="5321">
      <c r="P5321" s="42"/>
      <c r="AB5321" s="38"/>
    </row>
    <row r="5322">
      <c r="P5322" s="42"/>
      <c r="AB5322" s="38"/>
    </row>
    <row r="5323">
      <c r="P5323" s="42"/>
      <c r="AB5323" s="38"/>
    </row>
    <row r="5324">
      <c r="P5324" s="42"/>
      <c r="AB5324" s="38"/>
    </row>
    <row r="5325">
      <c r="P5325" s="42"/>
      <c r="AB5325" s="38"/>
    </row>
    <row r="5326">
      <c r="P5326" s="42"/>
      <c r="AB5326" s="38"/>
    </row>
    <row r="5327">
      <c r="P5327" s="42"/>
      <c r="AB5327" s="38"/>
    </row>
    <row r="5328">
      <c r="P5328" s="42"/>
      <c r="AB5328" s="38"/>
    </row>
    <row r="5329">
      <c r="P5329" s="42"/>
      <c r="AB5329" s="38"/>
    </row>
    <row r="5330">
      <c r="P5330" s="42"/>
      <c r="AB5330" s="38"/>
    </row>
    <row r="5331">
      <c r="P5331" s="42"/>
      <c r="AB5331" s="38"/>
    </row>
    <row r="5332">
      <c r="P5332" s="42"/>
      <c r="AB5332" s="38"/>
    </row>
    <row r="5333">
      <c r="P5333" s="42"/>
      <c r="AB5333" s="38"/>
    </row>
    <row r="5334">
      <c r="P5334" s="42"/>
      <c r="AB5334" s="38"/>
    </row>
    <row r="5335">
      <c r="P5335" s="42"/>
      <c r="AB5335" s="38"/>
    </row>
    <row r="5336">
      <c r="P5336" s="42"/>
      <c r="AB5336" s="38"/>
    </row>
    <row r="5337">
      <c r="P5337" s="42"/>
      <c r="AB5337" s="38"/>
    </row>
    <row r="5338">
      <c r="P5338" s="42"/>
      <c r="AB5338" s="38"/>
    </row>
    <row r="5339">
      <c r="P5339" s="42"/>
      <c r="AB5339" s="38"/>
    </row>
    <row r="5340">
      <c r="P5340" s="42"/>
      <c r="AB5340" s="38"/>
    </row>
    <row r="5341">
      <c r="P5341" s="42"/>
      <c r="AB5341" s="38"/>
    </row>
    <row r="5342">
      <c r="P5342" s="42"/>
      <c r="AB5342" s="38"/>
    </row>
    <row r="5343">
      <c r="P5343" s="42"/>
      <c r="AB5343" s="38"/>
    </row>
    <row r="5344">
      <c r="P5344" s="42"/>
      <c r="AB5344" s="38"/>
    </row>
    <row r="5345">
      <c r="P5345" s="42"/>
      <c r="AB5345" s="38"/>
    </row>
    <row r="5346">
      <c r="P5346" s="42"/>
      <c r="AB5346" s="38"/>
    </row>
    <row r="5347">
      <c r="P5347" s="42"/>
      <c r="AB5347" s="38"/>
    </row>
    <row r="5348">
      <c r="P5348" s="42"/>
      <c r="AB5348" s="38"/>
    </row>
    <row r="5349">
      <c r="P5349" s="42"/>
      <c r="AB5349" s="38"/>
    </row>
    <row r="5350">
      <c r="P5350" s="42"/>
      <c r="AB5350" s="38"/>
    </row>
    <row r="5351">
      <c r="P5351" s="42"/>
      <c r="AB5351" s="38"/>
    </row>
    <row r="5352">
      <c r="P5352" s="42"/>
      <c r="AB5352" s="38"/>
    </row>
    <row r="5353">
      <c r="P5353" s="42"/>
      <c r="AB5353" s="38"/>
    </row>
    <row r="5354">
      <c r="P5354" s="42"/>
      <c r="AB5354" s="38"/>
    </row>
    <row r="5355">
      <c r="P5355" s="42"/>
      <c r="AB5355" s="38"/>
    </row>
    <row r="5356">
      <c r="P5356" s="42"/>
      <c r="AB5356" s="38"/>
    </row>
    <row r="5357">
      <c r="P5357" s="42"/>
      <c r="AB5357" s="38"/>
    </row>
    <row r="5358">
      <c r="P5358" s="42"/>
      <c r="AB5358" s="38"/>
    </row>
    <row r="5359">
      <c r="P5359" s="42"/>
      <c r="AB5359" s="38"/>
    </row>
    <row r="5360">
      <c r="P5360" s="42"/>
      <c r="AB5360" s="38"/>
    </row>
    <row r="5361">
      <c r="P5361" s="42"/>
      <c r="AB5361" s="38"/>
    </row>
    <row r="5362">
      <c r="P5362" s="42"/>
      <c r="AB5362" s="38"/>
    </row>
    <row r="5363">
      <c r="P5363" s="42"/>
      <c r="AB5363" s="38"/>
    </row>
    <row r="5364">
      <c r="P5364" s="42"/>
      <c r="AB5364" s="38"/>
    </row>
    <row r="5365">
      <c r="P5365" s="42"/>
      <c r="AB5365" s="38"/>
    </row>
    <row r="5366">
      <c r="P5366" s="42"/>
      <c r="AB5366" s="38"/>
    </row>
    <row r="5367">
      <c r="P5367" s="42"/>
      <c r="AB5367" s="38"/>
    </row>
    <row r="5368">
      <c r="P5368" s="42"/>
      <c r="AB5368" s="38"/>
    </row>
    <row r="5369">
      <c r="P5369" s="42"/>
      <c r="AB5369" s="38"/>
    </row>
    <row r="5370">
      <c r="P5370" s="42"/>
      <c r="AB5370" s="38"/>
    </row>
    <row r="5371">
      <c r="P5371" s="42"/>
      <c r="AB5371" s="38"/>
    </row>
    <row r="5372">
      <c r="P5372" s="42"/>
      <c r="AB5372" s="38"/>
    </row>
    <row r="5373">
      <c r="P5373" s="42"/>
      <c r="AB5373" s="38"/>
    </row>
    <row r="5374">
      <c r="P5374" s="42"/>
      <c r="AB5374" s="38"/>
    </row>
    <row r="5375">
      <c r="P5375" s="42"/>
      <c r="AB5375" s="38"/>
    </row>
    <row r="5376">
      <c r="P5376" s="42"/>
      <c r="AB5376" s="38"/>
    </row>
    <row r="5377">
      <c r="P5377" s="42"/>
      <c r="AB5377" s="38"/>
    </row>
    <row r="5378">
      <c r="P5378" s="42"/>
      <c r="AB5378" s="38"/>
    </row>
    <row r="5379">
      <c r="P5379" s="42"/>
      <c r="AB5379" s="38"/>
    </row>
    <row r="5380">
      <c r="P5380" s="42"/>
      <c r="AB5380" s="38"/>
    </row>
    <row r="5381">
      <c r="P5381" s="42"/>
      <c r="AB5381" s="38"/>
    </row>
    <row r="5382">
      <c r="P5382" s="42"/>
      <c r="AB5382" s="38"/>
    </row>
    <row r="5383">
      <c r="P5383" s="42"/>
      <c r="AB5383" s="38"/>
    </row>
    <row r="5384">
      <c r="P5384" s="42"/>
      <c r="AB5384" s="38"/>
    </row>
    <row r="5385">
      <c r="P5385" s="42"/>
      <c r="AB5385" s="38"/>
    </row>
    <row r="5386">
      <c r="P5386" s="42"/>
      <c r="AB5386" s="38"/>
    </row>
    <row r="5387">
      <c r="P5387" s="42"/>
      <c r="AB5387" s="38"/>
    </row>
    <row r="5388">
      <c r="P5388" s="42"/>
      <c r="AB5388" s="38"/>
    </row>
    <row r="5389">
      <c r="P5389" s="42"/>
      <c r="AB5389" s="38"/>
    </row>
    <row r="5390">
      <c r="P5390" s="42"/>
      <c r="AB5390" s="38"/>
    </row>
    <row r="5391">
      <c r="P5391" s="42"/>
      <c r="AB5391" s="38"/>
    </row>
    <row r="5392">
      <c r="P5392" s="42"/>
      <c r="AB5392" s="38"/>
    </row>
    <row r="5393">
      <c r="P5393" s="42"/>
      <c r="AB5393" s="38"/>
    </row>
    <row r="5394">
      <c r="P5394" s="42"/>
      <c r="AB5394" s="38"/>
    </row>
    <row r="5395">
      <c r="P5395" s="42"/>
      <c r="AB5395" s="38"/>
    </row>
    <row r="5396">
      <c r="P5396" s="42"/>
      <c r="AB5396" s="38"/>
    </row>
    <row r="5397">
      <c r="P5397" s="42"/>
      <c r="AB5397" s="38"/>
    </row>
    <row r="5398">
      <c r="P5398" s="42"/>
      <c r="AB5398" s="38"/>
    </row>
    <row r="5399">
      <c r="P5399" s="42"/>
      <c r="AB5399" s="38"/>
    </row>
    <row r="5400">
      <c r="P5400" s="42"/>
      <c r="AB5400" s="38"/>
    </row>
    <row r="5401">
      <c r="P5401" s="42"/>
      <c r="AB5401" s="38"/>
    </row>
    <row r="5402">
      <c r="P5402" s="42"/>
      <c r="AB5402" s="38"/>
    </row>
    <row r="5403">
      <c r="P5403" s="42"/>
      <c r="AB5403" s="38"/>
    </row>
    <row r="5404">
      <c r="P5404" s="42"/>
      <c r="AB5404" s="38"/>
    </row>
    <row r="5405">
      <c r="P5405" s="42"/>
      <c r="AB5405" s="38"/>
    </row>
    <row r="5406">
      <c r="P5406" s="42"/>
      <c r="AB5406" s="38"/>
    </row>
    <row r="5407">
      <c r="P5407" s="42"/>
      <c r="AB5407" s="38"/>
    </row>
    <row r="5408">
      <c r="P5408" s="42"/>
      <c r="AB5408" s="38"/>
    </row>
    <row r="5409">
      <c r="P5409" s="42"/>
      <c r="AB5409" s="38"/>
    </row>
    <row r="5410">
      <c r="P5410" s="42"/>
      <c r="AB5410" s="38"/>
    </row>
    <row r="5411">
      <c r="P5411" s="42"/>
      <c r="AB5411" s="38"/>
    </row>
    <row r="5412">
      <c r="P5412" s="42"/>
      <c r="AB5412" s="38"/>
    </row>
    <row r="5413">
      <c r="P5413" s="42"/>
      <c r="AB5413" s="38"/>
    </row>
    <row r="5414">
      <c r="P5414" s="42"/>
      <c r="AB5414" s="38"/>
    </row>
    <row r="5415">
      <c r="P5415" s="42"/>
      <c r="AB5415" s="38"/>
    </row>
    <row r="5416">
      <c r="P5416" s="42"/>
      <c r="AB5416" s="38"/>
    </row>
    <row r="5417">
      <c r="P5417" s="42"/>
      <c r="AB5417" s="38"/>
    </row>
    <row r="5418">
      <c r="P5418" s="42"/>
      <c r="AB5418" s="38"/>
    </row>
    <row r="5419">
      <c r="P5419" s="42"/>
      <c r="AB5419" s="38"/>
    </row>
    <row r="5420">
      <c r="P5420" s="42"/>
      <c r="AB5420" s="38"/>
    </row>
    <row r="5421">
      <c r="P5421" s="42"/>
      <c r="AB5421" s="38"/>
    </row>
    <row r="5422">
      <c r="P5422" s="42"/>
      <c r="AB5422" s="38"/>
    </row>
    <row r="5423">
      <c r="P5423" s="42"/>
      <c r="AB5423" s="38"/>
    </row>
    <row r="5424">
      <c r="P5424" s="42"/>
      <c r="AB5424" s="38"/>
    </row>
    <row r="5425">
      <c r="P5425" s="42"/>
      <c r="AB5425" s="38"/>
    </row>
    <row r="5426">
      <c r="P5426" s="42"/>
      <c r="AB5426" s="38"/>
    </row>
    <row r="5427">
      <c r="P5427" s="42"/>
      <c r="AB5427" s="38"/>
    </row>
    <row r="5428">
      <c r="P5428" s="42"/>
      <c r="AB5428" s="38"/>
    </row>
    <row r="5429">
      <c r="P5429" s="42"/>
      <c r="AB5429" s="38"/>
    </row>
    <row r="5430">
      <c r="P5430" s="42"/>
      <c r="AB5430" s="38"/>
    </row>
    <row r="5431">
      <c r="P5431" s="42"/>
      <c r="AB5431" s="38"/>
    </row>
    <row r="5432">
      <c r="P5432" s="42"/>
      <c r="AB5432" s="38"/>
    </row>
    <row r="5433">
      <c r="P5433" s="42"/>
      <c r="AB5433" s="38"/>
    </row>
    <row r="5434">
      <c r="P5434" s="42"/>
      <c r="AB5434" s="38"/>
    </row>
    <row r="5435">
      <c r="P5435" s="42"/>
      <c r="AB5435" s="38"/>
    </row>
    <row r="5436">
      <c r="P5436" s="42"/>
      <c r="AB5436" s="38"/>
    </row>
    <row r="5437">
      <c r="P5437" s="42"/>
      <c r="AB5437" s="38"/>
    </row>
    <row r="5438">
      <c r="P5438" s="42"/>
      <c r="AB5438" s="38"/>
    </row>
    <row r="5439">
      <c r="P5439" s="42"/>
      <c r="AB5439" s="38"/>
    </row>
    <row r="5440">
      <c r="P5440" s="42"/>
      <c r="AB5440" s="38"/>
    </row>
    <row r="5441">
      <c r="P5441" s="42"/>
      <c r="AB5441" s="38"/>
    </row>
    <row r="5442">
      <c r="P5442" s="42"/>
      <c r="AB5442" s="38"/>
    </row>
    <row r="5443">
      <c r="P5443" s="42"/>
      <c r="AB5443" s="38"/>
    </row>
    <row r="5444">
      <c r="P5444" s="42"/>
      <c r="AB5444" s="38"/>
    </row>
    <row r="5445">
      <c r="P5445" s="42"/>
      <c r="AB5445" s="38"/>
    </row>
    <row r="5446">
      <c r="P5446" s="42"/>
      <c r="AB5446" s="38"/>
    </row>
    <row r="5447">
      <c r="P5447" s="42"/>
      <c r="AB5447" s="38"/>
    </row>
    <row r="5448">
      <c r="P5448" s="42"/>
      <c r="AB5448" s="38"/>
    </row>
    <row r="5449">
      <c r="P5449" s="42"/>
      <c r="AB5449" s="38"/>
    </row>
    <row r="5450">
      <c r="P5450" s="42"/>
      <c r="AB5450" s="38"/>
    </row>
    <row r="5451">
      <c r="P5451" s="42"/>
      <c r="AB5451" s="38"/>
    </row>
    <row r="5452">
      <c r="P5452" s="42"/>
      <c r="AB5452" s="38"/>
    </row>
    <row r="5453">
      <c r="P5453" s="42"/>
      <c r="AB5453" s="38"/>
    </row>
    <row r="5454">
      <c r="P5454" s="42"/>
      <c r="AB5454" s="38"/>
    </row>
    <row r="5455">
      <c r="P5455" s="42"/>
      <c r="AB5455" s="38"/>
    </row>
    <row r="5456">
      <c r="P5456" s="42"/>
      <c r="AB5456" s="38"/>
    </row>
    <row r="5457">
      <c r="P5457" s="42"/>
      <c r="AB5457" s="38"/>
    </row>
    <row r="5458">
      <c r="P5458" s="42"/>
      <c r="AB5458" s="38"/>
    </row>
    <row r="5459">
      <c r="P5459" s="42"/>
      <c r="AB5459" s="38"/>
    </row>
    <row r="5460">
      <c r="P5460" s="42"/>
      <c r="AB5460" s="38"/>
    </row>
    <row r="5461">
      <c r="P5461" s="42"/>
      <c r="AB5461" s="38"/>
    </row>
    <row r="5462">
      <c r="P5462" s="42"/>
      <c r="AB5462" s="38"/>
    </row>
    <row r="5463">
      <c r="P5463" s="42"/>
      <c r="AB5463" s="38"/>
    </row>
    <row r="5464">
      <c r="P5464" s="42"/>
      <c r="AB5464" s="38"/>
    </row>
    <row r="5465">
      <c r="P5465" s="42"/>
      <c r="AB5465" s="38"/>
    </row>
    <row r="5466">
      <c r="P5466" s="42"/>
      <c r="AB5466" s="38"/>
    </row>
    <row r="5467">
      <c r="P5467" s="42"/>
      <c r="AB5467" s="38"/>
    </row>
    <row r="5468">
      <c r="P5468" s="42"/>
      <c r="AB5468" s="38"/>
    </row>
    <row r="5469">
      <c r="P5469" s="42"/>
      <c r="AB5469" s="38"/>
    </row>
    <row r="5470">
      <c r="P5470" s="42"/>
      <c r="AB5470" s="38"/>
    </row>
    <row r="5471">
      <c r="P5471" s="42"/>
      <c r="AB5471" s="38"/>
    </row>
    <row r="5472">
      <c r="P5472" s="42"/>
      <c r="AB5472" s="38"/>
    </row>
    <row r="5473">
      <c r="P5473" s="42"/>
      <c r="AB5473" s="38"/>
    </row>
    <row r="5474">
      <c r="P5474" s="42"/>
      <c r="AB5474" s="38"/>
    </row>
    <row r="5475">
      <c r="P5475" s="42"/>
      <c r="AB5475" s="38"/>
    </row>
    <row r="5476">
      <c r="P5476" s="42"/>
      <c r="AB5476" s="38"/>
    </row>
    <row r="5477">
      <c r="P5477" s="42"/>
      <c r="AB5477" s="38"/>
    </row>
    <row r="5478">
      <c r="P5478" s="42"/>
      <c r="AB5478" s="38"/>
    </row>
    <row r="5479">
      <c r="P5479" s="42"/>
      <c r="AB5479" s="38"/>
    </row>
    <row r="5480">
      <c r="P5480" s="42"/>
      <c r="AB5480" s="38"/>
    </row>
    <row r="5481">
      <c r="P5481" s="42"/>
      <c r="AB5481" s="38"/>
    </row>
    <row r="5482">
      <c r="P5482" s="42"/>
      <c r="AB5482" s="38"/>
    </row>
    <row r="5483">
      <c r="P5483" s="42"/>
      <c r="AB5483" s="38"/>
    </row>
    <row r="5484">
      <c r="P5484" s="42"/>
      <c r="AB5484" s="38"/>
    </row>
    <row r="5485">
      <c r="P5485" s="42"/>
      <c r="AB5485" s="38"/>
    </row>
    <row r="5486">
      <c r="P5486" s="42"/>
      <c r="AB5486" s="38"/>
    </row>
    <row r="5487">
      <c r="P5487" s="42"/>
      <c r="AB5487" s="38"/>
    </row>
    <row r="5488">
      <c r="P5488" s="42"/>
      <c r="AB5488" s="38"/>
    </row>
    <row r="5489">
      <c r="P5489" s="42"/>
      <c r="AB5489" s="38"/>
    </row>
    <row r="5490">
      <c r="P5490" s="42"/>
      <c r="AB5490" s="38"/>
    </row>
    <row r="5491">
      <c r="P5491" s="42"/>
      <c r="AB5491" s="38"/>
    </row>
    <row r="5492">
      <c r="P5492" s="42"/>
      <c r="AB5492" s="38"/>
    </row>
    <row r="5493">
      <c r="P5493" s="42"/>
      <c r="AB5493" s="38"/>
    </row>
    <row r="5494">
      <c r="P5494" s="42"/>
      <c r="AB5494" s="38"/>
    </row>
    <row r="5495">
      <c r="P5495" s="42"/>
      <c r="AB5495" s="38"/>
    </row>
    <row r="5496">
      <c r="P5496" s="42"/>
      <c r="AB5496" s="38"/>
    </row>
    <row r="5497">
      <c r="P5497" s="42"/>
      <c r="AB5497" s="38"/>
    </row>
    <row r="5498">
      <c r="P5498" s="42"/>
      <c r="AB5498" s="38"/>
    </row>
    <row r="5499">
      <c r="P5499" s="42"/>
      <c r="AB5499" s="38"/>
    </row>
    <row r="5500">
      <c r="P5500" s="42"/>
      <c r="AB5500" s="38"/>
    </row>
    <row r="5501">
      <c r="P5501" s="42"/>
      <c r="AB5501" s="38"/>
    </row>
    <row r="5502">
      <c r="P5502" s="42"/>
      <c r="AB5502" s="38"/>
    </row>
    <row r="5503">
      <c r="P5503" s="42"/>
      <c r="AB5503" s="38"/>
    </row>
    <row r="5504">
      <c r="P5504" s="42"/>
      <c r="AB5504" s="38"/>
    </row>
    <row r="5505">
      <c r="P5505" s="42"/>
      <c r="AB5505" s="38"/>
    </row>
    <row r="5506">
      <c r="P5506" s="42"/>
      <c r="AB5506" s="38"/>
    </row>
    <row r="5507">
      <c r="P5507" s="42"/>
      <c r="AB5507" s="38"/>
    </row>
    <row r="5508">
      <c r="P5508" s="42"/>
      <c r="AB5508" s="38"/>
    </row>
    <row r="5509">
      <c r="P5509" s="42"/>
      <c r="AB5509" s="38"/>
    </row>
    <row r="5510">
      <c r="P5510" s="42"/>
      <c r="AB5510" s="38"/>
    </row>
    <row r="5511">
      <c r="P5511" s="42"/>
      <c r="AB5511" s="38"/>
    </row>
    <row r="5512">
      <c r="P5512" s="42"/>
      <c r="AB5512" s="38"/>
    </row>
    <row r="5513">
      <c r="P5513" s="42"/>
      <c r="AB5513" s="38"/>
    </row>
    <row r="5514">
      <c r="P5514" s="42"/>
      <c r="AB5514" s="38"/>
    </row>
    <row r="5515">
      <c r="P5515" s="42"/>
      <c r="AB5515" s="38"/>
    </row>
    <row r="5516">
      <c r="P5516" s="42"/>
      <c r="AB5516" s="38"/>
    </row>
    <row r="5517">
      <c r="P5517" s="42"/>
      <c r="AB5517" s="38"/>
    </row>
    <row r="5518">
      <c r="P5518" s="42"/>
      <c r="AB5518" s="38"/>
    </row>
    <row r="5519">
      <c r="P5519" s="42"/>
      <c r="AB5519" s="38"/>
    </row>
    <row r="5520">
      <c r="P5520" s="42"/>
      <c r="AB5520" s="38"/>
    </row>
    <row r="5521">
      <c r="P5521" s="42"/>
      <c r="AB5521" s="38"/>
    </row>
    <row r="5522">
      <c r="P5522" s="42"/>
      <c r="AB5522" s="38"/>
    </row>
    <row r="5523">
      <c r="P5523" s="42"/>
      <c r="AB5523" s="38"/>
    </row>
    <row r="5524">
      <c r="P5524" s="42"/>
      <c r="AB5524" s="38"/>
    </row>
    <row r="5525">
      <c r="P5525" s="42"/>
      <c r="AB5525" s="38"/>
    </row>
    <row r="5526">
      <c r="P5526" s="42"/>
      <c r="AB5526" s="38"/>
    </row>
    <row r="5527">
      <c r="P5527" s="42"/>
      <c r="AB5527" s="38"/>
    </row>
    <row r="5528">
      <c r="P5528" s="42"/>
      <c r="AB5528" s="38"/>
    </row>
    <row r="5529">
      <c r="P5529" s="42"/>
      <c r="AB5529" s="38"/>
    </row>
    <row r="5530">
      <c r="P5530" s="42"/>
      <c r="AB5530" s="38"/>
    </row>
    <row r="5531">
      <c r="P5531" s="42"/>
      <c r="AB5531" s="38"/>
    </row>
    <row r="5532">
      <c r="P5532" s="42"/>
      <c r="AB5532" s="38"/>
    </row>
    <row r="5533">
      <c r="P5533" s="42"/>
      <c r="AB5533" s="38"/>
    </row>
    <row r="5534">
      <c r="P5534" s="42"/>
      <c r="AB5534" s="38"/>
    </row>
    <row r="5535">
      <c r="P5535" s="42"/>
      <c r="AB5535" s="38"/>
    </row>
    <row r="5536">
      <c r="P5536" s="42"/>
      <c r="AB5536" s="38"/>
    </row>
    <row r="5537">
      <c r="P5537" s="42"/>
      <c r="AB5537" s="38"/>
    </row>
    <row r="5538">
      <c r="P5538" s="42"/>
      <c r="AB5538" s="38"/>
    </row>
    <row r="5539">
      <c r="P5539" s="42"/>
      <c r="AB5539" s="38"/>
    </row>
    <row r="5540">
      <c r="P5540" s="42"/>
      <c r="AB5540" s="38"/>
    </row>
    <row r="5541">
      <c r="P5541" s="42"/>
      <c r="AB5541" s="38"/>
    </row>
    <row r="5542">
      <c r="P5542" s="42"/>
      <c r="AB5542" s="38"/>
    </row>
    <row r="5543">
      <c r="P5543" s="42"/>
      <c r="AB5543" s="38"/>
    </row>
    <row r="5544">
      <c r="P5544" s="42"/>
      <c r="AB5544" s="38"/>
    </row>
    <row r="5545">
      <c r="P5545" s="42"/>
      <c r="AB5545" s="38"/>
    </row>
    <row r="5546">
      <c r="P5546" s="42"/>
      <c r="AB5546" s="38"/>
    </row>
    <row r="5547">
      <c r="P5547" s="42"/>
      <c r="AB5547" s="38"/>
    </row>
    <row r="5548">
      <c r="P5548" s="42"/>
      <c r="AB5548" s="38"/>
    </row>
    <row r="5549">
      <c r="P5549" s="42"/>
      <c r="AB5549" s="38"/>
    </row>
    <row r="5550">
      <c r="P5550" s="42"/>
      <c r="AB5550" s="38"/>
    </row>
    <row r="5551">
      <c r="P5551" s="42"/>
      <c r="AB5551" s="38"/>
    </row>
    <row r="5552">
      <c r="P5552" s="42"/>
      <c r="AB5552" s="38"/>
    </row>
    <row r="5553">
      <c r="P5553" s="42"/>
      <c r="AB5553" s="38"/>
    </row>
    <row r="5554">
      <c r="P5554" s="42"/>
      <c r="AB5554" s="38"/>
    </row>
    <row r="5555">
      <c r="P5555" s="42"/>
      <c r="AB5555" s="38"/>
    </row>
    <row r="5556">
      <c r="P5556" s="42"/>
      <c r="AB5556" s="38"/>
    </row>
    <row r="5557">
      <c r="P5557" s="42"/>
      <c r="AB5557" s="38"/>
    </row>
    <row r="5558">
      <c r="P5558" s="42"/>
      <c r="AB5558" s="38"/>
    </row>
    <row r="5559">
      <c r="P5559" s="42"/>
      <c r="AB5559" s="38"/>
    </row>
    <row r="5560">
      <c r="P5560" s="42"/>
      <c r="AB5560" s="38"/>
    </row>
    <row r="5561">
      <c r="P5561" s="42"/>
      <c r="AB5561" s="38"/>
    </row>
    <row r="5562">
      <c r="P5562" s="42"/>
      <c r="AB5562" s="38"/>
    </row>
    <row r="5563">
      <c r="P5563" s="42"/>
      <c r="AB5563" s="38"/>
    </row>
    <row r="5564">
      <c r="P5564" s="42"/>
      <c r="AB5564" s="38"/>
    </row>
    <row r="5565">
      <c r="P5565" s="42"/>
      <c r="AB5565" s="38"/>
    </row>
    <row r="5566">
      <c r="P5566" s="42"/>
      <c r="AB5566" s="38"/>
    </row>
    <row r="5567">
      <c r="P5567" s="42"/>
      <c r="AB5567" s="38"/>
    </row>
    <row r="5568">
      <c r="P5568" s="42"/>
      <c r="AB5568" s="38"/>
    </row>
    <row r="5569">
      <c r="P5569" s="42"/>
      <c r="AB5569" s="38"/>
    </row>
    <row r="5570">
      <c r="P5570" s="42"/>
      <c r="AB5570" s="38"/>
    </row>
    <row r="5571">
      <c r="P5571" s="42"/>
      <c r="AB5571" s="38"/>
    </row>
    <row r="5572">
      <c r="P5572" s="42"/>
      <c r="AB5572" s="38"/>
    </row>
    <row r="5573">
      <c r="P5573" s="42"/>
      <c r="AB5573" s="38"/>
    </row>
    <row r="5574">
      <c r="P5574" s="42"/>
      <c r="AB5574" s="38"/>
    </row>
    <row r="5575">
      <c r="P5575" s="42"/>
      <c r="AB5575" s="38"/>
    </row>
    <row r="5576">
      <c r="P5576" s="42"/>
      <c r="AB5576" s="38"/>
    </row>
    <row r="5577">
      <c r="P5577" s="42"/>
      <c r="AB5577" s="38"/>
    </row>
    <row r="5578">
      <c r="P5578" s="42"/>
      <c r="AB5578" s="38"/>
    </row>
    <row r="5579">
      <c r="P5579" s="42"/>
      <c r="AB5579" s="38"/>
    </row>
    <row r="5580">
      <c r="P5580" s="42"/>
      <c r="AB5580" s="38"/>
    </row>
    <row r="5581">
      <c r="P5581" s="42"/>
      <c r="AB5581" s="38"/>
    </row>
    <row r="5582">
      <c r="P5582" s="42"/>
      <c r="AB5582" s="38"/>
    </row>
    <row r="5583">
      <c r="P5583" s="42"/>
      <c r="AB5583" s="38"/>
    </row>
    <row r="5584">
      <c r="P5584" s="42"/>
      <c r="AB5584" s="38"/>
    </row>
    <row r="5585">
      <c r="P5585" s="42"/>
      <c r="AB5585" s="38"/>
    </row>
    <row r="5586">
      <c r="P5586" s="42"/>
      <c r="AB5586" s="38"/>
    </row>
    <row r="5587">
      <c r="P5587" s="42"/>
      <c r="AB5587" s="38"/>
    </row>
    <row r="5588">
      <c r="P5588" s="42"/>
      <c r="AB5588" s="38"/>
    </row>
    <row r="5589">
      <c r="P5589" s="42"/>
      <c r="AB5589" s="38"/>
    </row>
    <row r="5590">
      <c r="P5590" s="42"/>
      <c r="AB5590" s="38"/>
    </row>
    <row r="5591">
      <c r="P5591" s="42"/>
      <c r="AB5591" s="38"/>
    </row>
    <row r="5592">
      <c r="P5592" s="42"/>
      <c r="AB5592" s="38"/>
    </row>
    <row r="5593">
      <c r="P5593" s="42"/>
      <c r="AB5593" s="38"/>
    </row>
    <row r="5594">
      <c r="P5594" s="42"/>
      <c r="AB5594" s="38"/>
    </row>
    <row r="5595">
      <c r="P5595" s="42"/>
      <c r="AB5595" s="38"/>
    </row>
    <row r="5596">
      <c r="P5596" s="42"/>
      <c r="AB5596" s="38"/>
    </row>
    <row r="5597">
      <c r="P5597" s="42"/>
      <c r="AB5597" s="38"/>
    </row>
    <row r="5598">
      <c r="P5598" s="42"/>
      <c r="AB5598" s="38"/>
    </row>
    <row r="5599">
      <c r="P5599" s="42"/>
      <c r="AB5599" s="38"/>
    </row>
    <row r="5600">
      <c r="P5600" s="42"/>
      <c r="AB5600" s="38"/>
    </row>
    <row r="5601">
      <c r="P5601" s="42"/>
      <c r="AB5601" s="38"/>
    </row>
    <row r="5602">
      <c r="P5602" s="42"/>
      <c r="AB5602" s="38"/>
    </row>
    <row r="5603">
      <c r="P5603" s="42"/>
      <c r="AB5603" s="38"/>
    </row>
    <row r="5604">
      <c r="P5604" s="42"/>
      <c r="AB5604" s="38"/>
    </row>
    <row r="5605">
      <c r="P5605" s="42"/>
      <c r="AB5605" s="38"/>
    </row>
    <row r="5606">
      <c r="P5606" s="42"/>
      <c r="AB5606" s="38"/>
    </row>
    <row r="5607">
      <c r="P5607" s="42"/>
      <c r="AB5607" s="38"/>
    </row>
    <row r="5608">
      <c r="P5608" s="42"/>
      <c r="AB5608" s="38"/>
    </row>
    <row r="5609">
      <c r="P5609" s="42"/>
      <c r="AB5609" s="38"/>
    </row>
    <row r="5610">
      <c r="P5610" s="42"/>
      <c r="AB5610" s="38"/>
    </row>
    <row r="5611">
      <c r="P5611" s="42"/>
      <c r="AB5611" s="38"/>
    </row>
    <row r="5612">
      <c r="P5612" s="42"/>
      <c r="AB5612" s="38"/>
    </row>
    <row r="5613">
      <c r="P5613" s="42"/>
      <c r="AB5613" s="38"/>
    </row>
    <row r="5614">
      <c r="P5614" s="42"/>
      <c r="AB5614" s="38"/>
    </row>
    <row r="5615">
      <c r="P5615" s="42"/>
      <c r="AB5615" s="38"/>
    </row>
    <row r="5616">
      <c r="P5616" s="42"/>
      <c r="AB5616" s="38"/>
    </row>
    <row r="5617">
      <c r="P5617" s="42"/>
      <c r="AB5617" s="38"/>
    </row>
    <row r="5618">
      <c r="P5618" s="42"/>
      <c r="AB5618" s="38"/>
    </row>
    <row r="5619">
      <c r="P5619" s="42"/>
      <c r="AB5619" s="38"/>
    </row>
    <row r="5620">
      <c r="P5620" s="42"/>
      <c r="AB5620" s="38"/>
    </row>
    <row r="5621">
      <c r="P5621" s="42"/>
      <c r="AB5621" s="38"/>
    </row>
    <row r="5622">
      <c r="P5622" s="42"/>
      <c r="AB5622" s="38"/>
    </row>
    <row r="5623">
      <c r="P5623" s="42"/>
      <c r="AB5623" s="38"/>
    </row>
    <row r="5624">
      <c r="P5624" s="42"/>
      <c r="AB5624" s="38"/>
    </row>
    <row r="5625">
      <c r="P5625" s="42"/>
      <c r="AB5625" s="38"/>
    </row>
    <row r="5626">
      <c r="P5626" s="42"/>
      <c r="AB5626" s="38"/>
    </row>
    <row r="5627">
      <c r="P5627" s="42"/>
      <c r="AB5627" s="38"/>
    </row>
    <row r="5628">
      <c r="P5628" s="42"/>
      <c r="AB5628" s="38"/>
    </row>
    <row r="5629">
      <c r="P5629" s="42"/>
      <c r="AB5629" s="38"/>
    </row>
    <row r="5630">
      <c r="P5630" s="42"/>
      <c r="AB5630" s="38"/>
    </row>
    <row r="5631">
      <c r="P5631" s="42"/>
      <c r="AB5631" s="38"/>
    </row>
    <row r="5632">
      <c r="P5632" s="42"/>
      <c r="AB5632" s="38"/>
    </row>
    <row r="5633">
      <c r="P5633" s="42"/>
      <c r="AB5633" s="38"/>
    </row>
    <row r="5634">
      <c r="P5634" s="42"/>
      <c r="AB5634" s="38"/>
    </row>
    <row r="5635">
      <c r="P5635" s="42"/>
      <c r="AB5635" s="38"/>
    </row>
    <row r="5636">
      <c r="P5636" s="42"/>
      <c r="AB5636" s="38"/>
    </row>
    <row r="5637">
      <c r="P5637" s="42"/>
      <c r="AB5637" s="38"/>
    </row>
    <row r="5638">
      <c r="P5638" s="42"/>
      <c r="AB5638" s="38"/>
    </row>
    <row r="5639">
      <c r="P5639" s="42"/>
      <c r="AB5639" s="38"/>
    </row>
    <row r="5640">
      <c r="P5640" s="42"/>
      <c r="AB5640" s="38"/>
    </row>
    <row r="5641">
      <c r="P5641" s="42"/>
      <c r="AB5641" s="38"/>
    </row>
    <row r="5642">
      <c r="P5642" s="42"/>
      <c r="AB5642" s="38"/>
    </row>
    <row r="5643">
      <c r="P5643" s="42"/>
      <c r="AB5643" s="38"/>
    </row>
    <row r="5644">
      <c r="P5644" s="42"/>
      <c r="AB5644" s="38"/>
    </row>
    <row r="5645">
      <c r="P5645" s="42"/>
      <c r="AB5645" s="38"/>
    </row>
    <row r="5646">
      <c r="P5646" s="42"/>
      <c r="AB5646" s="38"/>
    </row>
    <row r="5647">
      <c r="P5647" s="42"/>
      <c r="AB5647" s="38"/>
    </row>
    <row r="5648">
      <c r="P5648" s="42"/>
      <c r="AB5648" s="38"/>
    </row>
    <row r="5649">
      <c r="P5649" s="42"/>
      <c r="AB5649" s="38"/>
    </row>
    <row r="5650">
      <c r="P5650" s="42"/>
      <c r="AB5650" s="38"/>
    </row>
    <row r="5651">
      <c r="P5651" s="42"/>
      <c r="AB5651" s="38"/>
    </row>
    <row r="5652">
      <c r="P5652" s="42"/>
      <c r="AB5652" s="38"/>
    </row>
    <row r="5653">
      <c r="P5653" s="42"/>
      <c r="AB5653" s="38"/>
    </row>
    <row r="5654">
      <c r="P5654" s="42"/>
      <c r="AB5654" s="38"/>
    </row>
    <row r="5655">
      <c r="P5655" s="42"/>
      <c r="AB5655" s="38"/>
    </row>
    <row r="5656">
      <c r="P5656" s="42"/>
      <c r="AB5656" s="38"/>
    </row>
    <row r="5657">
      <c r="P5657" s="42"/>
      <c r="AB5657" s="38"/>
    </row>
    <row r="5658">
      <c r="P5658" s="42"/>
      <c r="AB5658" s="38"/>
    </row>
    <row r="5659">
      <c r="P5659" s="42"/>
      <c r="AB5659" s="38"/>
    </row>
    <row r="5660">
      <c r="P5660" s="42"/>
      <c r="AB5660" s="38"/>
    </row>
    <row r="5661">
      <c r="P5661" s="42"/>
      <c r="AB5661" s="38"/>
    </row>
    <row r="5662">
      <c r="P5662" s="42"/>
      <c r="AB5662" s="38"/>
    </row>
    <row r="5663">
      <c r="P5663" s="42"/>
      <c r="AB5663" s="38"/>
    </row>
    <row r="5664">
      <c r="P5664" s="42"/>
      <c r="AB5664" s="38"/>
    </row>
    <row r="5665">
      <c r="P5665" s="42"/>
      <c r="AB5665" s="38"/>
    </row>
    <row r="5666">
      <c r="P5666" s="42"/>
      <c r="AB5666" s="38"/>
    </row>
    <row r="5667">
      <c r="P5667" s="42"/>
      <c r="AB5667" s="38"/>
    </row>
    <row r="5668">
      <c r="P5668" s="42"/>
      <c r="AB5668" s="38"/>
    </row>
    <row r="5669">
      <c r="P5669" s="42"/>
      <c r="AB5669" s="38"/>
    </row>
    <row r="5670">
      <c r="P5670" s="42"/>
      <c r="AB5670" s="38"/>
    </row>
    <row r="5671">
      <c r="P5671" s="42"/>
      <c r="AB5671" s="38"/>
    </row>
    <row r="5672">
      <c r="P5672" s="42"/>
      <c r="AB5672" s="38"/>
    </row>
    <row r="5673">
      <c r="P5673" s="42"/>
      <c r="AB5673" s="38"/>
    </row>
    <row r="5674">
      <c r="P5674" s="42"/>
      <c r="AB5674" s="38"/>
    </row>
    <row r="5675">
      <c r="P5675" s="42"/>
      <c r="AB5675" s="38"/>
    </row>
    <row r="5676">
      <c r="P5676" s="42"/>
      <c r="AB5676" s="38"/>
    </row>
    <row r="5677">
      <c r="P5677" s="42"/>
      <c r="AB5677" s="38"/>
    </row>
    <row r="5678">
      <c r="P5678" s="42"/>
      <c r="AB5678" s="38"/>
    </row>
    <row r="5679">
      <c r="P5679" s="42"/>
      <c r="AB5679" s="38"/>
    </row>
    <row r="5680">
      <c r="P5680" s="42"/>
      <c r="AB5680" s="38"/>
    </row>
    <row r="5681">
      <c r="P5681" s="42"/>
      <c r="AB5681" s="38"/>
    </row>
    <row r="5682">
      <c r="P5682" s="42"/>
      <c r="AB5682" s="38"/>
    </row>
    <row r="5683">
      <c r="P5683" s="42"/>
      <c r="AB5683" s="38"/>
    </row>
    <row r="5684">
      <c r="P5684" s="42"/>
      <c r="AB5684" s="38"/>
    </row>
    <row r="5685">
      <c r="P5685" s="42"/>
      <c r="AB5685" s="38"/>
    </row>
    <row r="5686">
      <c r="P5686" s="42"/>
      <c r="AB5686" s="38"/>
    </row>
    <row r="5687">
      <c r="P5687" s="42"/>
      <c r="AB5687" s="38"/>
    </row>
    <row r="5688">
      <c r="P5688" s="42"/>
      <c r="AB5688" s="38"/>
    </row>
    <row r="5689">
      <c r="P5689" s="42"/>
      <c r="AB5689" s="38"/>
    </row>
    <row r="5690">
      <c r="P5690" s="42"/>
      <c r="AB5690" s="38"/>
    </row>
    <row r="5691">
      <c r="P5691" s="42"/>
      <c r="AB5691" s="38"/>
    </row>
    <row r="5692">
      <c r="P5692" s="42"/>
      <c r="AB5692" s="38"/>
    </row>
    <row r="5693">
      <c r="P5693" s="42"/>
      <c r="AB5693" s="38"/>
    </row>
    <row r="5694">
      <c r="P5694" s="42"/>
      <c r="AB5694" s="38"/>
    </row>
    <row r="5695">
      <c r="P5695" s="42"/>
      <c r="AB5695" s="38"/>
    </row>
    <row r="5696">
      <c r="P5696" s="42"/>
      <c r="AB5696" s="38"/>
    </row>
    <row r="5697">
      <c r="P5697" s="42"/>
      <c r="AB5697" s="38"/>
    </row>
    <row r="5698">
      <c r="P5698" s="42"/>
      <c r="AB5698" s="38"/>
    </row>
    <row r="5699">
      <c r="P5699" s="42"/>
      <c r="AB5699" s="38"/>
    </row>
    <row r="5700">
      <c r="P5700" s="42"/>
      <c r="AB5700" s="38"/>
    </row>
    <row r="5701">
      <c r="P5701" s="42"/>
      <c r="AB5701" s="38"/>
    </row>
    <row r="5702">
      <c r="P5702" s="42"/>
      <c r="AB5702" s="38"/>
    </row>
    <row r="5703">
      <c r="P5703" s="42"/>
      <c r="AB5703" s="38"/>
    </row>
    <row r="5704">
      <c r="P5704" s="42"/>
      <c r="AB5704" s="38"/>
    </row>
    <row r="5705">
      <c r="P5705" s="42"/>
      <c r="AB5705" s="38"/>
    </row>
    <row r="5706">
      <c r="P5706" s="42"/>
      <c r="AB5706" s="38"/>
    </row>
    <row r="5707">
      <c r="P5707" s="42"/>
      <c r="AB5707" s="38"/>
    </row>
    <row r="5708">
      <c r="P5708" s="42"/>
      <c r="AB5708" s="38"/>
    </row>
    <row r="5709">
      <c r="P5709" s="42"/>
      <c r="AB5709" s="38"/>
    </row>
    <row r="5710">
      <c r="P5710" s="42"/>
      <c r="AB5710" s="38"/>
    </row>
    <row r="5711">
      <c r="P5711" s="42"/>
      <c r="AB5711" s="38"/>
    </row>
    <row r="5712">
      <c r="P5712" s="42"/>
      <c r="AB5712" s="38"/>
    </row>
    <row r="5713">
      <c r="P5713" s="42"/>
      <c r="AB5713" s="38"/>
    </row>
    <row r="5714">
      <c r="P5714" s="42"/>
      <c r="AB5714" s="38"/>
    </row>
    <row r="5715">
      <c r="P5715" s="42"/>
      <c r="AB5715" s="38"/>
    </row>
    <row r="5716">
      <c r="P5716" s="42"/>
      <c r="AB5716" s="38"/>
    </row>
    <row r="5717">
      <c r="P5717" s="42"/>
      <c r="AB5717" s="38"/>
    </row>
    <row r="5718">
      <c r="P5718" s="42"/>
      <c r="AB5718" s="38"/>
    </row>
    <row r="5719">
      <c r="P5719" s="42"/>
      <c r="AB5719" s="38"/>
    </row>
    <row r="5720">
      <c r="P5720" s="42"/>
      <c r="AB5720" s="38"/>
    </row>
    <row r="5721">
      <c r="P5721" s="42"/>
      <c r="AB5721" s="38"/>
    </row>
    <row r="5722">
      <c r="P5722" s="42"/>
      <c r="AB5722" s="38"/>
    </row>
    <row r="5723">
      <c r="P5723" s="42"/>
      <c r="AB5723" s="38"/>
    </row>
    <row r="5724">
      <c r="P5724" s="42"/>
      <c r="AB5724" s="38"/>
    </row>
    <row r="5725">
      <c r="P5725" s="42"/>
      <c r="AB5725" s="38"/>
    </row>
    <row r="5726">
      <c r="P5726" s="42"/>
      <c r="AB5726" s="38"/>
    </row>
    <row r="5727">
      <c r="P5727" s="42"/>
      <c r="AB5727" s="38"/>
    </row>
    <row r="5728">
      <c r="P5728" s="42"/>
      <c r="AB5728" s="38"/>
    </row>
    <row r="5729">
      <c r="P5729" s="42"/>
      <c r="AB5729" s="38"/>
    </row>
    <row r="5730">
      <c r="P5730" s="42"/>
      <c r="AB5730" s="38"/>
    </row>
    <row r="5731">
      <c r="P5731" s="42"/>
      <c r="AB5731" s="38"/>
    </row>
    <row r="5732">
      <c r="P5732" s="42"/>
      <c r="AB5732" s="38"/>
    </row>
    <row r="5733">
      <c r="P5733" s="42"/>
      <c r="AB5733" s="38"/>
    </row>
    <row r="5734">
      <c r="P5734" s="42"/>
      <c r="AB5734" s="38"/>
    </row>
    <row r="5735">
      <c r="P5735" s="42"/>
      <c r="AB5735" s="38"/>
    </row>
    <row r="5736">
      <c r="P5736" s="42"/>
      <c r="AB5736" s="38"/>
    </row>
    <row r="5737">
      <c r="P5737" s="42"/>
      <c r="AB5737" s="38"/>
    </row>
    <row r="5738">
      <c r="P5738" s="42"/>
      <c r="AB5738" s="38"/>
    </row>
    <row r="5739">
      <c r="P5739" s="42"/>
      <c r="AB5739" s="38"/>
    </row>
    <row r="5740">
      <c r="P5740" s="42"/>
      <c r="AB5740" s="38"/>
    </row>
    <row r="5741">
      <c r="P5741" s="42"/>
      <c r="AB5741" s="38"/>
    </row>
    <row r="5742">
      <c r="P5742" s="42"/>
      <c r="AB5742" s="38"/>
    </row>
    <row r="5743">
      <c r="P5743" s="42"/>
      <c r="AB5743" s="38"/>
    </row>
    <row r="5744">
      <c r="P5744" s="42"/>
      <c r="AB5744" s="38"/>
    </row>
    <row r="5745">
      <c r="P5745" s="42"/>
      <c r="AB5745" s="38"/>
    </row>
    <row r="5746">
      <c r="P5746" s="42"/>
      <c r="AB5746" s="38"/>
    </row>
    <row r="5747">
      <c r="P5747" s="42"/>
      <c r="AB5747" s="38"/>
    </row>
    <row r="5748">
      <c r="P5748" s="42"/>
      <c r="AB5748" s="38"/>
    </row>
    <row r="5749">
      <c r="P5749" s="42"/>
      <c r="AB5749" s="38"/>
    </row>
    <row r="5750">
      <c r="P5750" s="42"/>
      <c r="AB5750" s="38"/>
    </row>
    <row r="5751">
      <c r="P5751" s="42"/>
      <c r="AB5751" s="38"/>
    </row>
    <row r="5752">
      <c r="P5752" s="42"/>
      <c r="AB5752" s="38"/>
    </row>
    <row r="5753">
      <c r="P5753" s="42"/>
      <c r="AB5753" s="38"/>
    </row>
    <row r="5754">
      <c r="P5754" s="42"/>
      <c r="AB5754" s="38"/>
    </row>
    <row r="5755">
      <c r="P5755" s="42"/>
      <c r="AB5755" s="38"/>
    </row>
    <row r="5756">
      <c r="P5756" s="42"/>
      <c r="AB5756" s="38"/>
    </row>
    <row r="5757">
      <c r="P5757" s="42"/>
      <c r="AB5757" s="38"/>
    </row>
    <row r="5758">
      <c r="P5758" s="42"/>
      <c r="AB5758" s="38"/>
    </row>
    <row r="5759">
      <c r="P5759" s="42"/>
      <c r="AB5759" s="38"/>
    </row>
    <row r="5760">
      <c r="P5760" s="42"/>
      <c r="AB5760" s="38"/>
    </row>
    <row r="5761">
      <c r="P5761" s="42"/>
      <c r="AB5761" s="38"/>
    </row>
    <row r="5762">
      <c r="P5762" s="42"/>
      <c r="AB5762" s="38"/>
    </row>
    <row r="5763">
      <c r="P5763" s="42"/>
      <c r="AB5763" s="38"/>
    </row>
    <row r="5764">
      <c r="P5764" s="42"/>
      <c r="AB5764" s="38"/>
    </row>
    <row r="5765">
      <c r="P5765" s="42"/>
      <c r="AB5765" s="38"/>
    </row>
    <row r="5766">
      <c r="P5766" s="42"/>
      <c r="AB5766" s="38"/>
    </row>
    <row r="5767">
      <c r="P5767" s="42"/>
      <c r="AB5767" s="38"/>
    </row>
    <row r="5768">
      <c r="P5768" s="42"/>
      <c r="AB5768" s="38"/>
    </row>
    <row r="5769">
      <c r="P5769" s="42"/>
      <c r="AB5769" s="38"/>
    </row>
    <row r="5770">
      <c r="P5770" s="42"/>
      <c r="AB5770" s="38"/>
    </row>
    <row r="5771">
      <c r="P5771" s="42"/>
      <c r="AB5771" s="38"/>
    </row>
    <row r="5772">
      <c r="P5772" s="42"/>
      <c r="AB5772" s="38"/>
    </row>
    <row r="5773">
      <c r="P5773" s="42"/>
      <c r="AB5773" s="38"/>
    </row>
    <row r="5774">
      <c r="P5774" s="42"/>
      <c r="AB5774" s="38"/>
    </row>
    <row r="5775">
      <c r="P5775" s="42"/>
      <c r="AB5775" s="38"/>
    </row>
    <row r="5776">
      <c r="P5776" s="42"/>
      <c r="AB5776" s="38"/>
    </row>
    <row r="5777">
      <c r="P5777" s="42"/>
      <c r="AB5777" s="38"/>
    </row>
    <row r="5778">
      <c r="P5778" s="42"/>
      <c r="AB5778" s="38"/>
    </row>
    <row r="5779">
      <c r="P5779" s="42"/>
      <c r="AB5779" s="38"/>
    </row>
    <row r="5780">
      <c r="P5780" s="42"/>
      <c r="AB5780" s="38"/>
    </row>
    <row r="5781">
      <c r="P5781" s="42"/>
      <c r="AB5781" s="38"/>
    </row>
    <row r="5782">
      <c r="P5782" s="42"/>
      <c r="AB5782" s="38"/>
    </row>
    <row r="5783">
      <c r="P5783" s="42"/>
      <c r="AB5783" s="38"/>
    </row>
    <row r="5784">
      <c r="P5784" s="42"/>
      <c r="AB5784" s="38"/>
    </row>
    <row r="5785">
      <c r="P5785" s="42"/>
      <c r="AB5785" s="38"/>
    </row>
    <row r="5786">
      <c r="P5786" s="42"/>
      <c r="AB5786" s="38"/>
    </row>
    <row r="5787">
      <c r="P5787" s="42"/>
      <c r="AB5787" s="38"/>
    </row>
    <row r="5788">
      <c r="P5788" s="42"/>
      <c r="AB5788" s="38"/>
    </row>
    <row r="5789">
      <c r="P5789" s="42"/>
      <c r="AB5789" s="38"/>
    </row>
    <row r="5790">
      <c r="P5790" s="42"/>
      <c r="AB5790" s="38"/>
    </row>
    <row r="5791">
      <c r="P5791" s="42"/>
      <c r="AB5791" s="38"/>
    </row>
    <row r="5792">
      <c r="P5792" s="42"/>
      <c r="AB5792" s="38"/>
    </row>
    <row r="5793">
      <c r="P5793" s="42"/>
      <c r="AB5793" s="38"/>
    </row>
    <row r="5794">
      <c r="P5794" s="42"/>
      <c r="AB5794" s="38"/>
    </row>
    <row r="5795">
      <c r="P5795" s="42"/>
      <c r="AB5795" s="38"/>
    </row>
    <row r="5796">
      <c r="P5796" s="42"/>
      <c r="AB5796" s="38"/>
    </row>
    <row r="5797">
      <c r="P5797" s="42"/>
      <c r="AB5797" s="38"/>
    </row>
    <row r="5798">
      <c r="P5798" s="42"/>
      <c r="AB5798" s="38"/>
    </row>
    <row r="5799">
      <c r="P5799" s="42"/>
      <c r="AB5799" s="38"/>
    </row>
    <row r="5800">
      <c r="P5800" s="42"/>
      <c r="AB5800" s="38"/>
    </row>
    <row r="5801">
      <c r="P5801" s="42"/>
      <c r="AB5801" s="38"/>
    </row>
    <row r="5802">
      <c r="P5802" s="42"/>
      <c r="AB5802" s="38"/>
    </row>
    <row r="5803">
      <c r="P5803" s="42"/>
      <c r="AB5803" s="38"/>
    </row>
    <row r="5804">
      <c r="P5804" s="42"/>
      <c r="AB5804" s="38"/>
    </row>
    <row r="5805">
      <c r="P5805" s="42"/>
      <c r="AB5805" s="38"/>
    </row>
    <row r="5806">
      <c r="P5806" s="42"/>
      <c r="AB5806" s="38"/>
    </row>
    <row r="5807">
      <c r="P5807" s="42"/>
      <c r="AB5807" s="38"/>
    </row>
    <row r="5808">
      <c r="P5808" s="42"/>
      <c r="AB5808" s="38"/>
    </row>
    <row r="5809">
      <c r="P5809" s="42"/>
      <c r="AB5809" s="38"/>
    </row>
    <row r="5810">
      <c r="P5810" s="42"/>
      <c r="AB5810" s="38"/>
    </row>
    <row r="5811">
      <c r="P5811" s="42"/>
      <c r="AB5811" s="38"/>
    </row>
    <row r="5812">
      <c r="P5812" s="42"/>
      <c r="AB5812" s="38"/>
    </row>
    <row r="5813">
      <c r="P5813" s="42"/>
      <c r="AB5813" s="38"/>
    </row>
    <row r="5814">
      <c r="P5814" s="42"/>
      <c r="AB5814" s="38"/>
    </row>
    <row r="5815">
      <c r="P5815" s="42"/>
      <c r="AB5815" s="38"/>
    </row>
    <row r="5816">
      <c r="P5816" s="42"/>
      <c r="AB5816" s="38"/>
    </row>
    <row r="5817">
      <c r="P5817" s="42"/>
      <c r="AB5817" s="38"/>
    </row>
    <row r="5818">
      <c r="P5818" s="42"/>
      <c r="AB5818" s="38"/>
    </row>
    <row r="5819">
      <c r="P5819" s="42"/>
      <c r="AB5819" s="38"/>
    </row>
    <row r="5820">
      <c r="P5820" s="42"/>
      <c r="AB5820" s="38"/>
    </row>
    <row r="5821">
      <c r="P5821" s="42"/>
      <c r="AB5821" s="38"/>
    </row>
    <row r="5822">
      <c r="P5822" s="42"/>
      <c r="AB5822" s="38"/>
    </row>
    <row r="5823">
      <c r="P5823" s="42"/>
      <c r="AB5823" s="38"/>
    </row>
    <row r="5824">
      <c r="P5824" s="42"/>
      <c r="AB5824" s="38"/>
    </row>
    <row r="5825">
      <c r="P5825" s="42"/>
      <c r="AB5825" s="38"/>
    </row>
    <row r="5826">
      <c r="P5826" s="42"/>
      <c r="AB5826" s="38"/>
    </row>
    <row r="5827">
      <c r="P5827" s="42"/>
      <c r="AB5827" s="38"/>
    </row>
    <row r="5828">
      <c r="P5828" s="42"/>
      <c r="AB5828" s="38"/>
    </row>
    <row r="5829">
      <c r="P5829" s="42"/>
      <c r="AB5829" s="38"/>
    </row>
    <row r="5830">
      <c r="P5830" s="42"/>
      <c r="AB5830" s="38"/>
    </row>
    <row r="5831">
      <c r="P5831" s="42"/>
      <c r="AB5831" s="38"/>
    </row>
    <row r="5832">
      <c r="P5832" s="42"/>
      <c r="AB5832" s="38"/>
    </row>
    <row r="5833">
      <c r="P5833" s="42"/>
      <c r="AB5833" s="38"/>
    </row>
    <row r="5834">
      <c r="P5834" s="42"/>
      <c r="AB5834" s="38"/>
    </row>
    <row r="5835">
      <c r="P5835" s="42"/>
      <c r="AB5835" s="38"/>
    </row>
    <row r="5836">
      <c r="P5836" s="42"/>
      <c r="AB5836" s="38"/>
    </row>
    <row r="5837">
      <c r="P5837" s="42"/>
      <c r="AB5837" s="38"/>
    </row>
    <row r="5838">
      <c r="P5838" s="42"/>
      <c r="AB5838" s="38"/>
    </row>
    <row r="5839">
      <c r="P5839" s="42"/>
      <c r="AB5839" s="38"/>
    </row>
    <row r="5840">
      <c r="P5840" s="42"/>
      <c r="AB5840" s="38"/>
    </row>
    <row r="5841">
      <c r="P5841" s="42"/>
      <c r="AB5841" s="38"/>
    </row>
    <row r="5842">
      <c r="P5842" s="42"/>
      <c r="AB5842" s="38"/>
    </row>
    <row r="5843">
      <c r="P5843" s="42"/>
      <c r="AB5843" s="38"/>
    </row>
    <row r="5844">
      <c r="P5844" s="42"/>
      <c r="AB5844" s="38"/>
    </row>
    <row r="5845">
      <c r="P5845" s="42"/>
      <c r="AB5845" s="38"/>
    </row>
    <row r="5846">
      <c r="P5846" s="42"/>
      <c r="AB5846" s="38"/>
    </row>
    <row r="5847">
      <c r="P5847" s="42"/>
      <c r="AB5847" s="38"/>
    </row>
    <row r="5848">
      <c r="P5848" s="42"/>
      <c r="AB5848" s="38"/>
    </row>
    <row r="5849">
      <c r="P5849" s="42"/>
      <c r="AB5849" s="38"/>
    </row>
    <row r="5850">
      <c r="P5850" s="42"/>
      <c r="AB5850" s="38"/>
    </row>
    <row r="5851">
      <c r="P5851" s="42"/>
      <c r="AB5851" s="38"/>
    </row>
    <row r="5852">
      <c r="P5852" s="42"/>
      <c r="AB5852" s="38"/>
    </row>
    <row r="5853">
      <c r="P5853" s="42"/>
      <c r="AB5853" s="38"/>
    </row>
    <row r="5854">
      <c r="P5854" s="42"/>
      <c r="AB5854" s="38"/>
    </row>
    <row r="5855">
      <c r="P5855" s="42"/>
      <c r="AB5855" s="38"/>
    </row>
    <row r="5856">
      <c r="P5856" s="42"/>
      <c r="AB5856" s="38"/>
    </row>
    <row r="5857">
      <c r="P5857" s="42"/>
      <c r="AB5857" s="38"/>
    </row>
    <row r="5858">
      <c r="P5858" s="42"/>
      <c r="AB5858" s="38"/>
    </row>
    <row r="5859">
      <c r="P5859" s="42"/>
      <c r="AB5859" s="38"/>
    </row>
    <row r="5860">
      <c r="P5860" s="42"/>
      <c r="AB5860" s="38"/>
    </row>
    <row r="5861">
      <c r="P5861" s="42"/>
      <c r="AB5861" s="38"/>
    </row>
    <row r="5862">
      <c r="P5862" s="42"/>
      <c r="AB5862" s="38"/>
    </row>
    <row r="5863">
      <c r="P5863" s="42"/>
      <c r="AB5863" s="38"/>
    </row>
    <row r="5864">
      <c r="P5864" s="42"/>
      <c r="AB5864" s="38"/>
    </row>
    <row r="5865">
      <c r="P5865" s="42"/>
      <c r="AB5865" s="38"/>
    </row>
    <row r="5866">
      <c r="P5866" s="42"/>
      <c r="AB5866" s="38"/>
    </row>
    <row r="5867">
      <c r="P5867" s="42"/>
      <c r="AB5867" s="38"/>
    </row>
    <row r="5868">
      <c r="P5868" s="42"/>
      <c r="AB5868" s="38"/>
    </row>
    <row r="5869">
      <c r="P5869" s="42"/>
      <c r="AB5869" s="38"/>
    </row>
    <row r="5870">
      <c r="P5870" s="42"/>
      <c r="AB5870" s="38"/>
    </row>
    <row r="5871">
      <c r="P5871" s="42"/>
      <c r="AB5871" s="38"/>
    </row>
    <row r="5872">
      <c r="P5872" s="42"/>
      <c r="AB5872" s="38"/>
    </row>
    <row r="5873">
      <c r="P5873" s="42"/>
      <c r="AB5873" s="38"/>
    </row>
    <row r="5874">
      <c r="P5874" s="42"/>
      <c r="AB5874" s="38"/>
    </row>
    <row r="5875">
      <c r="P5875" s="42"/>
      <c r="AB5875" s="38"/>
    </row>
    <row r="5876">
      <c r="P5876" s="42"/>
      <c r="AB5876" s="38"/>
    </row>
    <row r="5877">
      <c r="P5877" s="42"/>
      <c r="AB5877" s="38"/>
    </row>
    <row r="5878">
      <c r="P5878" s="42"/>
      <c r="AB5878" s="38"/>
    </row>
    <row r="5879">
      <c r="P5879" s="42"/>
      <c r="AB5879" s="38"/>
    </row>
    <row r="5880">
      <c r="P5880" s="42"/>
      <c r="AB5880" s="38"/>
    </row>
    <row r="5881">
      <c r="P5881" s="42"/>
      <c r="AB5881" s="38"/>
    </row>
    <row r="5882">
      <c r="P5882" s="42"/>
      <c r="AB5882" s="38"/>
    </row>
    <row r="5883">
      <c r="P5883" s="42"/>
      <c r="AB5883" s="38"/>
    </row>
    <row r="5884">
      <c r="P5884" s="42"/>
      <c r="AB5884" s="38"/>
    </row>
    <row r="5885">
      <c r="P5885" s="42"/>
      <c r="AB5885" s="38"/>
    </row>
    <row r="5886">
      <c r="P5886" s="42"/>
      <c r="AB5886" s="38"/>
    </row>
    <row r="5887">
      <c r="P5887" s="42"/>
      <c r="AB5887" s="38"/>
    </row>
    <row r="5888">
      <c r="P5888" s="42"/>
      <c r="AB5888" s="38"/>
    </row>
    <row r="5889">
      <c r="P5889" s="42"/>
      <c r="AB5889" s="38"/>
    </row>
    <row r="5890">
      <c r="P5890" s="42"/>
      <c r="AB5890" s="38"/>
    </row>
    <row r="5891">
      <c r="P5891" s="42"/>
      <c r="AB5891" s="38"/>
    </row>
    <row r="5892">
      <c r="P5892" s="42"/>
      <c r="AB5892" s="38"/>
    </row>
    <row r="5893">
      <c r="P5893" s="42"/>
      <c r="AB5893" s="38"/>
    </row>
    <row r="5894">
      <c r="P5894" s="42"/>
      <c r="AB5894" s="38"/>
    </row>
    <row r="5895">
      <c r="P5895" s="42"/>
      <c r="AB5895" s="38"/>
    </row>
    <row r="5896">
      <c r="P5896" s="42"/>
      <c r="AB5896" s="38"/>
    </row>
    <row r="5897">
      <c r="P5897" s="42"/>
      <c r="AB5897" s="38"/>
    </row>
    <row r="5898">
      <c r="P5898" s="42"/>
      <c r="AB5898" s="38"/>
    </row>
    <row r="5899">
      <c r="P5899" s="42"/>
      <c r="AB5899" s="38"/>
    </row>
    <row r="5900">
      <c r="P5900" s="42"/>
      <c r="AB5900" s="38"/>
    </row>
    <row r="5901">
      <c r="P5901" s="42"/>
      <c r="AB5901" s="38"/>
    </row>
    <row r="5902">
      <c r="P5902" s="42"/>
      <c r="AB5902" s="38"/>
    </row>
    <row r="5903">
      <c r="P5903" s="42"/>
      <c r="AB5903" s="38"/>
    </row>
    <row r="5904">
      <c r="P5904" s="42"/>
      <c r="AB5904" s="38"/>
    </row>
    <row r="5905">
      <c r="P5905" s="42"/>
      <c r="AB5905" s="38"/>
    </row>
    <row r="5906">
      <c r="P5906" s="42"/>
      <c r="AB5906" s="38"/>
    </row>
    <row r="5907">
      <c r="P5907" s="42"/>
      <c r="AB5907" s="38"/>
    </row>
    <row r="5908">
      <c r="P5908" s="42"/>
      <c r="AB5908" s="38"/>
    </row>
    <row r="5909">
      <c r="P5909" s="42"/>
      <c r="AB5909" s="38"/>
    </row>
    <row r="5910">
      <c r="P5910" s="42"/>
      <c r="AB5910" s="38"/>
    </row>
    <row r="5911">
      <c r="P5911" s="42"/>
      <c r="AB5911" s="38"/>
    </row>
    <row r="5912">
      <c r="P5912" s="42"/>
      <c r="AB5912" s="38"/>
    </row>
    <row r="5913">
      <c r="P5913" s="42"/>
      <c r="AB5913" s="38"/>
    </row>
    <row r="5914">
      <c r="P5914" s="42"/>
      <c r="AB5914" s="38"/>
    </row>
    <row r="5915">
      <c r="P5915" s="42"/>
      <c r="AB5915" s="38"/>
    </row>
    <row r="5916">
      <c r="P5916" s="42"/>
      <c r="AB5916" s="38"/>
    </row>
    <row r="5917">
      <c r="P5917" s="42"/>
      <c r="AB5917" s="38"/>
    </row>
    <row r="5918">
      <c r="P5918" s="42"/>
      <c r="AB5918" s="38"/>
    </row>
    <row r="5919">
      <c r="P5919" s="42"/>
      <c r="AB5919" s="38"/>
    </row>
    <row r="5920">
      <c r="P5920" s="42"/>
      <c r="AB5920" s="38"/>
    </row>
    <row r="5921">
      <c r="P5921" s="42"/>
      <c r="AB5921" s="38"/>
    </row>
    <row r="5922">
      <c r="P5922" s="42"/>
      <c r="AB5922" s="38"/>
    </row>
    <row r="5923">
      <c r="P5923" s="42"/>
      <c r="AB5923" s="38"/>
    </row>
    <row r="5924">
      <c r="P5924" s="42"/>
      <c r="AB5924" s="38"/>
    </row>
    <row r="5925">
      <c r="P5925" s="42"/>
      <c r="AB5925" s="38"/>
    </row>
    <row r="5926">
      <c r="P5926" s="42"/>
      <c r="AB5926" s="38"/>
    </row>
    <row r="5927">
      <c r="P5927" s="42"/>
      <c r="AB5927" s="38"/>
    </row>
    <row r="5928">
      <c r="P5928" s="42"/>
      <c r="AB5928" s="38"/>
    </row>
    <row r="5929">
      <c r="P5929" s="42"/>
      <c r="AB5929" s="38"/>
    </row>
    <row r="5930">
      <c r="P5930" s="42"/>
      <c r="AB5930" s="38"/>
    </row>
    <row r="5931">
      <c r="P5931" s="42"/>
      <c r="AB5931" s="38"/>
    </row>
    <row r="5932">
      <c r="P5932" s="42"/>
      <c r="AB5932" s="38"/>
    </row>
    <row r="5933">
      <c r="P5933" s="42"/>
      <c r="AB5933" s="38"/>
    </row>
    <row r="5934">
      <c r="P5934" s="42"/>
      <c r="AB5934" s="38"/>
    </row>
    <row r="5935">
      <c r="P5935" s="42"/>
      <c r="AB5935" s="38"/>
    </row>
    <row r="5936">
      <c r="P5936" s="42"/>
      <c r="AB5936" s="38"/>
    </row>
    <row r="5937">
      <c r="P5937" s="42"/>
      <c r="AB5937" s="38"/>
    </row>
    <row r="5938">
      <c r="P5938" s="42"/>
      <c r="AB5938" s="38"/>
    </row>
    <row r="5939">
      <c r="P5939" s="42"/>
      <c r="AB5939" s="38"/>
    </row>
    <row r="5940">
      <c r="P5940" s="42"/>
      <c r="AB5940" s="38"/>
    </row>
    <row r="5941">
      <c r="P5941" s="42"/>
      <c r="AB5941" s="38"/>
    </row>
    <row r="5942">
      <c r="P5942" s="42"/>
      <c r="AB5942" s="38"/>
    </row>
    <row r="5943">
      <c r="P5943" s="42"/>
      <c r="AB5943" s="38"/>
    </row>
    <row r="5944">
      <c r="P5944" s="42"/>
      <c r="AB5944" s="38"/>
    </row>
    <row r="5945">
      <c r="P5945" s="42"/>
      <c r="AB5945" s="38"/>
    </row>
    <row r="5946">
      <c r="P5946" s="42"/>
      <c r="AB5946" s="38"/>
    </row>
    <row r="5947">
      <c r="P5947" s="42"/>
      <c r="AB5947" s="38"/>
    </row>
    <row r="5948">
      <c r="P5948" s="42"/>
      <c r="AB5948" s="38"/>
    </row>
    <row r="5949">
      <c r="P5949" s="42"/>
      <c r="AB5949" s="38"/>
    </row>
    <row r="5950">
      <c r="P5950" s="42"/>
      <c r="AB5950" s="38"/>
    </row>
    <row r="5951">
      <c r="P5951" s="42"/>
      <c r="AB5951" s="38"/>
    </row>
    <row r="5952">
      <c r="P5952" s="42"/>
      <c r="AB5952" s="38"/>
    </row>
    <row r="5953">
      <c r="P5953" s="42"/>
      <c r="AB5953" s="38"/>
    </row>
    <row r="5954">
      <c r="P5954" s="42"/>
      <c r="AB5954" s="38"/>
    </row>
    <row r="5955">
      <c r="P5955" s="42"/>
      <c r="AB5955" s="38"/>
    </row>
    <row r="5956">
      <c r="P5956" s="42"/>
      <c r="AB5956" s="38"/>
    </row>
    <row r="5957">
      <c r="P5957" s="42"/>
      <c r="AB5957" s="38"/>
    </row>
    <row r="5958">
      <c r="P5958" s="42"/>
      <c r="AB5958" s="38"/>
    </row>
    <row r="5959">
      <c r="P5959" s="42"/>
      <c r="AB5959" s="38"/>
    </row>
    <row r="5960">
      <c r="P5960" s="42"/>
      <c r="AB5960" s="38"/>
    </row>
    <row r="5961">
      <c r="P5961" s="42"/>
      <c r="AB5961" s="38"/>
    </row>
    <row r="5962">
      <c r="P5962" s="42"/>
      <c r="AB5962" s="38"/>
    </row>
    <row r="5963">
      <c r="P5963" s="42"/>
      <c r="AB5963" s="38"/>
    </row>
    <row r="5964">
      <c r="P5964" s="42"/>
      <c r="AB5964" s="38"/>
    </row>
    <row r="5965">
      <c r="P5965" s="42"/>
      <c r="AB5965" s="38"/>
    </row>
    <row r="5966">
      <c r="P5966" s="42"/>
      <c r="AB5966" s="38"/>
    </row>
    <row r="5967">
      <c r="P5967" s="42"/>
      <c r="AB5967" s="38"/>
    </row>
    <row r="5968">
      <c r="P5968" s="42"/>
      <c r="AB5968" s="38"/>
    </row>
    <row r="5969">
      <c r="P5969" s="42"/>
      <c r="AB5969" s="38"/>
    </row>
    <row r="5970">
      <c r="P5970" s="42"/>
      <c r="AB5970" s="38"/>
    </row>
    <row r="5971">
      <c r="P5971" s="42"/>
      <c r="AB5971" s="38"/>
    </row>
    <row r="5972">
      <c r="P5972" s="42"/>
      <c r="AB5972" s="38"/>
    </row>
    <row r="5973">
      <c r="P5973" s="42"/>
      <c r="AB5973" s="38"/>
    </row>
    <row r="5974">
      <c r="P5974" s="42"/>
      <c r="AB5974" s="38"/>
    </row>
    <row r="5975">
      <c r="P5975" s="42"/>
      <c r="AB5975" s="38"/>
    </row>
    <row r="5976">
      <c r="P5976" s="42"/>
      <c r="AB5976" s="38"/>
    </row>
    <row r="5977">
      <c r="P5977" s="42"/>
      <c r="AB5977" s="38"/>
    </row>
    <row r="5978">
      <c r="P5978" s="42"/>
      <c r="AB5978" s="38"/>
    </row>
    <row r="5979">
      <c r="P5979" s="42"/>
      <c r="AB5979" s="38"/>
    </row>
    <row r="5980">
      <c r="P5980" s="42"/>
      <c r="AB5980" s="38"/>
    </row>
    <row r="5981">
      <c r="P5981" s="42"/>
      <c r="AB5981" s="38"/>
    </row>
    <row r="5982">
      <c r="P5982" s="42"/>
      <c r="AB5982" s="38"/>
    </row>
    <row r="5983">
      <c r="P5983" s="42"/>
      <c r="AB5983" s="38"/>
    </row>
    <row r="5984">
      <c r="P5984" s="42"/>
      <c r="AB5984" s="38"/>
    </row>
    <row r="5985">
      <c r="P5985" s="42"/>
      <c r="AB5985" s="38"/>
    </row>
    <row r="5986">
      <c r="P5986" s="42"/>
      <c r="AB5986" s="38"/>
    </row>
    <row r="5987">
      <c r="P5987" s="42"/>
      <c r="AB5987" s="38"/>
    </row>
    <row r="5988">
      <c r="P5988" s="42"/>
      <c r="AB5988" s="38"/>
    </row>
    <row r="5989">
      <c r="P5989" s="42"/>
      <c r="AB5989" s="38"/>
    </row>
    <row r="5990">
      <c r="P5990" s="42"/>
      <c r="AB5990" s="38"/>
    </row>
    <row r="5991">
      <c r="P5991" s="42"/>
      <c r="AB5991" s="38"/>
    </row>
    <row r="5992">
      <c r="P5992" s="42"/>
      <c r="AB5992" s="38"/>
    </row>
    <row r="5993">
      <c r="P5993" s="42"/>
      <c r="AB5993" s="38"/>
    </row>
    <row r="5994">
      <c r="P5994" s="42"/>
      <c r="AB5994" s="38"/>
    </row>
    <row r="5995">
      <c r="P5995" s="42"/>
      <c r="AB5995" s="38"/>
    </row>
    <row r="5996">
      <c r="P5996" s="42"/>
      <c r="AB5996" s="38"/>
    </row>
    <row r="5997">
      <c r="P5997" s="42"/>
      <c r="AB5997" s="38"/>
    </row>
    <row r="5998">
      <c r="P5998" s="42"/>
      <c r="AB5998" s="38"/>
    </row>
    <row r="5999">
      <c r="P5999" s="42"/>
      <c r="AB5999" s="38"/>
    </row>
    <row r="6000">
      <c r="P6000" s="42"/>
      <c r="AB6000" s="38"/>
    </row>
    <row r="6001">
      <c r="P6001" s="42"/>
      <c r="AB6001" s="38"/>
    </row>
    <row r="6002">
      <c r="P6002" s="42"/>
      <c r="AB6002" s="38"/>
    </row>
    <row r="6003">
      <c r="P6003" s="42"/>
      <c r="AB6003" s="38"/>
    </row>
    <row r="6004">
      <c r="P6004" s="42"/>
      <c r="AB6004" s="38"/>
    </row>
    <row r="6005">
      <c r="P6005" s="42"/>
      <c r="AB6005" s="38"/>
    </row>
    <row r="6006">
      <c r="P6006" s="42"/>
      <c r="AB6006" s="38"/>
    </row>
    <row r="6007">
      <c r="P6007" s="42"/>
      <c r="AB6007" s="38"/>
    </row>
    <row r="6008">
      <c r="P6008" s="42"/>
      <c r="AB6008" s="38"/>
    </row>
    <row r="6009">
      <c r="P6009" s="42"/>
      <c r="AB6009" s="38"/>
    </row>
    <row r="6010">
      <c r="P6010" s="42"/>
      <c r="AB6010" s="38"/>
    </row>
    <row r="6011">
      <c r="P6011" s="42"/>
      <c r="AB6011" s="38"/>
    </row>
    <row r="6012">
      <c r="P6012" s="42"/>
      <c r="AB6012" s="38"/>
    </row>
    <row r="6013">
      <c r="P6013" s="42"/>
      <c r="AB6013" s="38"/>
    </row>
    <row r="6014">
      <c r="P6014" s="42"/>
      <c r="AB6014" s="38"/>
    </row>
    <row r="6015">
      <c r="P6015" s="42"/>
      <c r="AB6015" s="38"/>
    </row>
    <row r="6016">
      <c r="P6016" s="42"/>
      <c r="AB6016" s="38"/>
    </row>
    <row r="6017">
      <c r="P6017" s="42"/>
      <c r="AB6017" s="38"/>
    </row>
    <row r="6018">
      <c r="P6018" s="42"/>
      <c r="AB6018" s="38"/>
    </row>
    <row r="6019">
      <c r="P6019" s="42"/>
      <c r="AB6019" s="38"/>
    </row>
    <row r="6020">
      <c r="P6020" s="42"/>
      <c r="AB6020" s="38"/>
    </row>
    <row r="6021">
      <c r="P6021" s="42"/>
      <c r="AB6021" s="38"/>
    </row>
    <row r="6022">
      <c r="P6022" s="42"/>
      <c r="AB6022" s="38"/>
    </row>
    <row r="6023">
      <c r="P6023" s="42"/>
      <c r="AB6023" s="38"/>
    </row>
    <row r="6024">
      <c r="P6024" s="42"/>
      <c r="AB6024" s="38"/>
    </row>
    <row r="6025">
      <c r="P6025" s="42"/>
      <c r="AB6025" s="38"/>
    </row>
    <row r="6026">
      <c r="P6026" s="42"/>
      <c r="AB6026" s="38"/>
    </row>
    <row r="6027">
      <c r="P6027" s="42"/>
      <c r="AB6027" s="38"/>
    </row>
    <row r="6028">
      <c r="P6028" s="42"/>
      <c r="AB6028" s="38"/>
    </row>
    <row r="6029">
      <c r="P6029" s="42"/>
      <c r="AB6029" s="38"/>
    </row>
    <row r="6030">
      <c r="P6030" s="42"/>
      <c r="AB6030" s="38"/>
    </row>
    <row r="6031">
      <c r="P6031" s="42"/>
      <c r="AB6031" s="38"/>
    </row>
    <row r="6032">
      <c r="P6032" s="42"/>
      <c r="AB6032" s="38"/>
    </row>
    <row r="6033">
      <c r="P6033" s="42"/>
      <c r="AB6033" s="38"/>
    </row>
    <row r="6034">
      <c r="P6034" s="42"/>
      <c r="AB6034" s="38"/>
    </row>
    <row r="6035">
      <c r="P6035" s="42"/>
      <c r="AB6035" s="38"/>
    </row>
    <row r="6036">
      <c r="P6036" s="42"/>
      <c r="AB6036" s="38"/>
    </row>
    <row r="6037">
      <c r="P6037" s="42"/>
      <c r="AB6037" s="38"/>
    </row>
    <row r="6038">
      <c r="P6038" s="42"/>
      <c r="AB6038" s="38"/>
    </row>
    <row r="6039">
      <c r="P6039" s="42"/>
      <c r="AB6039" s="38"/>
    </row>
    <row r="6040">
      <c r="P6040" s="42"/>
      <c r="AB6040" s="38"/>
    </row>
    <row r="6041">
      <c r="P6041" s="42"/>
      <c r="AB6041" s="38"/>
    </row>
    <row r="6042">
      <c r="P6042" s="42"/>
      <c r="AB6042" s="38"/>
    </row>
    <row r="6043">
      <c r="P6043" s="42"/>
      <c r="AB6043" s="38"/>
    </row>
    <row r="6044">
      <c r="P6044" s="42"/>
      <c r="AB6044" s="38"/>
    </row>
    <row r="6045">
      <c r="P6045" s="42"/>
      <c r="AB6045" s="38"/>
    </row>
    <row r="6046">
      <c r="P6046" s="42"/>
      <c r="AB6046" s="38"/>
    </row>
    <row r="6047">
      <c r="P6047" s="42"/>
      <c r="AB6047" s="38"/>
    </row>
    <row r="6048">
      <c r="P6048" s="42"/>
      <c r="AB6048" s="38"/>
    </row>
    <row r="6049">
      <c r="P6049" s="42"/>
      <c r="AB6049" s="38"/>
    </row>
    <row r="6050">
      <c r="P6050" s="42"/>
      <c r="AB6050" s="38"/>
    </row>
    <row r="6051">
      <c r="P6051" s="42"/>
      <c r="AB6051" s="38"/>
    </row>
    <row r="6052">
      <c r="P6052" s="42"/>
      <c r="AB6052" s="38"/>
    </row>
    <row r="6053">
      <c r="P6053" s="42"/>
      <c r="AB6053" s="38"/>
    </row>
    <row r="6054">
      <c r="P6054" s="42"/>
      <c r="AB6054" s="38"/>
    </row>
    <row r="6055">
      <c r="P6055" s="42"/>
      <c r="AB6055" s="38"/>
    </row>
    <row r="6056">
      <c r="P6056" s="42"/>
      <c r="AB6056" s="38"/>
    </row>
    <row r="6057">
      <c r="P6057" s="42"/>
      <c r="AB6057" s="38"/>
    </row>
    <row r="6058">
      <c r="P6058" s="42"/>
      <c r="AB6058" s="38"/>
    </row>
    <row r="6059">
      <c r="P6059" s="42"/>
      <c r="AB6059" s="38"/>
    </row>
    <row r="6060">
      <c r="P6060" s="42"/>
      <c r="AB6060" s="38"/>
    </row>
    <row r="6061">
      <c r="P6061" s="42"/>
      <c r="AB6061" s="38"/>
    </row>
    <row r="6062">
      <c r="P6062" s="42"/>
      <c r="AB6062" s="38"/>
    </row>
    <row r="6063">
      <c r="P6063" s="42"/>
      <c r="AB6063" s="38"/>
    </row>
    <row r="6064">
      <c r="P6064" s="42"/>
      <c r="AB6064" s="38"/>
    </row>
    <row r="6065">
      <c r="P6065" s="42"/>
      <c r="AB6065" s="38"/>
    </row>
    <row r="6066">
      <c r="P6066" s="42"/>
      <c r="AB6066" s="38"/>
    </row>
    <row r="6067">
      <c r="P6067" s="42"/>
      <c r="AB6067" s="38"/>
    </row>
    <row r="6068">
      <c r="P6068" s="42"/>
      <c r="AB6068" s="38"/>
    </row>
    <row r="6069">
      <c r="P6069" s="42"/>
      <c r="AB6069" s="38"/>
    </row>
    <row r="6070">
      <c r="P6070" s="42"/>
      <c r="AB6070" s="38"/>
    </row>
    <row r="6071">
      <c r="P6071" s="42"/>
      <c r="AB6071" s="38"/>
    </row>
    <row r="6072">
      <c r="P6072" s="42"/>
      <c r="AB6072" s="38"/>
    </row>
    <row r="6073">
      <c r="P6073" s="42"/>
      <c r="AB6073" s="38"/>
    </row>
    <row r="6074">
      <c r="P6074" s="42"/>
      <c r="AB6074" s="38"/>
    </row>
    <row r="6075">
      <c r="P6075" s="42"/>
      <c r="AB6075" s="38"/>
    </row>
    <row r="6076">
      <c r="P6076" s="42"/>
      <c r="AB6076" s="38"/>
    </row>
    <row r="6077">
      <c r="P6077" s="42"/>
      <c r="AB6077" s="38"/>
    </row>
    <row r="6078">
      <c r="P6078" s="42"/>
      <c r="AB6078" s="38"/>
    </row>
    <row r="6079">
      <c r="P6079" s="42"/>
      <c r="AB6079" s="38"/>
    </row>
    <row r="6080">
      <c r="P6080" s="42"/>
      <c r="AB6080" s="38"/>
    </row>
    <row r="6081">
      <c r="P6081" s="42"/>
      <c r="AB6081" s="38"/>
    </row>
    <row r="6082">
      <c r="P6082" s="42"/>
      <c r="AB6082" s="38"/>
    </row>
    <row r="6083">
      <c r="P6083" s="42"/>
      <c r="AB6083" s="38"/>
    </row>
    <row r="6084">
      <c r="P6084" s="42"/>
      <c r="AB6084" s="38"/>
    </row>
    <row r="6085">
      <c r="P6085" s="42"/>
      <c r="AB6085" s="38"/>
    </row>
    <row r="6086">
      <c r="P6086" s="42"/>
      <c r="AB6086" s="38"/>
    </row>
    <row r="6087">
      <c r="P6087" s="42"/>
      <c r="AB6087" s="38"/>
    </row>
    <row r="6088">
      <c r="P6088" s="42"/>
      <c r="AB6088" s="38"/>
    </row>
    <row r="6089">
      <c r="P6089" s="42"/>
      <c r="AB6089" s="38"/>
    </row>
    <row r="6090">
      <c r="P6090" s="42"/>
      <c r="AB6090" s="38"/>
    </row>
    <row r="6091">
      <c r="P6091" s="42"/>
      <c r="AB6091" s="38"/>
    </row>
    <row r="6092">
      <c r="P6092" s="42"/>
      <c r="AB6092" s="38"/>
    </row>
    <row r="6093">
      <c r="P6093" s="42"/>
      <c r="AB6093" s="38"/>
    </row>
    <row r="6094">
      <c r="P6094" s="42"/>
      <c r="AB6094" s="38"/>
    </row>
    <row r="6095">
      <c r="P6095" s="42"/>
      <c r="AB6095" s="38"/>
    </row>
    <row r="6096">
      <c r="P6096" s="42"/>
      <c r="AB6096" s="38"/>
    </row>
    <row r="6097">
      <c r="P6097" s="42"/>
      <c r="AB6097" s="38"/>
    </row>
    <row r="6098">
      <c r="P6098" s="42"/>
      <c r="AB6098" s="38"/>
    </row>
    <row r="6099">
      <c r="P6099" s="42"/>
      <c r="AB6099" s="38"/>
    </row>
    <row r="6100">
      <c r="P6100" s="42"/>
      <c r="AB6100" s="38"/>
    </row>
    <row r="6101">
      <c r="P6101" s="42"/>
      <c r="AB6101" s="38"/>
    </row>
    <row r="6102">
      <c r="P6102" s="42"/>
      <c r="AB6102" s="38"/>
    </row>
    <row r="6103">
      <c r="P6103" s="42"/>
      <c r="AB6103" s="38"/>
    </row>
    <row r="6104">
      <c r="P6104" s="42"/>
      <c r="AB6104" s="38"/>
    </row>
    <row r="6105">
      <c r="P6105" s="42"/>
      <c r="AB6105" s="38"/>
    </row>
    <row r="6106">
      <c r="P6106" s="42"/>
      <c r="AB6106" s="38"/>
    </row>
    <row r="6107">
      <c r="P6107" s="42"/>
      <c r="AB6107" s="38"/>
    </row>
    <row r="6108">
      <c r="P6108" s="42"/>
      <c r="AB6108" s="38"/>
    </row>
    <row r="6109">
      <c r="P6109" s="42"/>
      <c r="AB6109" s="38"/>
    </row>
    <row r="6110">
      <c r="P6110" s="42"/>
      <c r="AB6110" s="38"/>
    </row>
    <row r="6111">
      <c r="P6111" s="42"/>
      <c r="AB6111" s="38"/>
    </row>
    <row r="6112">
      <c r="P6112" s="42"/>
      <c r="AB6112" s="38"/>
    </row>
    <row r="6113">
      <c r="P6113" s="42"/>
      <c r="AB6113" s="38"/>
    </row>
    <row r="6114">
      <c r="P6114" s="42"/>
      <c r="AB6114" s="38"/>
    </row>
    <row r="6115">
      <c r="P6115" s="42"/>
      <c r="AB6115" s="38"/>
    </row>
    <row r="6116">
      <c r="P6116" s="42"/>
      <c r="AB6116" s="38"/>
    </row>
    <row r="6117">
      <c r="P6117" s="42"/>
      <c r="AB6117" s="38"/>
    </row>
    <row r="6118">
      <c r="P6118" s="42"/>
      <c r="AB6118" s="38"/>
    </row>
    <row r="6119">
      <c r="P6119" s="42"/>
      <c r="AB6119" s="38"/>
    </row>
    <row r="6120">
      <c r="P6120" s="42"/>
      <c r="AB6120" s="38"/>
    </row>
    <row r="6121">
      <c r="P6121" s="42"/>
      <c r="AB6121" s="38"/>
    </row>
    <row r="6122">
      <c r="P6122" s="42"/>
      <c r="AB6122" s="38"/>
    </row>
    <row r="6123">
      <c r="P6123" s="42"/>
      <c r="AB6123" s="38"/>
    </row>
    <row r="6124">
      <c r="P6124" s="42"/>
      <c r="AB6124" s="38"/>
    </row>
    <row r="6125">
      <c r="P6125" s="42"/>
      <c r="AB6125" s="38"/>
    </row>
    <row r="6126">
      <c r="P6126" s="42"/>
      <c r="AB6126" s="38"/>
    </row>
    <row r="6127">
      <c r="P6127" s="42"/>
      <c r="AB6127" s="38"/>
    </row>
    <row r="6128">
      <c r="P6128" s="42"/>
      <c r="AB6128" s="38"/>
    </row>
    <row r="6129">
      <c r="P6129" s="42"/>
      <c r="AB6129" s="38"/>
    </row>
    <row r="6130">
      <c r="P6130" s="42"/>
      <c r="AB6130" s="38"/>
    </row>
    <row r="6131">
      <c r="P6131" s="42"/>
      <c r="AB6131" s="38"/>
    </row>
    <row r="6132">
      <c r="P6132" s="42"/>
      <c r="AB6132" s="38"/>
    </row>
    <row r="6133">
      <c r="P6133" s="42"/>
      <c r="AB6133" s="38"/>
    </row>
    <row r="6134">
      <c r="P6134" s="42"/>
      <c r="AB6134" s="38"/>
    </row>
    <row r="6135">
      <c r="P6135" s="42"/>
      <c r="AB6135" s="38"/>
    </row>
    <row r="6136">
      <c r="P6136" s="42"/>
      <c r="AB6136" s="38"/>
    </row>
    <row r="6137">
      <c r="P6137" s="42"/>
      <c r="AB6137" s="38"/>
    </row>
    <row r="6138">
      <c r="P6138" s="42"/>
      <c r="AB6138" s="38"/>
    </row>
    <row r="6139">
      <c r="P6139" s="42"/>
      <c r="AB6139" s="38"/>
    </row>
    <row r="6140">
      <c r="P6140" s="42"/>
      <c r="AB6140" s="38"/>
    </row>
    <row r="6141">
      <c r="P6141" s="42"/>
      <c r="AB6141" s="38"/>
    </row>
    <row r="6142">
      <c r="P6142" s="42"/>
      <c r="AB6142" s="38"/>
    </row>
    <row r="6143">
      <c r="P6143" s="42"/>
      <c r="AB6143" s="38"/>
    </row>
    <row r="6144">
      <c r="P6144" s="42"/>
      <c r="AB6144" s="38"/>
    </row>
    <row r="6145">
      <c r="P6145" s="42"/>
      <c r="AB6145" s="38"/>
    </row>
    <row r="6146">
      <c r="P6146" s="42"/>
      <c r="AB6146" s="38"/>
    </row>
    <row r="6147">
      <c r="P6147" s="42"/>
      <c r="AB6147" s="38"/>
    </row>
    <row r="6148">
      <c r="P6148" s="42"/>
      <c r="AB6148" s="38"/>
    </row>
    <row r="6149">
      <c r="P6149" s="42"/>
      <c r="AB6149" s="38"/>
    </row>
    <row r="6150">
      <c r="P6150" s="42"/>
      <c r="AB6150" s="38"/>
    </row>
    <row r="6151">
      <c r="P6151" s="42"/>
      <c r="AB6151" s="38"/>
    </row>
    <row r="6152">
      <c r="P6152" s="42"/>
      <c r="AB6152" s="38"/>
    </row>
    <row r="6153">
      <c r="P6153" s="42"/>
      <c r="AB6153" s="38"/>
    </row>
    <row r="6154">
      <c r="P6154" s="42"/>
      <c r="AB6154" s="38"/>
    </row>
    <row r="6155">
      <c r="P6155" s="42"/>
      <c r="AB6155" s="38"/>
    </row>
    <row r="6156">
      <c r="P6156" s="42"/>
      <c r="AB6156" s="38"/>
    </row>
    <row r="6157">
      <c r="P6157" s="42"/>
      <c r="AB6157" s="38"/>
    </row>
    <row r="6158">
      <c r="P6158" s="42"/>
      <c r="AB6158" s="38"/>
    </row>
    <row r="6159">
      <c r="P6159" s="42"/>
      <c r="AB6159" s="38"/>
    </row>
    <row r="6160">
      <c r="P6160" s="42"/>
      <c r="AB6160" s="38"/>
    </row>
    <row r="6161">
      <c r="P6161" s="42"/>
      <c r="AB6161" s="38"/>
    </row>
    <row r="6162">
      <c r="P6162" s="42"/>
      <c r="AB6162" s="38"/>
    </row>
    <row r="6163">
      <c r="P6163" s="42"/>
      <c r="AB6163" s="38"/>
    </row>
    <row r="6164">
      <c r="P6164" s="42"/>
      <c r="AB6164" s="38"/>
    </row>
    <row r="6165">
      <c r="P6165" s="42"/>
      <c r="AB6165" s="38"/>
    </row>
    <row r="6166">
      <c r="P6166" s="42"/>
      <c r="AB6166" s="38"/>
    </row>
    <row r="6167">
      <c r="P6167" s="42"/>
      <c r="AB6167" s="38"/>
    </row>
    <row r="6168">
      <c r="P6168" s="42"/>
      <c r="AB6168" s="38"/>
    </row>
    <row r="6169">
      <c r="P6169" s="42"/>
      <c r="AB6169" s="38"/>
    </row>
    <row r="6170">
      <c r="P6170" s="42"/>
      <c r="AB6170" s="38"/>
    </row>
    <row r="6171">
      <c r="P6171" s="42"/>
      <c r="AB6171" s="38"/>
    </row>
    <row r="6172">
      <c r="P6172" s="42"/>
      <c r="AB6172" s="38"/>
    </row>
    <row r="6173">
      <c r="P6173" s="42"/>
      <c r="AB6173" s="38"/>
    </row>
    <row r="6174">
      <c r="P6174" s="42"/>
      <c r="AB6174" s="38"/>
    </row>
    <row r="6175">
      <c r="P6175" s="42"/>
      <c r="AB6175" s="38"/>
    </row>
    <row r="6176">
      <c r="P6176" s="42"/>
      <c r="AB6176" s="38"/>
    </row>
    <row r="6177">
      <c r="P6177" s="42"/>
      <c r="AB6177" s="38"/>
    </row>
    <row r="6178">
      <c r="P6178" s="42"/>
      <c r="AB6178" s="38"/>
    </row>
    <row r="6179">
      <c r="P6179" s="42"/>
      <c r="AB6179" s="38"/>
    </row>
    <row r="6180">
      <c r="P6180" s="42"/>
      <c r="AB6180" s="38"/>
    </row>
    <row r="6181">
      <c r="P6181" s="42"/>
      <c r="AB6181" s="38"/>
    </row>
    <row r="6182">
      <c r="P6182" s="42"/>
      <c r="AB6182" s="38"/>
    </row>
    <row r="6183">
      <c r="P6183" s="42"/>
      <c r="AB6183" s="38"/>
    </row>
    <row r="6184">
      <c r="P6184" s="42"/>
      <c r="AB6184" s="38"/>
    </row>
    <row r="6185">
      <c r="P6185" s="42"/>
      <c r="AB6185" s="38"/>
    </row>
    <row r="6186">
      <c r="P6186" s="42"/>
      <c r="AB6186" s="38"/>
    </row>
    <row r="6187">
      <c r="P6187" s="42"/>
      <c r="AB6187" s="38"/>
    </row>
    <row r="6188">
      <c r="P6188" s="42"/>
      <c r="AB6188" s="38"/>
    </row>
    <row r="6189">
      <c r="P6189" s="42"/>
      <c r="AB6189" s="38"/>
    </row>
    <row r="6190">
      <c r="P6190" s="42"/>
      <c r="AB6190" s="38"/>
    </row>
    <row r="6191">
      <c r="P6191" s="42"/>
      <c r="AB6191" s="38"/>
    </row>
    <row r="6192">
      <c r="P6192" s="42"/>
      <c r="AB6192" s="38"/>
    </row>
    <row r="6193">
      <c r="P6193" s="42"/>
      <c r="AB6193" s="38"/>
    </row>
    <row r="6194">
      <c r="P6194" s="42"/>
      <c r="AB6194" s="38"/>
    </row>
    <row r="6195">
      <c r="P6195" s="42"/>
      <c r="AB6195" s="38"/>
    </row>
    <row r="6196">
      <c r="P6196" s="42"/>
      <c r="AB6196" s="38"/>
    </row>
    <row r="6197">
      <c r="P6197" s="42"/>
      <c r="AB6197" s="38"/>
    </row>
    <row r="6198">
      <c r="P6198" s="42"/>
      <c r="AB6198" s="38"/>
    </row>
    <row r="6199">
      <c r="P6199" s="42"/>
      <c r="AB6199" s="38"/>
    </row>
    <row r="6200">
      <c r="P6200" s="42"/>
      <c r="AB6200" s="38"/>
    </row>
    <row r="6201">
      <c r="P6201" s="42"/>
      <c r="AB6201" s="38"/>
    </row>
    <row r="6202">
      <c r="P6202" s="42"/>
      <c r="AB6202" s="38"/>
    </row>
    <row r="6203">
      <c r="P6203" s="42"/>
      <c r="AB6203" s="38"/>
    </row>
    <row r="6204">
      <c r="P6204" s="42"/>
      <c r="AB6204" s="38"/>
    </row>
    <row r="6205">
      <c r="P6205" s="42"/>
      <c r="AB6205" s="38"/>
    </row>
    <row r="6206">
      <c r="P6206" s="42"/>
      <c r="AB6206" s="38"/>
    </row>
    <row r="6207">
      <c r="P6207" s="42"/>
      <c r="AB6207" s="38"/>
    </row>
    <row r="6208">
      <c r="P6208" s="42"/>
      <c r="AB6208" s="38"/>
    </row>
    <row r="6209">
      <c r="P6209" s="42"/>
      <c r="AB6209" s="38"/>
    </row>
    <row r="6210">
      <c r="P6210" s="42"/>
      <c r="AB6210" s="38"/>
    </row>
    <row r="6211">
      <c r="P6211" s="42"/>
      <c r="AB6211" s="38"/>
    </row>
    <row r="6212">
      <c r="P6212" s="42"/>
      <c r="AB6212" s="38"/>
    </row>
    <row r="6213">
      <c r="P6213" s="42"/>
      <c r="AB6213" s="38"/>
    </row>
    <row r="6214">
      <c r="P6214" s="42"/>
      <c r="AB6214" s="38"/>
    </row>
    <row r="6215">
      <c r="P6215" s="42"/>
      <c r="AB6215" s="38"/>
    </row>
    <row r="6216">
      <c r="P6216" s="42"/>
      <c r="AB6216" s="38"/>
    </row>
    <row r="6217">
      <c r="P6217" s="42"/>
      <c r="AB6217" s="38"/>
    </row>
    <row r="6218">
      <c r="P6218" s="42"/>
      <c r="AB6218" s="38"/>
    </row>
    <row r="6219">
      <c r="P6219" s="42"/>
      <c r="AB6219" s="38"/>
    </row>
    <row r="6220">
      <c r="P6220" s="42"/>
      <c r="AB6220" s="38"/>
    </row>
    <row r="6221">
      <c r="P6221" s="42"/>
      <c r="AB6221" s="38"/>
    </row>
    <row r="6222">
      <c r="P6222" s="42"/>
      <c r="AB6222" s="38"/>
    </row>
    <row r="6223">
      <c r="P6223" s="42"/>
      <c r="AB6223" s="38"/>
    </row>
    <row r="6224">
      <c r="P6224" s="42"/>
      <c r="AB6224" s="38"/>
    </row>
    <row r="6225">
      <c r="P6225" s="42"/>
      <c r="AB6225" s="38"/>
    </row>
    <row r="6226">
      <c r="P6226" s="42"/>
      <c r="AB6226" s="38"/>
    </row>
    <row r="6227">
      <c r="P6227" s="42"/>
      <c r="AB6227" s="38"/>
    </row>
    <row r="6228">
      <c r="P6228" s="42"/>
      <c r="AB6228" s="38"/>
    </row>
    <row r="6229">
      <c r="P6229" s="42"/>
      <c r="AB6229" s="38"/>
    </row>
    <row r="6230">
      <c r="P6230" s="42"/>
      <c r="AB6230" s="38"/>
    </row>
    <row r="6231">
      <c r="P6231" s="42"/>
      <c r="AB6231" s="38"/>
    </row>
    <row r="6232">
      <c r="P6232" s="42"/>
      <c r="AB6232" s="38"/>
    </row>
    <row r="6233">
      <c r="P6233" s="42"/>
      <c r="AB6233" s="38"/>
    </row>
    <row r="6234">
      <c r="P6234" s="42"/>
      <c r="AB6234" s="38"/>
    </row>
    <row r="6235">
      <c r="P6235" s="42"/>
      <c r="AB6235" s="38"/>
    </row>
    <row r="6236">
      <c r="P6236" s="42"/>
      <c r="AB6236" s="38"/>
    </row>
    <row r="6237">
      <c r="P6237" s="42"/>
      <c r="AB6237" s="38"/>
    </row>
    <row r="6238">
      <c r="P6238" s="42"/>
      <c r="AB6238" s="38"/>
    </row>
    <row r="6239">
      <c r="P6239" s="42"/>
      <c r="AB6239" s="38"/>
    </row>
    <row r="6240">
      <c r="P6240" s="42"/>
      <c r="AB6240" s="38"/>
    </row>
    <row r="6241">
      <c r="P6241" s="42"/>
      <c r="AB6241" s="38"/>
    </row>
    <row r="6242">
      <c r="P6242" s="42"/>
      <c r="AB6242" s="38"/>
    </row>
    <row r="6243">
      <c r="P6243" s="42"/>
      <c r="AB6243" s="38"/>
    </row>
    <row r="6244">
      <c r="P6244" s="42"/>
      <c r="AB6244" s="38"/>
    </row>
    <row r="6245">
      <c r="P6245" s="42"/>
      <c r="AB6245" s="38"/>
    </row>
    <row r="6246">
      <c r="P6246" s="42"/>
      <c r="AB6246" s="38"/>
    </row>
    <row r="6247">
      <c r="P6247" s="42"/>
      <c r="AB6247" s="38"/>
    </row>
    <row r="6248">
      <c r="P6248" s="42"/>
      <c r="AB6248" s="38"/>
    </row>
    <row r="6249">
      <c r="P6249" s="42"/>
      <c r="AB6249" s="38"/>
    </row>
    <row r="6250">
      <c r="P6250" s="42"/>
      <c r="AB6250" s="38"/>
    </row>
    <row r="6251">
      <c r="P6251" s="42"/>
      <c r="AB6251" s="38"/>
    </row>
    <row r="6252">
      <c r="P6252" s="42"/>
      <c r="AB6252" s="38"/>
    </row>
    <row r="6253">
      <c r="P6253" s="42"/>
      <c r="AB6253" s="38"/>
    </row>
    <row r="6254">
      <c r="P6254" s="42"/>
      <c r="AB6254" s="38"/>
    </row>
    <row r="6255">
      <c r="P6255" s="42"/>
      <c r="AB6255" s="38"/>
    </row>
    <row r="6256">
      <c r="P6256" s="42"/>
      <c r="AB6256" s="38"/>
    </row>
    <row r="6257">
      <c r="P6257" s="42"/>
      <c r="AB6257" s="38"/>
    </row>
    <row r="6258">
      <c r="P6258" s="42"/>
      <c r="AB6258" s="38"/>
    </row>
    <row r="6259">
      <c r="P6259" s="42"/>
      <c r="AB6259" s="38"/>
    </row>
    <row r="6260">
      <c r="P6260" s="42"/>
      <c r="AB6260" s="38"/>
    </row>
    <row r="6261">
      <c r="P6261" s="42"/>
      <c r="AB6261" s="38"/>
    </row>
    <row r="6262">
      <c r="P6262" s="42"/>
      <c r="AB6262" s="38"/>
    </row>
    <row r="6263">
      <c r="P6263" s="42"/>
      <c r="AB6263" s="38"/>
    </row>
    <row r="6264">
      <c r="P6264" s="42"/>
      <c r="AB6264" s="38"/>
    </row>
    <row r="6265">
      <c r="P6265" s="42"/>
      <c r="AB6265" s="38"/>
    </row>
    <row r="6266">
      <c r="P6266" s="42"/>
      <c r="AB6266" s="38"/>
    </row>
    <row r="6267">
      <c r="P6267" s="42"/>
      <c r="AB6267" s="38"/>
    </row>
    <row r="6268">
      <c r="P6268" s="42"/>
      <c r="AB6268" s="38"/>
    </row>
    <row r="6269">
      <c r="P6269" s="42"/>
      <c r="AB6269" s="38"/>
    </row>
    <row r="6270">
      <c r="P6270" s="42"/>
      <c r="AB6270" s="38"/>
    </row>
    <row r="6271">
      <c r="P6271" s="42"/>
      <c r="AB6271" s="38"/>
    </row>
    <row r="6272">
      <c r="P6272" s="42"/>
      <c r="AB6272" s="38"/>
    </row>
    <row r="6273">
      <c r="P6273" s="42"/>
      <c r="AB6273" s="38"/>
    </row>
    <row r="6274">
      <c r="P6274" s="42"/>
      <c r="AB6274" s="38"/>
    </row>
    <row r="6275">
      <c r="P6275" s="42"/>
      <c r="AB6275" s="38"/>
    </row>
    <row r="6276">
      <c r="P6276" s="42"/>
      <c r="AB6276" s="38"/>
    </row>
    <row r="6277">
      <c r="P6277" s="42"/>
      <c r="AB6277" s="38"/>
    </row>
    <row r="6278">
      <c r="P6278" s="42"/>
      <c r="AB6278" s="38"/>
    </row>
    <row r="6279">
      <c r="P6279" s="42"/>
      <c r="AB6279" s="38"/>
    </row>
    <row r="6280">
      <c r="P6280" s="42"/>
      <c r="AB6280" s="38"/>
    </row>
    <row r="6281">
      <c r="P6281" s="42"/>
      <c r="AB6281" s="38"/>
    </row>
    <row r="6282">
      <c r="P6282" s="42"/>
      <c r="AB6282" s="38"/>
    </row>
    <row r="6283">
      <c r="P6283" s="42"/>
      <c r="AB6283" s="38"/>
    </row>
    <row r="6284">
      <c r="P6284" s="42"/>
      <c r="AB6284" s="38"/>
    </row>
    <row r="6285">
      <c r="P6285" s="42"/>
      <c r="AB6285" s="38"/>
    </row>
    <row r="6286">
      <c r="P6286" s="42"/>
      <c r="AB6286" s="38"/>
    </row>
    <row r="6287">
      <c r="P6287" s="42"/>
      <c r="AB6287" s="38"/>
    </row>
    <row r="6288">
      <c r="P6288" s="42"/>
      <c r="AB6288" s="38"/>
    </row>
    <row r="6289">
      <c r="P6289" s="42"/>
      <c r="AB6289" s="38"/>
    </row>
    <row r="6290">
      <c r="P6290" s="42"/>
      <c r="AB6290" s="38"/>
    </row>
    <row r="6291">
      <c r="P6291" s="42"/>
      <c r="AB6291" s="38"/>
    </row>
    <row r="6292">
      <c r="P6292" s="42"/>
      <c r="AB6292" s="38"/>
    </row>
    <row r="6293">
      <c r="P6293" s="42"/>
      <c r="AB6293" s="38"/>
    </row>
    <row r="6294">
      <c r="P6294" s="42"/>
      <c r="AB6294" s="38"/>
    </row>
    <row r="6295">
      <c r="P6295" s="42"/>
      <c r="AB6295" s="38"/>
    </row>
    <row r="6296">
      <c r="P6296" s="42"/>
      <c r="AB6296" s="38"/>
    </row>
    <row r="6297">
      <c r="P6297" s="42"/>
      <c r="AB6297" s="38"/>
    </row>
    <row r="6298">
      <c r="P6298" s="42"/>
      <c r="AB6298" s="38"/>
    </row>
    <row r="6299">
      <c r="P6299" s="42"/>
      <c r="AB6299" s="38"/>
    </row>
    <row r="6300">
      <c r="P6300" s="42"/>
      <c r="AB6300" s="38"/>
    </row>
    <row r="6301">
      <c r="P6301" s="42"/>
      <c r="AB6301" s="38"/>
    </row>
    <row r="6302">
      <c r="P6302" s="42"/>
      <c r="AB6302" s="38"/>
    </row>
    <row r="6303">
      <c r="P6303" s="42"/>
      <c r="AB6303" s="38"/>
    </row>
    <row r="6304">
      <c r="P6304" s="42"/>
      <c r="AB6304" s="38"/>
    </row>
    <row r="6305">
      <c r="P6305" s="42"/>
      <c r="AB6305" s="38"/>
    </row>
    <row r="6306">
      <c r="P6306" s="42"/>
      <c r="AB6306" s="38"/>
    </row>
    <row r="6307">
      <c r="P6307" s="42"/>
      <c r="AB6307" s="38"/>
    </row>
    <row r="6308">
      <c r="P6308" s="42"/>
      <c r="AB6308" s="38"/>
    </row>
    <row r="6309">
      <c r="P6309" s="42"/>
      <c r="AB6309" s="38"/>
    </row>
    <row r="6310">
      <c r="P6310" s="42"/>
      <c r="AB6310" s="38"/>
    </row>
    <row r="6311">
      <c r="P6311" s="42"/>
      <c r="AB6311" s="38"/>
    </row>
    <row r="6312">
      <c r="P6312" s="42"/>
      <c r="AB6312" s="38"/>
    </row>
    <row r="6313">
      <c r="P6313" s="42"/>
      <c r="AB6313" s="38"/>
    </row>
    <row r="6314">
      <c r="P6314" s="42"/>
      <c r="AB6314" s="38"/>
    </row>
    <row r="6315">
      <c r="P6315" s="42"/>
      <c r="AB6315" s="38"/>
    </row>
    <row r="6316">
      <c r="P6316" s="42"/>
      <c r="AB6316" s="38"/>
    </row>
    <row r="6317">
      <c r="P6317" s="42"/>
      <c r="AB6317" s="38"/>
    </row>
    <row r="6318">
      <c r="P6318" s="42"/>
      <c r="AB6318" s="38"/>
    </row>
    <row r="6319">
      <c r="P6319" s="42"/>
      <c r="AB6319" s="38"/>
    </row>
    <row r="6320">
      <c r="P6320" s="42"/>
      <c r="AB6320" s="38"/>
    </row>
    <row r="6321">
      <c r="P6321" s="42"/>
      <c r="AB6321" s="38"/>
    </row>
    <row r="6322">
      <c r="P6322" s="42"/>
      <c r="AB6322" s="38"/>
    </row>
    <row r="6323">
      <c r="P6323" s="42"/>
      <c r="AB6323" s="38"/>
    </row>
    <row r="6324">
      <c r="P6324" s="42"/>
      <c r="AB6324" s="38"/>
    </row>
    <row r="6325">
      <c r="P6325" s="42"/>
      <c r="AB6325" s="38"/>
    </row>
    <row r="6326">
      <c r="P6326" s="42"/>
      <c r="AB6326" s="38"/>
    </row>
    <row r="6327">
      <c r="P6327" s="42"/>
      <c r="AB6327" s="38"/>
    </row>
    <row r="6328">
      <c r="P6328" s="42"/>
      <c r="AB6328" s="38"/>
    </row>
    <row r="6329">
      <c r="P6329" s="42"/>
      <c r="AB6329" s="38"/>
    </row>
    <row r="6330">
      <c r="P6330" s="42"/>
      <c r="AB6330" s="38"/>
    </row>
    <row r="6331">
      <c r="P6331" s="42"/>
      <c r="AB6331" s="38"/>
    </row>
    <row r="6332">
      <c r="P6332" s="42"/>
      <c r="AB6332" s="38"/>
    </row>
    <row r="6333">
      <c r="P6333" s="42"/>
      <c r="AB6333" s="38"/>
    </row>
    <row r="6334">
      <c r="P6334" s="42"/>
      <c r="AB6334" s="38"/>
    </row>
    <row r="6335">
      <c r="P6335" s="42"/>
      <c r="AB6335" s="38"/>
    </row>
    <row r="6336">
      <c r="P6336" s="42"/>
      <c r="AB6336" s="38"/>
    </row>
    <row r="6337">
      <c r="P6337" s="42"/>
      <c r="AB6337" s="38"/>
    </row>
    <row r="6338">
      <c r="P6338" s="42"/>
      <c r="AB6338" s="38"/>
    </row>
    <row r="6339">
      <c r="P6339" s="42"/>
      <c r="AB6339" s="38"/>
    </row>
    <row r="6340">
      <c r="P6340" s="42"/>
      <c r="AB6340" s="38"/>
    </row>
    <row r="6341">
      <c r="P6341" s="42"/>
      <c r="AB6341" s="38"/>
    </row>
    <row r="6342">
      <c r="P6342" s="42"/>
      <c r="AB6342" s="38"/>
    </row>
    <row r="6343">
      <c r="P6343" s="42"/>
      <c r="AB6343" s="38"/>
    </row>
    <row r="6344">
      <c r="P6344" s="42"/>
      <c r="AB6344" s="38"/>
    </row>
    <row r="6345">
      <c r="P6345" s="42"/>
      <c r="AB6345" s="38"/>
    </row>
    <row r="6346">
      <c r="P6346" s="42"/>
      <c r="AB6346" s="38"/>
    </row>
    <row r="6347">
      <c r="P6347" s="42"/>
      <c r="AB6347" s="38"/>
    </row>
    <row r="6348">
      <c r="P6348" s="42"/>
      <c r="AB6348" s="38"/>
    </row>
    <row r="6349">
      <c r="P6349" s="42"/>
      <c r="AB6349" s="38"/>
    </row>
    <row r="6350">
      <c r="P6350" s="42"/>
      <c r="AB6350" s="38"/>
    </row>
    <row r="6351">
      <c r="P6351" s="42"/>
      <c r="AB6351" s="38"/>
    </row>
    <row r="6352">
      <c r="P6352" s="42"/>
      <c r="AB6352" s="38"/>
    </row>
    <row r="6353">
      <c r="P6353" s="42"/>
      <c r="AB6353" s="38"/>
    </row>
    <row r="6354">
      <c r="P6354" s="42"/>
      <c r="AB6354" s="38"/>
    </row>
    <row r="6355">
      <c r="P6355" s="42"/>
      <c r="AB6355" s="38"/>
    </row>
    <row r="6356">
      <c r="P6356" s="42"/>
      <c r="AB6356" s="38"/>
    </row>
    <row r="6357">
      <c r="P6357" s="42"/>
      <c r="AB6357" s="38"/>
    </row>
    <row r="6358">
      <c r="P6358" s="42"/>
      <c r="AB6358" s="38"/>
    </row>
    <row r="6359">
      <c r="P6359" s="42"/>
      <c r="AB6359" s="38"/>
    </row>
    <row r="6360">
      <c r="P6360" s="42"/>
      <c r="AB6360" s="38"/>
    </row>
    <row r="6361">
      <c r="P6361" s="42"/>
      <c r="AB6361" s="38"/>
    </row>
    <row r="6362">
      <c r="P6362" s="42"/>
      <c r="AB6362" s="38"/>
    </row>
    <row r="6363">
      <c r="P6363" s="42"/>
      <c r="AB6363" s="38"/>
    </row>
    <row r="6364">
      <c r="P6364" s="42"/>
      <c r="AB6364" s="38"/>
    </row>
    <row r="6365">
      <c r="P6365" s="42"/>
      <c r="AB6365" s="38"/>
    </row>
    <row r="6366">
      <c r="P6366" s="42"/>
      <c r="AB6366" s="38"/>
    </row>
    <row r="6367">
      <c r="P6367" s="42"/>
      <c r="AB6367" s="38"/>
    </row>
    <row r="6368">
      <c r="P6368" s="42"/>
      <c r="AB6368" s="38"/>
    </row>
    <row r="6369">
      <c r="P6369" s="42"/>
      <c r="AB6369" s="38"/>
    </row>
    <row r="6370">
      <c r="P6370" s="42"/>
      <c r="AB6370" s="38"/>
    </row>
    <row r="6371">
      <c r="P6371" s="42"/>
      <c r="AB6371" s="38"/>
    </row>
    <row r="6372">
      <c r="P6372" s="42"/>
      <c r="AB6372" s="38"/>
    </row>
    <row r="6373">
      <c r="P6373" s="42"/>
      <c r="AB6373" s="38"/>
    </row>
    <row r="6374">
      <c r="P6374" s="42"/>
      <c r="AB6374" s="38"/>
    </row>
    <row r="6375">
      <c r="P6375" s="42"/>
      <c r="AB6375" s="38"/>
    </row>
    <row r="6376">
      <c r="P6376" s="42"/>
      <c r="AB6376" s="38"/>
    </row>
    <row r="6377">
      <c r="P6377" s="42"/>
      <c r="AB6377" s="38"/>
    </row>
    <row r="6378">
      <c r="P6378" s="42"/>
      <c r="AB6378" s="38"/>
    </row>
    <row r="6379">
      <c r="P6379" s="42"/>
      <c r="AB6379" s="38"/>
    </row>
    <row r="6380">
      <c r="P6380" s="42"/>
      <c r="AB6380" s="38"/>
    </row>
    <row r="6381">
      <c r="P6381" s="42"/>
      <c r="AB6381" s="38"/>
    </row>
    <row r="6382">
      <c r="P6382" s="42"/>
      <c r="AB6382" s="38"/>
    </row>
    <row r="6383">
      <c r="P6383" s="42"/>
      <c r="AB6383" s="38"/>
    </row>
    <row r="6384">
      <c r="P6384" s="42"/>
      <c r="AB6384" s="38"/>
    </row>
    <row r="6385">
      <c r="P6385" s="42"/>
      <c r="AB6385" s="38"/>
    </row>
    <row r="6386">
      <c r="P6386" s="42"/>
      <c r="AB6386" s="38"/>
    </row>
    <row r="6387">
      <c r="P6387" s="42"/>
      <c r="AB6387" s="38"/>
    </row>
    <row r="6388">
      <c r="P6388" s="42"/>
      <c r="AB6388" s="38"/>
    </row>
    <row r="6389">
      <c r="P6389" s="42"/>
      <c r="AB6389" s="38"/>
    </row>
    <row r="6390">
      <c r="P6390" s="42"/>
      <c r="AB6390" s="38"/>
    </row>
    <row r="6391">
      <c r="P6391" s="42"/>
      <c r="AB6391" s="38"/>
    </row>
    <row r="6392">
      <c r="P6392" s="42"/>
      <c r="AB6392" s="38"/>
    </row>
    <row r="6393">
      <c r="P6393" s="42"/>
      <c r="AB6393" s="38"/>
    </row>
    <row r="6394">
      <c r="P6394" s="42"/>
      <c r="AB6394" s="38"/>
    </row>
    <row r="6395">
      <c r="P6395" s="42"/>
      <c r="AB6395" s="38"/>
    </row>
    <row r="6396">
      <c r="P6396" s="42"/>
      <c r="AB6396" s="38"/>
    </row>
    <row r="6397">
      <c r="P6397" s="42"/>
      <c r="AB6397" s="38"/>
    </row>
    <row r="6398">
      <c r="P6398" s="42"/>
      <c r="AB6398" s="38"/>
    </row>
    <row r="6399">
      <c r="P6399" s="42"/>
      <c r="AB6399" s="38"/>
    </row>
    <row r="6400">
      <c r="P6400" s="42"/>
      <c r="AB6400" s="38"/>
    </row>
    <row r="6401">
      <c r="P6401" s="42"/>
      <c r="AB6401" s="38"/>
    </row>
    <row r="6402">
      <c r="P6402" s="42"/>
      <c r="AB6402" s="38"/>
    </row>
    <row r="6403">
      <c r="P6403" s="42"/>
      <c r="AB6403" s="38"/>
    </row>
    <row r="6404">
      <c r="P6404" s="42"/>
      <c r="AB6404" s="38"/>
    </row>
    <row r="6405">
      <c r="P6405" s="42"/>
      <c r="AB6405" s="38"/>
    </row>
    <row r="6406">
      <c r="P6406" s="42"/>
      <c r="AB6406" s="38"/>
    </row>
    <row r="6407">
      <c r="P6407" s="42"/>
      <c r="AB6407" s="38"/>
    </row>
    <row r="6408">
      <c r="P6408" s="42"/>
      <c r="AB6408" s="38"/>
    </row>
    <row r="6409">
      <c r="P6409" s="42"/>
      <c r="AB6409" s="38"/>
    </row>
    <row r="6410">
      <c r="P6410" s="42"/>
      <c r="AB6410" s="38"/>
    </row>
    <row r="6411">
      <c r="P6411" s="42"/>
      <c r="AB6411" s="38"/>
    </row>
    <row r="6412">
      <c r="P6412" s="42"/>
      <c r="AB6412" s="38"/>
    </row>
    <row r="6413">
      <c r="P6413" s="42"/>
      <c r="AB6413" s="38"/>
    </row>
    <row r="6414">
      <c r="P6414" s="42"/>
      <c r="AB6414" s="38"/>
    </row>
    <row r="6415">
      <c r="P6415" s="42"/>
      <c r="AB6415" s="38"/>
    </row>
    <row r="6416">
      <c r="P6416" s="42"/>
      <c r="AB6416" s="38"/>
    </row>
    <row r="6417">
      <c r="P6417" s="42"/>
      <c r="AB6417" s="38"/>
    </row>
    <row r="6418">
      <c r="P6418" s="42"/>
      <c r="AB6418" s="38"/>
    </row>
    <row r="6419">
      <c r="P6419" s="42"/>
      <c r="AB6419" s="38"/>
    </row>
    <row r="6420">
      <c r="P6420" s="42"/>
      <c r="AB6420" s="38"/>
    </row>
    <row r="6421">
      <c r="P6421" s="42"/>
      <c r="AB6421" s="38"/>
    </row>
    <row r="6422">
      <c r="P6422" s="42"/>
      <c r="AB6422" s="38"/>
    </row>
    <row r="6423">
      <c r="P6423" s="42"/>
      <c r="AB6423" s="38"/>
    </row>
    <row r="6424">
      <c r="P6424" s="42"/>
      <c r="AB6424" s="38"/>
    </row>
    <row r="6425">
      <c r="P6425" s="42"/>
      <c r="AB6425" s="38"/>
    </row>
    <row r="6426">
      <c r="P6426" s="42"/>
      <c r="AB6426" s="38"/>
    </row>
    <row r="6427">
      <c r="P6427" s="42"/>
      <c r="AB6427" s="38"/>
    </row>
    <row r="6428">
      <c r="P6428" s="42"/>
      <c r="AB6428" s="38"/>
    </row>
    <row r="6429">
      <c r="P6429" s="42"/>
      <c r="AB6429" s="38"/>
    </row>
    <row r="6430">
      <c r="P6430" s="42"/>
      <c r="AB6430" s="38"/>
    </row>
    <row r="6431">
      <c r="P6431" s="42"/>
      <c r="AB6431" s="38"/>
    </row>
    <row r="6432">
      <c r="P6432" s="42"/>
      <c r="AB6432" s="38"/>
    </row>
    <row r="6433">
      <c r="P6433" s="42"/>
      <c r="AB6433" s="38"/>
    </row>
    <row r="6434">
      <c r="P6434" s="42"/>
      <c r="AB6434" s="38"/>
    </row>
    <row r="6435">
      <c r="P6435" s="42"/>
      <c r="AB6435" s="38"/>
    </row>
    <row r="6436">
      <c r="P6436" s="42"/>
      <c r="AB6436" s="38"/>
    </row>
    <row r="6437">
      <c r="P6437" s="42"/>
      <c r="AB6437" s="38"/>
    </row>
    <row r="6438">
      <c r="P6438" s="42"/>
      <c r="AB6438" s="38"/>
    </row>
    <row r="6439">
      <c r="P6439" s="42"/>
      <c r="AB6439" s="38"/>
    </row>
    <row r="6440">
      <c r="P6440" s="42"/>
      <c r="AB6440" s="38"/>
    </row>
    <row r="6441">
      <c r="P6441" s="42"/>
      <c r="AB6441" s="38"/>
    </row>
    <row r="6442">
      <c r="P6442" s="42"/>
      <c r="AB6442" s="38"/>
    </row>
    <row r="6443">
      <c r="P6443" s="42"/>
      <c r="AB6443" s="38"/>
    </row>
    <row r="6444">
      <c r="P6444" s="42"/>
      <c r="AB6444" s="38"/>
    </row>
    <row r="6445">
      <c r="P6445" s="42"/>
      <c r="AB6445" s="38"/>
    </row>
    <row r="6446">
      <c r="P6446" s="42"/>
      <c r="AB6446" s="38"/>
    </row>
    <row r="6447">
      <c r="P6447" s="42"/>
      <c r="AB6447" s="38"/>
    </row>
    <row r="6448">
      <c r="P6448" s="42"/>
      <c r="AB6448" s="38"/>
    </row>
    <row r="6449">
      <c r="P6449" s="42"/>
      <c r="AB6449" s="38"/>
    </row>
    <row r="6450">
      <c r="P6450" s="42"/>
      <c r="AB6450" s="38"/>
    </row>
    <row r="6451">
      <c r="P6451" s="42"/>
      <c r="AB6451" s="38"/>
    </row>
    <row r="6452">
      <c r="P6452" s="42"/>
      <c r="AB6452" s="38"/>
    </row>
    <row r="6453">
      <c r="P6453" s="42"/>
      <c r="AB6453" s="38"/>
    </row>
    <row r="6454">
      <c r="P6454" s="42"/>
      <c r="AB6454" s="38"/>
    </row>
    <row r="6455">
      <c r="P6455" s="42"/>
      <c r="AB6455" s="38"/>
    </row>
    <row r="6456">
      <c r="P6456" s="42"/>
      <c r="AB6456" s="38"/>
    </row>
    <row r="6457">
      <c r="P6457" s="42"/>
      <c r="AB6457" s="38"/>
    </row>
    <row r="6458">
      <c r="P6458" s="42"/>
      <c r="AB6458" s="38"/>
    </row>
    <row r="6459">
      <c r="P6459" s="42"/>
      <c r="AB6459" s="38"/>
    </row>
    <row r="6460">
      <c r="P6460" s="42"/>
      <c r="AB6460" s="38"/>
    </row>
    <row r="6461">
      <c r="P6461" s="42"/>
      <c r="AB6461" s="38"/>
    </row>
    <row r="6462">
      <c r="P6462" s="42"/>
      <c r="AB6462" s="38"/>
    </row>
    <row r="6463">
      <c r="P6463" s="42"/>
      <c r="AB6463" s="38"/>
    </row>
    <row r="6464">
      <c r="P6464" s="42"/>
      <c r="AB6464" s="38"/>
    </row>
    <row r="6465">
      <c r="P6465" s="42"/>
      <c r="AB6465" s="38"/>
    </row>
    <row r="6466">
      <c r="P6466" s="42"/>
      <c r="AB6466" s="38"/>
    </row>
    <row r="6467">
      <c r="P6467" s="42"/>
      <c r="AB6467" s="38"/>
    </row>
    <row r="6468">
      <c r="P6468" s="42"/>
      <c r="AB6468" s="38"/>
    </row>
    <row r="6469">
      <c r="P6469" s="42"/>
      <c r="AB6469" s="38"/>
    </row>
    <row r="6470">
      <c r="P6470" s="42"/>
      <c r="AB6470" s="38"/>
    </row>
    <row r="6471">
      <c r="P6471" s="42"/>
      <c r="AB6471" s="38"/>
    </row>
    <row r="6472">
      <c r="P6472" s="42"/>
      <c r="AB6472" s="38"/>
    </row>
    <row r="6473">
      <c r="P6473" s="42"/>
      <c r="AB6473" s="38"/>
    </row>
    <row r="6474">
      <c r="P6474" s="42"/>
      <c r="AB6474" s="38"/>
    </row>
    <row r="6475">
      <c r="P6475" s="42"/>
      <c r="AB6475" s="38"/>
    </row>
    <row r="6476">
      <c r="P6476" s="42"/>
      <c r="AB6476" s="38"/>
    </row>
    <row r="6477">
      <c r="P6477" s="42"/>
      <c r="AB6477" s="38"/>
    </row>
    <row r="6478">
      <c r="P6478" s="42"/>
      <c r="AB6478" s="38"/>
    </row>
    <row r="6479">
      <c r="P6479" s="42"/>
      <c r="AB6479" s="38"/>
    </row>
    <row r="6480">
      <c r="P6480" s="42"/>
      <c r="AB6480" s="38"/>
    </row>
    <row r="6481">
      <c r="P6481" s="42"/>
      <c r="AB6481" s="38"/>
    </row>
    <row r="6482">
      <c r="P6482" s="42"/>
      <c r="AB6482" s="38"/>
    </row>
    <row r="6483">
      <c r="P6483" s="42"/>
      <c r="AB6483" s="38"/>
    </row>
    <row r="6484">
      <c r="P6484" s="42"/>
      <c r="AB6484" s="38"/>
    </row>
    <row r="6485">
      <c r="P6485" s="42"/>
      <c r="AB6485" s="38"/>
    </row>
    <row r="6486">
      <c r="P6486" s="42"/>
      <c r="AB6486" s="38"/>
    </row>
    <row r="6487">
      <c r="P6487" s="42"/>
      <c r="AB6487" s="38"/>
    </row>
    <row r="6488">
      <c r="P6488" s="42"/>
      <c r="AB6488" s="38"/>
    </row>
    <row r="6489">
      <c r="P6489" s="42"/>
      <c r="AB6489" s="38"/>
    </row>
    <row r="6490">
      <c r="P6490" s="42"/>
      <c r="AB6490" s="38"/>
    </row>
    <row r="6491">
      <c r="P6491" s="42"/>
      <c r="AB6491" s="38"/>
    </row>
    <row r="6492">
      <c r="P6492" s="42"/>
      <c r="AB6492" s="38"/>
    </row>
    <row r="6493">
      <c r="P6493" s="42"/>
      <c r="AB6493" s="38"/>
    </row>
    <row r="6494">
      <c r="P6494" s="42"/>
      <c r="AB6494" s="38"/>
    </row>
    <row r="6495">
      <c r="P6495" s="42"/>
      <c r="AB6495" s="38"/>
    </row>
    <row r="6496">
      <c r="P6496" s="42"/>
      <c r="AB6496" s="38"/>
    </row>
    <row r="6497">
      <c r="P6497" s="42"/>
      <c r="AB6497" s="38"/>
    </row>
    <row r="6498">
      <c r="P6498" s="42"/>
      <c r="AB6498" s="38"/>
    </row>
    <row r="6499">
      <c r="P6499" s="42"/>
      <c r="AB6499" s="38"/>
    </row>
    <row r="6500">
      <c r="P6500" s="42"/>
      <c r="AB6500" s="38"/>
    </row>
    <row r="6501">
      <c r="P6501" s="42"/>
      <c r="AB6501" s="38"/>
    </row>
    <row r="6502">
      <c r="P6502" s="42"/>
      <c r="AB6502" s="38"/>
    </row>
    <row r="6503">
      <c r="P6503" s="42"/>
      <c r="AB6503" s="38"/>
    </row>
    <row r="6504">
      <c r="P6504" s="42"/>
      <c r="AB6504" s="38"/>
    </row>
    <row r="6505">
      <c r="P6505" s="42"/>
      <c r="AB6505" s="38"/>
    </row>
    <row r="6506">
      <c r="P6506" s="42"/>
      <c r="AB6506" s="38"/>
    </row>
    <row r="6507">
      <c r="P6507" s="42"/>
      <c r="AB6507" s="38"/>
    </row>
    <row r="6508">
      <c r="P6508" s="42"/>
      <c r="AB6508" s="38"/>
    </row>
    <row r="6509">
      <c r="P6509" s="42"/>
      <c r="AB6509" s="38"/>
    </row>
    <row r="6510">
      <c r="P6510" s="42"/>
      <c r="AB6510" s="38"/>
    </row>
    <row r="6511">
      <c r="P6511" s="42"/>
      <c r="AB6511" s="38"/>
    </row>
    <row r="6512">
      <c r="P6512" s="42"/>
      <c r="AB6512" s="38"/>
    </row>
    <row r="6513">
      <c r="P6513" s="42"/>
      <c r="AB6513" s="38"/>
    </row>
    <row r="6514">
      <c r="P6514" s="42"/>
      <c r="AB6514" s="38"/>
    </row>
    <row r="6515">
      <c r="P6515" s="42"/>
      <c r="AB6515" s="38"/>
    </row>
    <row r="6516">
      <c r="P6516" s="42"/>
      <c r="AB6516" s="38"/>
    </row>
    <row r="6517">
      <c r="P6517" s="42"/>
      <c r="AB6517" s="38"/>
    </row>
    <row r="6518">
      <c r="P6518" s="42"/>
      <c r="AB6518" s="38"/>
    </row>
    <row r="6519">
      <c r="P6519" s="42"/>
      <c r="AB6519" s="38"/>
    </row>
    <row r="6520">
      <c r="P6520" s="42"/>
      <c r="AB6520" s="38"/>
    </row>
    <row r="6521">
      <c r="P6521" s="42"/>
      <c r="AB6521" s="38"/>
    </row>
    <row r="6522">
      <c r="P6522" s="42"/>
      <c r="AB6522" s="38"/>
    </row>
    <row r="6523">
      <c r="P6523" s="42"/>
      <c r="AB6523" s="38"/>
    </row>
    <row r="6524">
      <c r="P6524" s="42"/>
      <c r="AB6524" s="38"/>
    </row>
    <row r="6525">
      <c r="P6525" s="42"/>
      <c r="AB6525" s="38"/>
    </row>
    <row r="6526">
      <c r="P6526" s="42"/>
      <c r="AB6526" s="38"/>
    </row>
    <row r="6527">
      <c r="P6527" s="42"/>
      <c r="AB6527" s="38"/>
    </row>
    <row r="6528">
      <c r="P6528" s="42"/>
      <c r="AB6528" s="38"/>
    </row>
    <row r="6529">
      <c r="P6529" s="42"/>
      <c r="AB6529" s="38"/>
    </row>
    <row r="6530">
      <c r="P6530" s="42"/>
      <c r="AB6530" s="38"/>
    </row>
    <row r="6531">
      <c r="P6531" s="42"/>
      <c r="AB6531" s="38"/>
    </row>
    <row r="6532">
      <c r="P6532" s="42"/>
      <c r="AB6532" s="38"/>
    </row>
    <row r="6533">
      <c r="P6533" s="42"/>
      <c r="AB6533" s="38"/>
    </row>
    <row r="6534">
      <c r="P6534" s="42"/>
      <c r="AB6534" s="38"/>
    </row>
    <row r="6535">
      <c r="P6535" s="42"/>
      <c r="AB6535" s="38"/>
    </row>
    <row r="6536">
      <c r="P6536" s="42"/>
      <c r="AB6536" s="38"/>
    </row>
    <row r="6537">
      <c r="P6537" s="42"/>
      <c r="AB6537" s="38"/>
    </row>
    <row r="6538">
      <c r="P6538" s="42"/>
      <c r="AB6538" s="38"/>
    </row>
    <row r="6539">
      <c r="P6539" s="42"/>
      <c r="AB6539" s="38"/>
    </row>
    <row r="6540">
      <c r="P6540" s="42"/>
      <c r="AB6540" s="38"/>
    </row>
    <row r="6541">
      <c r="P6541" s="42"/>
      <c r="AB6541" s="38"/>
    </row>
    <row r="6542">
      <c r="P6542" s="42"/>
      <c r="AB6542" s="38"/>
    </row>
    <row r="6543">
      <c r="P6543" s="42"/>
      <c r="AB6543" s="38"/>
    </row>
    <row r="6544">
      <c r="P6544" s="42"/>
      <c r="AB6544" s="38"/>
    </row>
    <row r="6545">
      <c r="P6545" s="42"/>
      <c r="AB6545" s="38"/>
    </row>
    <row r="6546">
      <c r="P6546" s="42"/>
      <c r="AB6546" s="38"/>
    </row>
    <row r="6547">
      <c r="P6547" s="42"/>
      <c r="AB6547" s="38"/>
    </row>
    <row r="6548">
      <c r="P6548" s="42"/>
      <c r="AB6548" s="38"/>
    </row>
    <row r="6549">
      <c r="P6549" s="42"/>
      <c r="AB6549" s="38"/>
    </row>
    <row r="6550">
      <c r="P6550" s="42"/>
      <c r="AB6550" s="38"/>
    </row>
    <row r="6551">
      <c r="P6551" s="42"/>
      <c r="AB6551" s="38"/>
    </row>
    <row r="6552">
      <c r="P6552" s="42"/>
      <c r="AB6552" s="38"/>
    </row>
    <row r="6553">
      <c r="P6553" s="42"/>
      <c r="AB6553" s="38"/>
    </row>
    <row r="6554">
      <c r="P6554" s="42"/>
      <c r="AB6554" s="38"/>
    </row>
    <row r="6555">
      <c r="P6555" s="42"/>
      <c r="AB6555" s="38"/>
    </row>
    <row r="6556">
      <c r="P6556" s="42"/>
      <c r="AB6556" s="38"/>
    </row>
    <row r="6557">
      <c r="P6557" s="42"/>
      <c r="AB6557" s="38"/>
    </row>
    <row r="6558">
      <c r="P6558" s="42"/>
      <c r="AB6558" s="38"/>
    </row>
    <row r="6559">
      <c r="P6559" s="42"/>
      <c r="AB6559" s="38"/>
    </row>
    <row r="6560">
      <c r="P6560" s="42"/>
      <c r="AB6560" s="38"/>
    </row>
    <row r="6561">
      <c r="P6561" s="42"/>
      <c r="AB6561" s="38"/>
    </row>
    <row r="6562">
      <c r="P6562" s="42"/>
      <c r="AB6562" s="38"/>
    </row>
    <row r="6563">
      <c r="P6563" s="42"/>
      <c r="AB6563" s="38"/>
    </row>
    <row r="6564">
      <c r="P6564" s="42"/>
      <c r="AB6564" s="38"/>
    </row>
    <row r="6565">
      <c r="P6565" s="42"/>
      <c r="AB6565" s="38"/>
    </row>
    <row r="6566">
      <c r="P6566" s="42"/>
      <c r="AB6566" s="38"/>
    </row>
    <row r="6567">
      <c r="P6567" s="42"/>
      <c r="AB6567" s="38"/>
    </row>
    <row r="6568">
      <c r="P6568" s="42"/>
      <c r="AB6568" s="38"/>
    </row>
    <row r="6569">
      <c r="P6569" s="42"/>
      <c r="AB6569" s="38"/>
    </row>
    <row r="6570">
      <c r="P6570" s="42"/>
      <c r="AB6570" s="38"/>
    </row>
    <row r="6571">
      <c r="P6571" s="42"/>
      <c r="AB6571" s="38"/>
    </row>
    <row r="6572">
      <c r="P6572" s="42"/>
      <c r="AB6572" s="38"/>
    </row>
    <row r="6573">
      <c r="P6573" s="42"/>
      <c r="AB6573" s="38"/>
    </row>
    <row r="6574">
      <c r="P6574" s="42"/>
      <c r="AB6574" s="38"/>
    </row>
    <row r="6575">
      <c r="P6575" s="42"/>
      <c r="AB6575" s="38"/>
    </row>
    <row r="6576">
      <c r="P6576" s="42"/>
      <c r="AB6576" s="38"/>
    </row>
    <row r="6577">
      <c r="P6577" s="42"/>
      <c r="AB6577" s="38"/>
    </row>
    <row r="6578">
      <c r="P6578" s="42"/>
      <c r="AB6578" s="38"/>
    </row>
    <row r="6579">
      <c r="P6579" s="42"/>
      <c r="AB6579" s="38"/>
    </row>
    <row r="6580">
      <c r="P6580" s="42"/>
      <c r="AB6580" s="38"/>
    </row>
    <row r="6581">
      <c r="P6581" s="42"/>
      <c r="AB6581" s="38"/>
    </row>
    <row r="6582">
      <c r="P6582" s="42"/>
      <c r="AB6582" s="38"/>
    </row>
    <row r="6583">
      <c r="P6583" s="42"/>
      <c r="AB6583" s="38"/>
    </row>
    <row r="6584">
      <c r="P6584" s="42"/>
      <c r="AB6584" s="38"/>
    </row>
    <row r="6585">
      <c r="P6585" s="42"/>
      <c r="AB6585" s="38"/>
    </row>
    <row r="6586">
      <c r="P6586" s="42"/>
      <c r="AB6586" s="38"/>
    </row>
    <row r="6587">
      <c r="P6587" s="42"/>
      <c r="AB6587" s="38"/>
    </row>
    <row r="6588">
      <c r="P6588" s="42"/>
      <c r="AB6588" s="38"/>
    </row>
    <row r="6589">
      <c r="P6589" s="42"/>
      <c r="AB6589" s="38"/>
    </row>
    <row r="6590">
      <c r="P6590" s="42"/>
      <c r="AB6590" s="38"/>
    </row>
    <row r="6591">
      <c r="P6591" s="42"/>
      <c r="AB6591" s="38"/>
    </row>
    <row r="6592">
      <c r="P6592" s="42"/>
      <c r="AB6592" s="38"/>
    </row>
    <row r="6593">
      <c r="P6593" s="42"/>
      <c r="AB6593" s="38"/>
    </row>
    <row r="6594">
      <c r="P6594" s="42"/>
      <c r="AB6594" s="38"/>
    </row>
    <row r="6595">
      <c r="P6595" s="42"/>
      <c r="AB6595" s="38"/>
    </row>
    <row r="6596">
      <c r="P6596" s="42"/>
      <c r="AB6596" s="38"/>
    </row>
    <row r="6597">
      <c r="P6597" s="42"/>
      <c r="AB6597" s="38"/>
    </row>
    <row r="6598">
      <c r="P6598" s="42"/>
      <c r="AB6598" s="38"/>
    </row>
    <row r="6599">
      <c r="P6599" s="42"/>
      <c r="AB6599" s="38"/>
    </row>
    <row r="6600">
      <c r="P6600" s="42"/>
      <c r="AB6600" s="38"/>
    </row>
    <row r="6601">
      <c r="P6601" s="42"/>
      <c r="AB6601" s="38"/>
    </row>
    <row r="6602">
      <c r="P6602" s="42"/>
      <c r="AB6602" s="38"/>
    </row>
    <row r="6603">
      <c r="P6603" s="42"/>
      <c r="AB6603" s="38"/>
    </row>
    <row r="6604">
      <c r="P6604" s="42"/>
      <c r="AB6604" s="38"/>
    </row>
    <row r="6605">
      <c r="P6605" s="42"/>
      <c r="AB6605" s="38"/>
    </row>
    <row r="6606">
      <c r="P6606" s="42"/>
      <c r="AB6606" s="38"/>
    </row>
    <row r="6607">
      <c r="P6607" s="42"/>
      <c r="AB6607" s="38"/>
    </row>
    <row r="6608">
      <c r="P6608" s="42"/>
      <c r="AB6608" s="38"/>
    </row>
    <row r="6609">
      <c r="P6609" s="42"/>
      <c r="AB6609" s="38"/>
    </row>
    <row r="6610">
      <c r="P6610" s="42"/>
      <c r="AB6610" s="38"/>
    </row>
    <row r="6611">
      <c r="P6611" s="42"/>
      <c r="AB6611" s="38"/>
    </row>
    <row r="6612">
      <c r="P6612" s="42"/>
      <c r="AB6612" s="38"/>
    </row>
    <row r="6613">
      <c r="P6613" s="42"/>
      <c r="AB6613" s="38"/>
    </row>
    <row r="6614">
      <c r="P6614" s="42"/>
      <c r="AB6614" s="38"/>
    </row>
    <row r="6615">
      <c r="P6615" s="42"/>
      <c r="AB6615" s="38"/>
    </row>
    <row r="6616">
      <c r="P6616" s="42"/>
      <c r="AB6616" s="38"/>
    </row>
    <row r="6617">
      <c r="P6617" s="42"/>
      <c r="AB6617" s="38"/>
    </row>
    <row r="6618">
      <c r="P6618" s="42"/>
      <c r="AB6618" s="38"/>
    </row>
    <row r="6619">
      <c r="P6619" s="42"/>
      <c r="AB6619" s="38"/>
    </row>
    <row r="6620">
      <c r="P6620" s="42"/>
      <c r="AB6620" s="38"/>
    </row>
    <row r="6621">
      <c r="P6621" s="42"/>
      <c r="AB6621" s="38"/>
    </row>
    <row r="6622">
      <c r="P6622" s="42"/>
      <c r="AB6622" s="38"/>
    </row>
    <row r="6623">
      <c r="P6623" s="42"/>
      <c r="AB6623" s="38"/>
    </row>
    <row r="6624">
      <c r="P6624" s="42"/>
      <c r="AB6624" s="38"/>
    </row>
    <row r="6625">
      <c r="P6625" s="42"/>
      <c r="AB6625" s="38"/>
    </row>
    <row r="6626">
      <c r="P6626" s="42"/>
      <c r="AB6626" s="38"/>
    </row>
    <row r="6627">
      <c r="P6627" s="42"/>
      <c r="AB6627" s="38"/>
    </row>
    <row r="6628">
      <c r="P6628" s="42"/>
      <c r="AB6628" s="38"/>
    </row>
    <row r="6629">
      <c r="P6629" s="42"/>
      <c r="AB6629" s="38"/>
    </row>
    <row r="6630">
      <c r="P6630" s="42"/>
      <c r="AB6630" s="38"/>
    </row>
    <row r="6631">
      <c r="P6631" s="42"/>
      <c r="AB6631" s="38"/>
    </row>
    <row r="6632">
      <c r="P6632" s="42"/>
      <c r="AB6632" s="38"/>
    </row>
    <row r="6633">
      <c r="P6633" s="42"/>
      <c r="AB6633" s="38"/>
    </row>
    <row r="6634">
      <c r="P6634" s="42"/>
      <c r="AB6634" s="38"/>
    </row>
    <row r="6635">
      <c r="P6635" s="42"/>
      <c r="AB6635" s="38"/>
    </row>
    <row r="6636">
      <c r="P6636" s="42"/>
      <c r="AB6636" s="38"/>
    </row>
    <row r="6637">
      <c r="P6637" s="42"/>
      <c r="AB6637" s="38"/>
    </row>
    <row r="6638">
      <c r="P6638" s="42"/>
      <c r="AB6638" s="38"/>
    </row>
    <row r="6639">
      <c r="P6639" s="42"/>
      <c r="AB6639" s="38"/>
    </row>
    <row r="6640">
      <c r="P6640" s="42"/>
      <c r="AB6640" s="38"/>
    </row>
    <row r="6641">
      <c r="P6641" s="42"/>
      <c r="AB6641" s="38"/>
    </row>
    <row r="6642">
      <c r="P6642" s="42"/>
      <c r="AB6642" s="38"/>
    </row>
    <row r="6643">
      <c r="P6643" s="42"/>
      <c r="AB6643" s="38"/>
    </row>
    <row r="6644">
      <c r="P6644" s="42"/>
      <c r="AB6644" s="38"/>
    </row>
    <row r="6645">
      <c r="P6645" s="42"/>
      <c r="AB6645" s="38"/>
    </row>
    <row r="6646">
      <c r="P6646" s="42"/>
      <c r="AB6646" s="38"/>
    </row>
    <row r="6647">
      <c r="P6647" s="42"/>
      <c r="AB6647" s="38"/>
    </row>
    <row r="6648">
      <c r="P6648" s="42"/>
      <c r="AB6648" s="38"/>
    </row>
    <row r="6649">
      <c r="P6649" s="42"/>
      <c r="AB6649" s="38"/>
    </row>
    <row r="6650">
      <c r="P6650" s="42"/>
      <c r="AB6650" s="38"/>
    </row>
    <row r="6651">
      <c r="P6651" s="42"/>
      <c r="AB6651" s="38"/>
    </row>
    <row r="6652">
      <c r="P6652" s="42"/>
      <c r="AB6652" s="38"/>
    </row>
    <row r="6653">
      <c r="P6653" s="42"/>
      <c r="AB6653" s="38"/>
    </row>
    <row r="6654">
      <c r="P6654" s="42"/>
      <c r="AB6654" s="38"/>
    </row>
    <row r="6655">
      <c r="P6655" s="42"/>
      <c r="AB6655" s="38"/>
    </row>
    <row r="6656">
      <c r="P6656" s="42"/>
      <c r="AB6656" s="38"/>
    </row>
    <row r="6657">
      <c r="P6657" s="42"/>
      <c r="AB6657" s="38"/>
    </row>
    <row r="6658">
      <c r="P6658" s="42"/>
      <c r="AB6658" s="38"/>
    </row>
    <row r="6659">
      <c r="P6659" s="42"/>
      <c r="AB6659" s="38"/>
    </row>
    <row r="6660">
      <c r="P6660" s="42"/>
      <c r="AB6660" s="38"/>
    </row>
    <row r="6661">
      <c r="P6661" s="42"/>
      <c r="AB6661" s="38"/>
    </row>
    <row r="6662">
      <c r="P6662" s="42"/>
      <c r="AB6662" s="38"/>
    </row>
    <row r="6663">
      <c r="P6663" s="42"/>
      <c r="AB6663" s="38"/>
    </row>
    <row r="6664">
      <c r="P6664" s="42"/>
      <c r="AB6664" s="38"/>
    </row>
    <row r="6665">
      <c r="P6665" s="42"/>
      <c r="AB6665" s="38"/>
    </row>
    <row r="6666">
      <c r="P6666" s="42"/>
      <c r="AB6666" s="38"/>
    </row>
    <row r="6667">
      <c r="P6667" s="42"/>
      <c r="AB6667" s="38"/>
    </row>
    <row r="6668">
      <c r="P6668" s="42"/>
      <c r="AB6668" s="38"/>
    </row>
    <row r="6669">
      <c r="P6669" s="42"/>
      <c r="AB6669" s="38"/>
    </row>
    <row r="6670">
      <c r="P6670" s="42"/>
      <c r="AB6670" s="38"/>
    </row>
    <row r="6671">
      <c r="P6671" s="42"/>
      <c r="AB6671" s="38"/>
    </row>
    <row r="6672">
      <c r="P6672" s="42"/>
      <c r="AB6672" s="38"/>
    </row>
    <row r="6673">
      <c r="P6673" s="42"/>
      <c r="AB6673" s="38"/>
    </row>
    <row r="6674">
      <c r="P6674" s="42"/>
      <c r="AB6674" s="38"/>
    </row>
    <row r="6675">
      <c r="P6675" s="42"/>
      <c r="AB6675" s="38"/>
    </row>
    <row r="6676">
      <c r="P6676" s="42"/>
      <c r="AB6676" s="38"/>
    </row>
    <row r="6677">
      <c r="P6677" s="42"/>
      <c r="AB6677" s="38"/>
    </row>
    <row r="6678">
      <c r="P6678" s="42"/>
      <c r="AB6678" s="38"/>
    </row>
    <row r="6679">
      <c r="P6679" s="42"/>
      <c r="AB6679" s="38"/>
    </row>
    <row r="6680">
      <c r="P6680" s="42"/>
      <c r="AB6680" s="38"/>
    </row>
    <row r="6681">
      <c r="P6681" s="42"/>
      <c r="AB6681" s="38"/>
    </row>
    <row r="6682">
      <c r="P6682" s="42"/>
      <c r="AB6682" s="38"/>
    </row>
    <row r="6683">
      <c r="P6683" s="42"/>
      <c r="AB6683" s="38"/>
    </row>
    <row r="6684">
      <c r="P6684" s="42"/>
      <c r="AB6684" s="38"/>
    </row>
    <row r="6685">
      <c r="P6685" s="42"/>
      <c r="AB6685" s="38"/>
    </row>
    <row r="6686">
      <c r="P6686" s="42"/>
      <c r="AB6686" s="38"/>
    </row>
    <row r="6687">
      <c r="P6687" s="42"/>
      <c r="AB6687" s="38"/>
    </row>
    <row r="6688">
      <c r="P6688" s="42"/>
      <c r="AB6688" s="38"/>
    </row>
    <row r="6689">
      <c r="P6689" s="42"/>
      <c r="AB6689" s="38"/>
    </row>
    <row r="6690">
      <c r="P6690" s="42"/>
      <c r="AB6690" s="38"/>
    </row>
    <row r="6691">
      <c r="P6691" s="42"/>
      <c r="AB6691" s="38"/>
    </row>
    <row r="6692">
      <c r="P6692" s="42"/>
      <c r="AB6692" s="38"/>
    </row>
    <row r="6693">
      <c r="P6693" s="42"/>
      <c r="AB6693" s="38"/>
    </row>
    <row r="6694">
      <c r="P6694" s="42"/>
      <c r="AB6694" s="38"/>
    </row>
    <row r="6695">
      <c r="P6695" s="42"/>
      <c r="AB6695" s="38"/>
    </row>
    <row r="6696">
      <c r="P6696" s="42"/>
      <c r="AB6696" s="38"/>
    </row>
    <row r="6697">
      <c r="P6697" s="42"/>
      <c r="AB6697" s="38"/>
    </row>
    <row r="6698">
      <c r="P6698" s="42"/>
      <c r="AB6698" s="38"/>
    </row>
    <row r="6699">
      <c r="P6699" s="42"/>
      <c r="AB6699" s="38"/>
    </row>
    <row r="6700">
      <c r="P6700" s="42"/>
      <c r="AB6700" s="38"/>
    </row>
    <row r="6701">
      <c r="P6701" s="42"/>
      <c r="AB6701" s="38"/>
    </row>
    <row r="6702">
      <c r="P6702" s="42"/>
      <c r="AB6702" s="38"/>
    </row>
    <row r="6703">
      <c r="P6703" s="42"/>
      <c r="AB6703" s="38"/>
    </row>
    <row r="6704">
      <c r="P6704" s="42"/>
      <c r="AB6704" s="38"/>
    </row>
    <row r="6705">
      <c r="P6705" s="42"/>
      <c r="AB6705" s="38"/>
    </row>
    <row r="6706">
      <c r="P6706" s="42"/>
      <c r="AB6706" s="38"/>
    </row>
    <row r="6707">
      <c r="P6707" s="42"/>
      <c r="AB6707" s="38"/>
    </row>
    <row r="6708">
      <c r="P6708" s="42"/>
      <c r="AB6708" s="38"/>
    </row>
    <row r="6709">
      <c r="P6709" s="42"/>
      <c r="AB6709" s="38"/>
    </row>
    <row r="6710">
      <c r="P6710" s="42"/>
      <c r="AB6710" s="38"/>
    </row>
    <row r="6711">
      <c r="P6711" s="42"/>
      <c r="AB6711" s="38"/>
    </row>
    <row r="6712">
      <c r="P6712" s="42"/>
      <c r="AB6712" s="38"/>
    </row>
    <row r="6713">
      <c r="P6713" s="42"/>
      <c r="AB6713" s="38"/>
    </row>
    <row r="6714">
      <c r="P6714" s="42"/>
      <c r="AB6714" s="38"/>
    </row>
    <row r="6715">
      <c r="P6715" s="42"/>
      <c r="AB6715" s="38"/>
    </row>
    <row r="6716">
      <c r="P6716" s="42"/>
      <c r="AB6716" s="38"/>
    </row>
    <row r="6717">
      <c r="P6717" s="42"/>
      <c r="AB6717" s="38"/>
    </row>
    <row r="6718">
      <c r="P6718" s="42"/>
      <c r="AB6718" s="38"/>
    </row>
    <row r="6719">
      <c r="P6719" s="42"/>
      <c r="AB6719" s="38"/>
    </row>
    <row r="6720">
      <c r="P6720" s="42"/>
      <c r="AB6720" s="38"/>
    </row>
    <row r="6721">
      <c r="P6721" s="42"/>
      <c r="AB6721" s="38"/>
    </row>
    <row r="6722">
      <c r="P6722" s="42"/>
      <c r="AB6722" s="38"/>
    </row>
    <row r="6723">
      <c r="P6723" s="42"/>
      <c r="AB6723" s="38"/>
    </row>
    <row r="6724">
      <c r="P6724" s="42"/>
      <c r="AB6724" s="38"/>
    </row>
    <row r="6725">
      <c r="P6725" s="42"/>
      <c r="AB6725" s="38"/>
    </row>
    <row r="6726">
      <c r="P6726" s="42"/>
      <c r="AB6726" s="38"/>
    </row>
    <row r="6727">
      <c r="P6727" s="42"/>
      <c r="AB6727" s="38"/>
    </row>
    <row r="6728">
      <c r="P6728" s="42"/>
      <c r="AB6728" s="38"/>
    </row>
    <row r="6729">
      <c r="P6729" s="42"/>
      <c r="AB6729" s="38"/>
    </row>
    <row r="6730">
      <c r="P6730" s="42"/>
      <c r="AB6730" s="38"/>
    </row>
    <row r="6731">
      <c r="P6731" s="42"/>
      <c r="AB6731" s="38"/>
    </row>
    <row r="6732">
      <c r="P6732" s="42"/>
      <c r="AB6732" s="38"/>
    </row>
    <row r="6733">
      <c r="P6733" s="42"/>
      <c r="AB6733" s="38"/>
    </row>
    <row r="6734">
      <c r="P6734" s="42"/>
      <c r="AB6734" s="38"/>
    </row>
    <row r="6735">
      <c r="P6735" s="42"/>
      <c r="AB6735" s="38"/>
    </row>
    <row r="6736">
      <c r="P6736" s="42"/>
      <c r="AB6736" s="38"/>
    </row>
    <row r="6737">
      <c r="P6737" s="42"/>
      <c r="AB6737" s="38"/>
    </row>
    <row r="6738">
      <c r="P6738" s="42"/>
      <c r="AB6738" s="38"/>
    </row>
    <row r="6739">
      <c r="P6739" s="42"/>
      <c r="AB6739" s="38"/>
    </row>
    <row r="6740">
      <c r="P6740" s="42"/>
      <c r="AB6740" s="38"/>
    </row>
    <row r="6741">
      <c r="P6741" s="42"/>
      <c r="AB6741" s="38"/>
    </row>
    <row r="6742">
      <c r="P6742" s="42"/>
      <c r="AB6742" s="38"/>
    </row>
    <row r="6743">
      <c r="P6743" s="42"/>
      <c r="AB6743" s="38"/>
    </row>
    <row r="6744">
      <c r="P6744" s="42"/>
      <c r="AB6744" s="38"/>
    </row>
    <row r="6745">
      <c r="P6745" s="42"/>
      <c r="AB6745" s="38"/>
    </row>
    <row r="6746">
      <c r="P6746" s="42"/>
      <c r="AB6746" s="38"/>
    </row>
    <row r="6747">
      <c r="P6747" s="42"/>
      <c r="AB6747" s="38"/>
    </row>
    <row r="6748">
      <c r="P6748" s="42"/>
      <c r="AB6748" s="38"/>
    </row>
    <row r="6749">
      <c r="P6749" s="42"/>
      <c r="AB6749" s="38"/>
    </row>
    <row r="6750">
      <c r="P6750" s="42"/>
      <c r="AB6750" s="38"/>
    </row>
    <row r="6751">
      <c r="P6751" s="42"/>
      <c r="AB6751" s="38"/>
    </row>
    <row r="6752">
      <c r="P6752" s="42"/>
      <c r="AB6752" s="38"/>
    </row>
    <row r="6753">
      <c r="P6753" s="42"/>
      <c r="AB6753" s="38"/>
    </row>
    <row r="6754">
      <c r="P6754" s="42"/>
      <c r="AB6754" s="38"/>
    </row>
    <row r="6755">
      <c r="P6755" s="42"/>
      <c r="AB6755" s="38"/>
    </row>
    <row r="6756">
      <c r="P6756" s="42"/>
      <c r="AB6756" s="38"/>
    </row>
    <row r="6757">
      <c r="P6757" s="42"/>
      <c r="AB6757" s="38"/>
    </row>
    <row r="6758">
      <c r="P6758" s="42"/>
      <c r="AB6758" s="38"/>
    </row>
    <row r="6759">
      <c r="P6759" s="42"/>
      <c r="AB6759" s="38"/>
    </row>
    <row r="6760">
      <c r="P6760" s="42"/>
      <c r="AB6760" s="38"/>
    </row>
    <row r="6761">
      <c r="P6761" s="42"/>
      <c r="AB6761" s="38"/>
    </row>
    <row r="6762">
      <c r="P6762" s="42"/>
      <c r="AB6762" s="38"/>
    </row>
    <row r="6763">
      <c r="P6763" s="42"/>
      <c r="AB6763" s="38"/>
    </row>
    <row r="6764">
      <c r="P6764" s="42"/>
      <c r="AB6764" s="38"/>
    </row>
    <row r="6765">
      <c r="P6765" s="42"/>
      <c r="AB6765" s="38"/>
    </row>
    <row r="6766">
      <c r="P6766" s="42"/>
      <c r="AB6766" s="38"/>
    </row>
    <row r="6767">
      <c r="P6767" s="42"/>
      <c r="AB6767" s="38"/>
    </row>
    <row r="6768">
      <c r="P6768" s="42"/>
      <c r="AB6768" s="38"/>
    </row>
    <row r="6769">
      <c r="P6769" s="42"/>
      <c r="AB6769" s="38"/>
    </row>
    <row r="6770">
      <c r="P6770" s="42"/>
      <c r="AB6770" s="38"/>
    </row>
    <row r="6771">
      <c r="P6771" s="42"/>
      <c r="AB6771" s="38"/>
    </row>
    <row r="6772">
      <c r="P6772" s="42"/>
      <c r="AB6772" s="38"/>
    </row>
    <row r="6773">
      <c r="P6773" s="42"/>
      <c r="AB6773" s="38"/>
    </row>
    <row r="6774">
      <c r="P6774" s="42"/>
      <c r="AB6774" s="38"/>
    </row>
    <row r="6775">
      <c r="P6775" s="42"/>
      <c r="AB6775" s="38"/>
    </row>
    <row r="6776">
      <c r="P6776" s="42"/>
      <c r="AB6776" s="38"/>
    </row>
    <row r="6777">
      <c r="P6777" s="42"/>
      <c r="AB6777" s="38"/>
    </row>
    <row r="6778">
      <c r="P6778" s="42"/>
      <c r="AB6778" s="38"/>
    </row>
    <row r="6779">
      <c r="P6779" s="42"/>
      <c r="AB6779" s="38"/>
    </row>
    <row r="6780">
      <c r="P6780" s="42"/>
      <c r="AB6780" s="38"/>
    </row>
    <row r="6781">
      <c r="P6781" s="42"/>
      <c r="AB6781" s="38"/>
    </row>
    <row r="6782">
      <c r="P6782" s="42"/>
      <c r="AB6782" s="38"/>
    </row>
    <row r="6783">
      <c r="P6783" s="42"/>
      <c r="AB6783" s="38"/>
    </row>
    <row r="6784">
      <c r="P6784" s="42"/>
      <c r="AB6784" s="38"/>
    </row>
    <row r="6785">
      <c r="P6785" s="42"/>
      <c r="AB6785" s="38"/>
    </row>
    <row r="6786">
      <c r="P6786" s="42"/>
      <c r="AB6786" s="38"/>
    </row>
    <row r="6787">
      <c r="P6787" s="42"/>
      <c r="AB6787" s="38"/>
    </row>
    <row r="6788">
      <c r="P6788" s="42"/>
      <c r="AB6788" s="38"/>
    </row>
    <row r="6789">
      <c r="P6789" s="42"/>
      <c r="AB6789" s="38"/>
    </row>
    <row r="6790">
      <c r="P6790" s="42"/>
      <c r="AB6790" s="38"/>
    </row>
    <row r="6791">
      <c r="P6791" s="42"/>
      <c r="AB6791" s="38"/>
    </row>
    <row r="6792">
      <c r="P6792" s="42"/>
      <c r="AB6792" s="38"/>
    </row>
    <row r="6793">
      <c r="P6793" s="42"/>
      <c r="AB6793" s="38"/>
    </row>
    <row r="6794">
      <c r="P6794" s="42"/>
      <c r="AB6794" s="38"/>
    </row>
    <row r="6795">
      <c r="P6795" s="42"/>
      <c r="AB6795" s="38"/>
    </row>
    <row r="6796">
      <c r="P6796" s="42"/>
      <c r="AB6796" s="38"/>
    </row>
    <row r="6797">
      <c r="P6797" s="42"/>
      <c r="AB6797" s="38"/>
    </row>
    <row r="6798">
      <c r="P6798" s="42"/>
      <c r="AB6798" s="38"/>
    </row>
    <row r="6799">
      <c r="P6799" s="42"/>
      <c r="AB6799" s="38"/>
    </row>
    <row r="6800">
      <c r="P6800" s="42"/>
      <c r="AB6800" s="38"/>
    </row>
    <row r="6801">
      <c r="P6801" s="42"/>
      <c r="AB6801" s="38"/>
    </row>
    <row r="6802">
      <c r="P6802" s="42"/>
      <c r="AB6802" s="38"/>
    </row>
    <row r="6803">
      <c r="P6803" s="42"/>
      <c r="AB6803" s="38"/>
    </row>
    <row r="6804">
      <c r="P6804" s="42"/>
      <c r="AB6804" s="38"/>
    </row>
    <row r="6805">
      <c r="P6805" s="42"/>
      <c r="AB6805" s="38"/>
    </row>
    <row r="6806">
      <c r="P6806" s="42"/>
      <c r="AB6806" s="38"/>
    </row>
    <row r="6807">
      <c r="P6807" s="42"/>
      <c r="AB6807" s="38"/>
    </row>
    <row r="6808">
      <c r="P6808" s="42"/>
      <c r="AB6808" s="38"/>
    </row>
    <row r="6809">
      <c r="P6809" s="42"/>
      <c r="AB6809" s="38"/>
    </row>
    <row r="6810">
      <c r="P6810" s="42"/>
      <c r="AB6810" s="38"/>
    </row>
    <row r="6811">
      <c r="P6811" s="42"/>
      <c r="AB6811" s="38"/>
    </row>
    <row r="6812">
      <c r="P6812" s="42"/>
      <c r="AB6812" s="38"/>
    </row>
    <row r="6813">
      <c r="P6813" s="42"/>
      <c r="AB6813" s="38"/>
    </row>
    <row r="6814">
      <c r="P6814" s="42"/>
      <c r="AB6814" s="38"/>
    </row>
    <row r="6815">
      <c r="P6815" s="42"/>
      <c r="AB6815" s="38"/>
    </row>
    <row r="6816">
      <c r="P6816" s="42"/>
      <c r="AB6816" s="38"/>
    </row>
    <row r="6817">
      <c r="P6817" s="42"/>
      <c r="AB6817" s="38"/>
    </row>
    <row r="6818">
      <c r="P6818" s="42"/>
      <c r="AB6818" s="38"/>
    </row>
    <row r="6819">
      <c r="P6819" s="42"/>
      <c r="AB6819" s="38"/>
    </row>
    <row r="6820">
      <c r="P6820" s="42"/>
      <c r="AB6820" s="38"/>
    </row>
    <row r="6821">
      <c r="P6821" s="42"/>
      <c r="AB6821" s="38"/>
    </row>
    <row r="6822">
      <c r="P6822" s="42"/>
      <c r="AB6822" s="38"/>
    </row>
    <row r="6823">
      <c r="P6823" s="42"/>
      <c r="AB6823" s="38"/>
    </row>
    <row r="6824">
      <c r="P6824" s="42"/>
      <c r="AB6824" s="38"/>
    </row>
    <row r="6825">
      <c r="P6825" s="42"/>
      <c r="AB6825" s="38"/>
    </row>
    <row r="6826">
      <c r="P6826" s="42"/>
      <c r="AB6826" s="38"/>
    </row>
    <row r="6827">
      <c r="P6827" s="42"/>
      <c r="AB6827" s="38"/>
    </row>
    <row r="6828">
      <c r="P6828" s="42"/>
      <c r="AB6828" s="38"/>
    </row>
    <row r="6829">
      <c r="P6829" s="42"/>
      <c r="AB6829" s="38"/>
    </row>
    <row r="6830">
      <c r="P6830" s="42"/>
      <c r="AB6830" s="38"/>
    </row>
    <row r="6831">
      <c r="P6831" s="42"/>
      <c r="AB6831" s="38"/>
    </row>
    <row r="6832">
      <c r="P6832" s="42"/>
      <c r="AB6832" s="38"/>
    </row>
    <row r="6833">
      <c r="P6833" s="42"/>
      <c r="AB6833" s="38"/>
    </row>
    <row r="6834">
      <c r="P6834" s="42"/>
      <c r="AB6834" s="38"/>
    </row>
    <row r="6835">
      <c r="P6835" s="42"/>
      <c r="AB6835" s="38"/>
    </row>
    <row r="6836">
      <c r="P6836" s="42"/>
      <c r="AB6836" s="38"/>
    </row>
    <row r="6837">
      <c r="P6837" s="42"/>
      <c r="AB6837" s="38"/>
    </row>
    <row r="6838">
      <c r="P6838" s="42"/>
      <c r="AB6838" s="38"/>
    </row>
    <row r="6839">
      <c r="P6839" s="42"/>
      <c r="AB6839" s="38"/>
    </row>
    <row r="6840">
      <c r="P6840" s="42"/>
      <c r="AB6840" s="38"/>
    </row>
    <row r="6841">
      <c r="P6841" s="42"/>
      <c r="AB6841" s="38"/>
    </row>
    <row r="6842">
      <c r="P6842" s="42"/>
      <c r="AB6842" s="38"/>
    </row>
    <row r="6843">
      <c r="P6843" s="42"/>
      <c r="AB6843" s="38"/>
    </row>
    <row r="6844">
      <c r="P6844" s="42"/>
      <c r="AB6844" s="38"/>
    </row>
    <row r="6845">
      <c r="P6845" s="42"/>
      <c r="AB6845" s="38"/>
    </row>
    <row r="6846">
      <c r="P6846" s="42"/>
      <c r="AB6846" s="38"/>
    </row>
    <row r="6847">
      <c r="P6847" s="42"/>
      <c r="AB6847" s="38"/>
    </row>
    <row r="6848">
      <c r="P6848" s="42"/>
      <c r="AB6848" s="38"/>
    </row>
    <row r="6849">
      <c r="P6849" s="42"/>
      <c r="AB6849" s="38"/>
    </row>
    <row r="6850">
      <c r="P6850" s="42"/>
      <c r="AB6850" s="38"/>
    </row>
    <row r="6851">
      <c r="P6851" s="42"/>
      <c r="AB6851" s="38"/>
    </row>
    <row r="6852">
      <c r="P6852" s="42"/>
      <c r="AB6852" s="38"/>
    </row>
    <row r="6853">
      <c r="P6853" s="42"/>
      <c r="AB6853" s="38"/>
    </row>
    <row r="6854">
      <c r="P6854" s="42"/>
      <c r="AB6854" s="38"/>
    </row>
    <row r="6855">
      <c r="P6855" s="42"/>
      <c r="AB6855" s="38"/>
    </row>
    <row r="6856">
      <c r="P6856" s="42"/>
      <c r="AB6856" s="38"/>
    </row>
    <row r="6857">
      <c r="P6857" s="42"/>
      <c r="AB6857" s="38"/>
    </row>
    <row r="6858">
      <c r="P6858" s="42"/>
      <c r="AB6858" s="38"/>
    </row>
    <row r="6859">
      <c r="P6859" s="42"/>
      <c r="AB6859" s="38"/>
    </row>
    <row r="6860">
      <c r="P6860" s="42"/>
      <c r="AB6860" s="38"/>
    </row>
    <row r="6861">
      <c r="P6861" s="42"/>
      <c r="AB6861" s="38"/>
    </row>
    <row r="6862">
      <c r="P6862" s="42"/>
      <c r="AB6862" s="38"/>
    </row>
    <row r="6863">
      <c r="P6863" s="42"/>
      <c r="AB6863" s="38"/>
    </row>
    <row r="6864">
      <c r="P6864" s="42"/>
      <c r="AB6864" s="38"/>
    </row>
    <row r="6865">
      <c r="P6865" s="42"/>
      <c r="AB6865" s="38"/>
    </row>
    <row r="6866">
      <c r="P6866" s="42"/>
      <c r="AB6866" s="38"/>
    </row>
    <row r="6867">
      <c r="P6867" s="42"/>
      <c r="AB6867" s="38"/>
    </row>
    <row r="6868">
      <c r="P6868" s="42"/>
      <c r="AB6868" s="38"/>
    </row>
    <row r="6869">
      <c r="P6869" s="42"/>
      <c r="AB6869" s="38"/>
    </row>
    <row r="6870">
      <c r="P6870" s="42"/>
      <c r="AB6870" s="38"/>
    </row>
    <row r="6871">
      <c r="P6871" s="42"/>
      <c r="AB6871" s="38"/>
    </row>
    <row r="6872">
      <c r="P6872" s="42"/>
      <c r="AB6872" s="38"/>
    </row>
    <row r="6873">
      <c r="P6873" s="42"/>
      <c r="AB6873" s="38"/>
    </row>
    <row r="6874">
      <c r="P6874" s="42"/>
      <c r="AB6874" s="38"/>
    </row>
    <row r="6875">
      <c r="P6875" s="42"/>
      <c r="AB6875" s="38"/>
    </row>
    <row r="6876">
      <c r="P6876" s="42"/>
      <c r="AB6876" s="38"/>
    </row>
    <row r="6877">
      <c r="P6877" s="42"/>
      <c r="AB6877" s="38"/>
    </row>
    <row r="6878">
      <c r="P6878" s="42"/>
      <c r="AB6878" s="38"/>
    </row>
    <row r="6879">
      <c r="P6879" s="42"/>
      <c r="AB6879" s="38"/>
    </row>
    <row r="6880">
      <c r="P6880" s="42"/>
      <c r="AB6880" s="38"/>
    </row>
    <row r="6881">
      <c r="P6881" s="42"/>
      <c r="AB6881" s="38"/>
    </row>
    <row r="6882">
      <c r="P6882" s="42"/>
      <c r="AB6882" s="38"/>
    </row>
    <row r="6883">
      <c r="P6883" s="42"/>
      <c r="AB6883" s="38"/>
    </row>
    <row r="6884">
      <c r="P6884" s="42"/>
      <c r="AB6884" s="38"/>
    </row>
    <row r="6885">
      <c r="P6885" s="42"/>
      <c r="AB6885" s="38"/>
    </row>
    <row r="6886">
      <c r="P6886" s="42"/>
      <c r="AB6886" s="38"/>
    </row>
    <row r="6887">
      <c r="P6887" s="42"/>
      <c r="AB6887" s="38"/>
    </row>
    <row r="6888">
      <c r="P6888" s="42"/>
      <c r="AB6888" s="38"/>
    </row>
    <row r="6889">
      <c r="P6889" s="42"/>
      <c r="AB6889" s="38"/>
    </row>
    <row r="6890">
      <c r="P6890" s="42"/>
      <c r="AB6890" s="38"/>
    </row>
    <row r="6891">
      <c r="P6891" s="42"/>
      <c r="AB6891" s="38"/>
    </row>
    <row r="6892">
      <c r="P6892" s="42"/>
      <c r="AB6892" s="38"/>
    </row>
    <row r="6893">
      <c r="P6893" s="42"/>
      <c r="AB6893" s="38"/>
    </row>
    <row r="6894">
      <c r="P6894" s="42"/>
      <c r="AB6894" s="38"/>
    </row>
    <row r="6895">
      <c r="P6895" s="42"/>
      <c r="AB6895" s="38"/>
    </row>
    <row r="6896">
      <c r="P6896" s="42"/>
      <c r="AB6896" s="38"/>
    </row>
    <row r="6897">
      <c r="P6897" s="42"/>
      <c r="AB6897" s="38"/>
    </row>
    <row r="6898">
      <c r="P6898" s="42"/>
      <c r="AB6898" s="38"/>
    </row>
    <row r="6899">
      <c r="P6899" s="42"/>
      <c r="AB6899" s="38"/>
    </row>
    <row r="6900">
      <c r="P6900" s="42"/>
      <c r="AB6900" s="38"/>
    </row>
    <row r="6901">
      <c r="P6901" s="42"/>
      <c r="AB6901" s="38"/>
    </row>
    <row r="6902">
      <c r="P6902" s="42"/>
      <c r="AB6902" s="38"/>
    </row>
    <row r="6903">
      <c r="P6903" s="42"/>
      <c r="AB6903" s="38"/>
    </row>
    <row r="6904">
      <c r="P6904" s="42"/>
      <c r="AB6904" s="38"/>
    </row>
    <row r="6905">
      <c r="P6905" s="42"/>
      <c r="AB6905" s="38"/>
    </row>
    <row r="6906">
      <c r="P6906" s="42"/>
      <c r="AB6906" s="38"/>
    </row>
    <row r="6907">
      <c r="P6907" s="42"/>
      <c r="AB6907" s="38"/>
    </row>
    <row r="6908">
      <c r="P6908" s="42"/>
      <c r="AB6908" s="38"/>
    </row>
    <row r="6909">
      <c r="P6909" s="42"/>
      <c r="AB6909" s="38"/>
    </row>
    <row r="6910">
      <c r="P6910" s="42"/>
      <c r="AB6910" s="38"/>
    </row>
    <row r="6911">
      <c r="P6911" s="42"/>
      <c r="AB6911" s="38"/>
    </row>
    <row r="6912">
      <c r="P6912" s="42"/>
      <c r="AB6912" s="38"/>
    </row>
    <row r="6913">
      <c r="P6913" s="42"/>
      <c r="AB6913" s="38"/>
    </row>
    <row r="6914">
      <c r="P6914" s="42"/>
      <c r="AB6914" s="38"/>
    </row>
    <row r="6915">
      <c r="P6915" s="42"/>
      <c r="AB6915" s="38"/>
    </row>
    <row r="6916">
      <c r="P6916" s="42"/>
      <c r="AB6916" s="38"/>
    </row>
    <row r="6917">
      <c r="P6917" s="42"/>
      <c r="AB6917" s="38"/>
    </row>
    <row r="6918">
      <c r="P6918" s="42"/>
      <c r="AB6918" s="38"/>
    </row>
    <row r="6919">
      <c r="P6919" s="42"/>
      <c r="AB6919" s="38"/>
    </row>
    <row r="6920">
      <c r="P6920" s="42"/>
      <c r="AB6920" s="38"/>
    </row>
    <row r="6921">
      <c r="P6921" s="42"/>
      <c r="AB6921" s="38"/>
    </row>
    <row r="6922">
      <c r="P6922" s="42"/>
      <c r="AB6922" s="38"/>
    </row>
    <row r="6923">
      <c r="P6923" s="42"/>
      <c r="AB6923" s="38"/>
    </row>
    <row r="6924">
      <c r="P6924" s="42"/>
      <c r="AB6924" s="38"/>
    </row>
    <row r="6925">
      <c r="P6925" s="42"/>
      <c r="AB6925" s="38"/>
    </row>
    <row r="6926">
      <c r="P6926" s="42"/>
      <c r="AB6926" s="38"/>
    </row>
    <row r="6927">
      <c r="P6927" s="42"/>
      <c r="AB6927" s="38"/>
    </row>
    <row r="6928">
      <c r="P6928" s="42"/>
      <c r="AB6928" s="38"/>
    </row>
    <row r="6929">
      <c r="P6929" s="42"/>
      <c r="AB6929" s="38"/>
    </row>
    <row r="6930">
      <c r="P6930" s="42"/>
      <c r="AB6930" s="38"/>
    </row>
    <row r="6931">
      <c r="P6931" s="42"/>
      <c r="AB6931" s="38"/>
    </row>
    <row r="6932">
      <c r="P6932" s="42"/>
      <c r="AB6932" s="38"/>
    </row>
    <row r="6933">
      <c r="P6933" s="42"/>
      <c r="AB6933" s="38"/>
    </row>
    <row r="6934">
      <c r="P6934" s="42"/>
      <c r="AB6934" s="38"/>
    </row>
    <row r="6935">
      <c r="P6935" s="42"/>
      <c r="AB6935" s="38"/>
    </row>
    <row r="6936">
      <c r="P6936" s="42"/>
      <c r="AB6936" s="38"/>
    </row>
    <row r="6937">
      <c r="P6937" s="42"/>
      <c r="AB6937" s="38"/>
    </row>
    <row r="6938">
      <c r="P6938" s="42"/>
      <c r="AB6938" s="38"/>
    </row>
    <row r="6939">
      <c r="P6939" s="42"/>
      <c r="AB6939" s="38"/>
    </row>
    <row r="6940">
      <c r="P6940" s="42"/>
      <c r="AB6940" s="38"/>
    </row>
    <row r="6941">
      <c r="P6941" s="42"/>
      <c r="AB6941" s="38"/>
    </row>
    <row r="6942">
      <c r="P6942" s="42"/>
      <c r="AB6942" s="38"/>
    </row>
    <row r="6943">
      <c r="P6943" s="42"/>
      <c r="AB6943" s="38"/>
    </row>
    <row r="6944">
      <c r="P6944" s="42"/>
      <c r="AB6944" s="38"/>
    </row>
    <row r="6945">
      <c r="P6945" s="42"/>
      <c r="AB6945" s="38"/>
    </row>
    <row r="6946">
      <c r="P6946" s="42"/>
      <c r="AB6946" s="38"/>
    </row>
    <row r="6947">
      <c r="P6947" s="42"/>
      <c r="AB6947" s="38"/>
    </row>
    <row r="6948">
      <c r="P6948" s="42"/>
      <c r="AB6948" s="38"/>
    </row>
    <row r="6949">
      <c r="P6949" s="42"/>
      <c r="AB6949" s="38"/>
    </row>
    <row r="6950">
      <c r="P6950" s="42"/>
      <c r="AB6950" s="38"/>
    </row>
    <row r="6951">
      <c r="P6951" s="42"/>
      <c r="AB6951" s="38"/>
    </row>
    <row r="6952">
      <c r="P6952" s="42"/>
      <c r="AB6952" s="38"/>
    </row>
    <row r="6953">
      <c r="P6953" s="42"/>
      <c r="AB6953" s="38"/>
    </row>
    <row r="6954">
      <c r="P6954" s="42"/>
      <c r="AB6954" s="38"/>
    </row>
    <row r="6955">
      <c r="P6955" s="42"/>
      <c r="AB6955" s="38"/>
    </row>
    <row r="6956">
      <c r="P6956" s="42"/>
      <c r="AB6956" s="38"/>
    </row>
    <row r="6957">
      <c r="P6957" s="42"/>
      <c r="AB6957" s="38"/>
    </row>
    <row r="6958">
      <c r="P6958" s="42"/>
      <c r="AB6958" s="38"/>
    </row>
    <row r="6959">
      <c r="P6959" s="42"/>
      <c r="AB6959" s="38"/>
    </row>
    <row r="6960">
      <c r="P6960" s="42"/>
      <c r="AB6960" s="38"/>
    </row>
    <row r="6961">
      <c r="P6961" s="42"/>
      <c r="AB6961" s="38"/>
    </row>
    <row r="6962">
      <c r="P6962" s="42"/>
      <c r="AB6962" s="38"/>
    </row>
    <row r="6963">
      <c r="P6963" s="42"/>
      <c r="AB6963" s="38"/>
    </row>
    <row r="6964">
      <c r="P6964" s="42"/>
      <c r="AB6964" s="38"/>
    </row>
    <row r="6965">
      <c r="P6965" s="42"/>
      <c r="AB6965" s="38"/>
    </row>
    <row r="6966">
      <c r="P6966" s="42"/>
      <c r="AB6966" s="38"/>
    </row>
    <row r="6967">
      <c r="P6967" s="42"/>
      <c r="AB6967" s="38"/>
    </row>
    <row r="6968">
      <c r="P6968" s="42"/>
      <c r="AB6968" s="38"/>
    </row>
    <row r="6969">
      <c r="P6969" s="42"/>
      <c r="AB6969" s="38"/>
    </row>
    <row r="6970">
      <c r="P6970" s="42"/>
      <c r="AB6970" s="38"/>
    </row>
    <row r="6971">
      <c r="P6971" s="42"/>
      <c r="AB6971" s="38"/>
    </row>
    <row r="6972">
      <c r="P6972" s="42"/>
      <c r="AB6972" s="38"/>
    </row>
    <row r="6973">
      <c r="P6973" s="42"/>
      <c r="AB6973" s="38"/>
    </row>
    <row r="6974">
      <c r="P6974" s="42"/>
      <c r="AB6974" s="38"/>
    </row>
    <row r="6975">
      <c r="P6975" s="42"/>
      <c r="AB6975" s="38"/>
    </row>
    <row r="6976">
      <c r="P6976" s="42"/>
      <c r="AB6976" s="38"/>
    </row>
    <row r="6977">
      <c r="P6977" s="42"/>
      <c r="AB6977" s="38"/>
    </row>
    <row r="6978">
      <c r="P6978" s="42"/>
      <c r="AB6978" s="38"/>
    </row>
    <row r="6979">
      <c r="P6979" s="42"/>
      <c r="AB6979" s="38"/>
    </row>
    <row r="6980">
      <c r="P6980" s="42"/>
      <c r="AB6980" s="38"/>
    </row>
    <row r="6981">
      <c r="P6981" s="42"/>
      <c r="AB6981" s="38"/>
    </row>
    <row r="6982">
      <c r="P6982" s="42"/>
      <c r="AB6982" s="38"/>
    </row>
    <row r="6983">
      <c r="P6983" s="42"/>
      <c r="AB6983" s="38"/>
    </row>
    <row r="6984">
      <c r="P6984" s="42"/>
      <c r="AB6984" s="38"/>
    </row>
    <row r="6985">
      <c r="P6985" s="42"/>
      <c r="AB6985" s="38"/>
    </row>
    <row r="6986">
      <c r="P6986" s="42"/>
      <c r="AB6986" s="38"/>
    </row>
    <row r="6987">
      <c r="P6987" s="42"/>
      <c r="AB6987" s="38"/>
    </row>
    <row r="6988">
      <c r="P6988" s="42"/>
      <c r="AB6988" s="38"/>
    </row>
    <row r="6989">
      <c r="P6989" s="42"/>
      <c r="AB6989" s="38"/>
    </row>
    <row r="6990">
      <c r="P6990" s="42"/>
      <c r="AB6990" s="38"/>
    </row>
    <row r="6991">
      <c r="P6991" s="42"/>
      <c r="AB6991" s="38"/>
    </row>
    <row r="6992">
      <c r="P6992" s="42"/>
      <c r="AB6992" s="38"/>
    </row>
    <row r="6993">
      <c r="P6993" s="42"/>
      <c r="AB6993" s="38"/>
    </row>
    <row r="6994">
      <c r="P6994" s="42"/>
      <c r="AB6994" s="38"/>
    </row>
    <row r="6995">
      <c r="P6995" s="42"/>
      <c r="AB6995" s="38"/>
    </row>
    <row r="6996">
      <c r="P6996" s="42"/>
      <c r="AB6996" s="38"/>
    </row>
    <row r="6997">
      <c r="P6997" s="42"/>
      <c r="AB6997" s="38"/>
    </row>
    <row r="6998">
      <c r="P6998" s="42"/>
      <c r="AB6998" s="38"/>
    </row>
    <row r="6999">
      <c r="P6999" s="42"/>
      <c r="AB6999" s="38"/>
    </row>
    <row r="7000">
      <c r="P7000" s="42"/>
      <c r="AB7000" s="38"/>
    </row>
    <row r="7001">
      <c r="P7001" s="42"/>
      <c r="AB7001" s="38"/>
    </row>
    <row r="7002">
      <c r="P7002" s="42"/>
      <c r="AB7002" s="38"/>
    </row>
    <row r="7003">
      <c r="P7003" s="42"/>
      <c r="AB7003" s="38"/>
    </row>
    <row r="7004">
      <c r="P7004" s="42"/>
      <c r="AB7004" s="38"/>
    </row>
    <row r="7005">
      <c r="P7005" s="42"/>
      <c r="AB7005" s="38"/>
    </row>
    <row r="7006">
      <c r="P7006" s="42"/>
      <c r="AB7006" s="38"/>
    </row>
    <row r="7007">
      <c r="P7007" s="42"/>
      <c r="AB7007" s="38"/>
    </row>
    <row r="7008">
      <c r="P7008" s="42"/>
      <c r="AB7008" s="38"/>
    </row>
    <row r="7009">
      <c r="P7009" s="42"/>
      <c r="AB7009" s="38"/>
    </row>
    <row r="7010">
      <c r="P7010" s="42"/>
      <c r="AB7010" s="38"/>
    </row>
    <row r="7011">
      <c r="P7011" s="42"/>
      <c r="AB7011" s="38"/>
    </row>
    <row r="7012">
      <c r="P7012" s="42"/>
      <c r="AB7012" s="38"/>
    </row>
    <row r="7013">
      <c r="P7013" s="42"/>
      <c r="AB7013" s="38"/>
    </row>
    <row r="7014">
      <c r="P7014" s="42"/>
      <c r="AB7014" s="38"/>
    </row>
    <row r="7015">
      <c r="P7015" s="42"/>
      <c r="AB7015" s="38"/>
    </row>
    <row r="7016">
      <c r="P7016" s="42"/>
      <c r="AB7016" s="38"/>
    </row>
    <row r="7017">
      <c r="P7017" s="42"/>
      <c r="AB7017" s="38"/>
    </row>
    <row r="7018">
      <c r="P7018" s="42"/>
      <c r="AB7018" s="38"/>
    </row>
    <row r="7019">
      <c r="P7019" s="42"/>
      <c r="AB7019" s="38"/>
    </row>
    <row r="7020">
      <c r="P7020" s="42"/>
      <c r="AB7020" s="38"/>
    </row>
    <row r="7021">
      <c r="P7021" s="42"/>
      <c r="AB7021" s="38"/>
    </row>
    <row r="7022">
      <c r="P7022" s="42"/>
      <c r="AB7022" s="38"/>
    </row>
    <row r="7023">
      <c r="P7023" s="42"/>
      <c r="AB7023" s="38"/>
    </row>
    <row r="7024">
      <c r="P7024" s="42"/>
      <c r="AB7024" s="38"/>
    </row>
    <row r="7025">
      <c r="P7025" s="42"/>
      <c r="AB7025" s="38"/>
    </row>
    <row r="7026">
      <c r="P7026" s="42"/>
      <c r="AB7026" s="38"/>
    </row>
    <row r="7027">
      <c r="P7027" s="42"/>
      <c r="AB7027" s="38"/>
    </row>
    <row r="7028">
      <c r="P7028" s="42"/>
      <c r="AB7028" s="38"/>
    </row>
    <row r="7029">
      <c r="P7029" s="42"/>
      <c r="AB7029" s="38"/>
    </row>
    <row r="7030">
      <c r="P7030" s="42"/>
      <c r="AB7030" s="38"/>
    </row>
    <row r="7031">
      <c r="P7031" s="42"/>
      <c r="AB7031" s="38"/>
    </row>
    <row r="7032">
      <c r="P7032" s="42"/>
      <c r="AB7032" s="38"/>
    </row>
    <row r="7033">
      <c r="P7033" s="42"/>
      <c r="AB7033" s="38"/>
    </row>
    <row r="7034">
      <c r="P7034" s="42"/>
      <c r="AB7034" s="38"/>
    </row>
    <row r="7035">
      <c r="P7035" s="42"/>
      <c r="AB7035" s="38"/>
    </row>
    <row r="7036">
      <c r="P7036" s="42"/>
      <c r="AB7036" s="38"/>
    </row>
    <row r="7037">
      <c r="P7037" s="42"/>
      <c r="AB7037" s="38"/>
    </row>
    <row r="7038">
      <c r="P7038" s="42"/>
      <c r="AB7038" s="38"/>
    </row>
    <row r="7039">
      <c r="P7039" s="42"/>
      <c r="AB7039" s="38"/>
    </row>
    <row r="7040">
      <c r="P7040" s="42"/>
      <c r="AB7040" s="38"/>
    </row>
    <row r="7041">
      <c r="P7041" s="42"/>
      <c r="AB7041" s="38"/>
    </row>
    <row r="7042">
      <c r="P7042" s="42"/>
      <c r="AB7042" s="38"/>
    </row>
    <row r="7043">
      <c r="P7043" s="42"/>
      <c r="AB7043" s="38"/>
    </row>
    <row r="7044">
      <c r="P7044" s="42"/>
      <c r="AB7044" s="38"/>
    </row>
    <row r="7045">
      <c r="P7045" s="42"/>
      <c r="AB7045" s="38"/>
    </row>
    <row r="7046">
      <c r="P7046" s="42"/>
      <c r="AB7046" s="38"/>
    </row>
    <row r="7047">
      <c r="P7047" s="42"/>
      <c r="AB7047" s="38"/>
    </row>
    <row r="7048">
      <c r="P7048" s="42"/>
      <c r="AB7048" s="38"/>
    </row>
    <row r="7049">
      <c r="P7049" s="42"/>
      <c r="AB7049" s="38"/>
    </row>
    <row r="7050">
      <c r="P7050" s="42"/>
      <c r="AB7050" s="38"/>
    </row>
    <row r="7051">
      <c r="P7051" s="42"/>
      <c r="AB7051" s="38"/>
    </row>
    <row r="7052">
      <c r="P7052" s="42"/>
      <c r="AB7052" s="38"/>
    </row>
    <row r="7053">
      <c r="P7053" s="42"/>
      <c r="AB7053" s="38"/>
    </row>
    <row r="7054">
      <c r="P7054" s="42"/>
      <c r="AB7054" s="38"/>
    </row>
    <row r="7055">
      <c r="P7055" s="42"/>
      <c r="AB7055" s="38"/>
    </row>
    <row r="7056">
      <c r="P7056" s="42"/>
      <c r="AB7056" s="38"/>
    </row>
    <row r="7057">
      <c r="P7057" s="42"/>
      <c r="AB7057" s="38"/>
    </row>
    <row r="7058">
      <c r="P7058" s="42"/>
      <c r="AB7058" s="38"/>
    </row>
    <row r="7059">
      <c r="P7059" s="42"/>
      <c r="AB7059" s="38"/>
    </row>
    <row r="7060">
      <c r="P7060" s="42"/>
      <c r="AB7060" s="38"/>
    </row>
    <row r="7061">
      <c r="P7061" s="42"/>
      <c r="AB7061" s="38"/>
    </row>
    <row r="7062">
      <c r="P7062" s="42"/>
      <c r="AB7062" s="38"/>
    </row>
    <row r="7063">
      <c r="P7063" s="42"/>
      <c r="AB7063" s="38"/>
    </row>
    <row r="7064">
      <c r="P7064" s="42"/>
      <c r="AB7064" s="38"/>
    </row>
    <row r="7065">
      <c r="P7065" s="42"/>
      <c r="AB7065" s="38"/>
    </row>
    <row r="7066">
      <c r="P7066" s="42"/>
      <c r="AB7066" s="38"/>
    </row>
    <row r="7067">
      <c r="P7067" s="42"/>
      <c r="AB7067" s="38"/>
    </row>
    <row r="7068">
      <c r="P7068" s="42"/>
      <c r="AB7068" s="38"/>
    </row>
    <row r="7069">
      <c r="P7069" s="42"/>
      <c r="AB7069" s="38"/>
    </row>
    <row r="7070">
      <c r="P7070" s="42"/>
      <c r="AB7070" s="38"/>
    </row>
    <row r="7071">
      <c r="P7071" s="42"/>
      <c r="AB7071" s="38"/>
    </row>
    <row r="7072">
      <c r="P7072" s="42"/>
      <c r="AB7072" s="38"/>
    </row>
    <row r="7073">
      <c r="P7073" s="42"/>
      <c r="AB7073" s="38"/>
    </row>
    <row r="7074">
      <c r="P7074" s="42"/>
      <c r="AB7074" s="38"/>
    </row>
    <row r="7075">
      <c r="P7075" s="42"/>
      <c r="AB7075" s="38"/>
    </row>
    <row r="7076">
      <c r="P7076" s="42"/>
      <c r="AB7076" s="38"/>
    </row>
    <row r="7077">
      <c r="P7077" s="42"/>
      <c r="AB7077" s="38"/>
    </row>
    <row r="7078">
      <c r="P7078" s="42"/>
      <c r="AB7078" s="38"/>
    </row>
    <row r="7079">
      <c r="P7079" s="42"/>
      <c r="AB7079" s="38"/>
    </row>
    <row r="7080">
      <c r="P7080" s="42"/>
      <c r="AB7080" s="38"/>
    </row>
    <row r="7081">
      <c r="P7081" s="42"/>
      <c r="AB7081" s="38"/>
    </row>
    <row r="7082">
      <c r="P7082" s="42"/>
      <c r="AB7082" s="38"/>
    </row>
    <row r="7083">
      <c r="P7083" s="42"/>
      <c r="AB7083" s="38"/>
    </row>
    <row r="7084">
      <c r="P7084" s="42"/>
      <c r="AB7084" s="38"/>
    </row>
    <row r="7085">
      <c r="P7085" s="42"/>
      <c r="AB7085" s="38"/>
    </row>
    <row r="7086">
      <c r="P7086" s="42"/>
      <c r="AB7086" s="38"/>
    </row>
    <row r="7087">
      <c r="P7087" s="42"/>
      <c r="AB7087" s="38"/>
    </row>
    <row r="7088">
      <c r="P7088" s="42"/>
      <c r="AB7088" s="38"/>
    </row>
    <row r="7089">
      <c r="P7089" s="42"/>
      <c r="AB7089" s="38"/>
    </row>
    <row r="7090">
      <c r="P7090" s="42"/>
      <c r="AB7090" s="38"/>
    </row>
    <row r="7091">
      <c r="P7091" s="42"/>
      <c r="AB7091" s="38"/>
    </row>
    <row r="7092">
      <c r="P7092" s="42"/>
      <c r="AB7092" s="38"/>
    </row>
    <row r="7093">
      <c r="P7093" s="42"/>
      <c r="AB7093" s="38"/>
    </row>
    <row r="7094">
      <c r="P7094" s="42"/>
      <c r="AB7094" s="38"/>
    </row>
    <row r="7095">
      <c r="P7095" s="42"/>
      <c r="AB7095" s="38"/>
    </row>
    <row r="7096">
      <c r="P7096" s="42"/>
      <c r="AB7096" s="38"/>
    </row>
    <row r="7097">
      <c r="P7097" s="42"/>
      <c r="AB7097" s="38"/>
    </row>
    <row r="7098">
      <c r="P7098" s="42"/>
      <c r="AB7098" s="38"/>
    </row>
    <row r="7099">
      <c r="P7099" s="42"/>
      <c r="AB7099" s="38"/>
    </row>
    <row r="7100">
      <c r="P7100" s="42"/>
      <c r="AB7100" s="38"/>
    </row>
    <row r="7101">
      <c r="P7101" s="42"/>
      <c r="AB7101" s="38"/>
    </row>
    <row r="7102">
      <c r="P7102" s="42"/>
      <c r="AB7102" s="38"/>
    </row>
    <row r="7103">
      <c r="P7103" s="42"/>
      <c r="AB7103" s="38"/>
    </row>
    <row r="7104">
      <c r="P7104" s="42"/>
      <c r="AB7104" s="38"/>
    </row>
    <row r="7105">
      <c r="P7105" s="42"/>
      <c r="AB7105" s="38"/>
    </row>
    <row r="7106">
      <c r="P7106" s="42"/>
      <c r="AB7106" s="38"/>
    </row>
    <row r="7107">
      <c r="P7107" s="42"/>
      <c r="AB7107" s="38"/>
    </row>
    <row r="7108">
      <c r="P7108" s="42"/>
      <c r="AB7108" s="38"/>
    </row>
    <row r="7109">
      <c r="P7109" s="42"/>
      <c r="AB7109" s="38"/>
    </row>
    <row r="7110">
      <c r="P7110" s="42"/>
      <c r="AB7110" s="38"/>
    </row>
    <row r="7111">
      <c r="P7111" s="42"/>
      <c r="AB7111" s="38"/>
    </row>
    <row r="7112">
      <c r="P7112" s="42"/>
      <c r="AB7112" s="38"/>
    </row>
    <row r="7113">
      <c r="P7113" s="42"/>
      <c r="AB7113" s="38"/>
    </row>
    <row r="7114">
      <c r="P7114" s="42"/>
      <c r="AB7114" s="38"/>
    </row>
    <row r="7115">
      <c r="P7115" s="42"/>
      <c r="AB7115" s="38"/>
    </row>
    <row r="7116">
      <c r="P7116" s="42"/>
      <c r="AB7116" s="38"/>
    </row>
    <row r="7117">
      <c r="P7117" s="42"/>
      <c r="AB7117" s="38"/>
    </row>
    <row r="7118">
      <c r="P7118" s="42"/>
      <c r="AB7118" s="38"/>
    </row>
    <row r="7119">
      <c r="P7119" s="42"/>
      <c r="AB7119" s="38"/>
    </row>
    <row r="7120">
      <c r="P7120" s="42"/>
      <c r="AB7120" s="38"/>
    </row>
    <row r="7121">
      <c r="P7121" s="42"/>
      <c r="AB7121" s="38"/>
    </row>
    <row r="7122">
      <c r="P7122" s="42"/>
      <c r="AB7122" s="38"/>
    </row>
    <row r="7123">
      <c r="P7123" s="42"/>
      <c r="AB7123" s="38"/>
    </row>
    <row r="7124">
      <c r="P7124" s="42"/>
      <c r="AB7124" s="38"/>
    </row>
    <row r="7125">
      <c r="P7125" s="42"/>
      <c r="AB7125" s="38"/>
    </row>
    <row r="7126">
      <c r="P7126" s="42"/>
      <c r="AB7126" s="38"/>
    </row>
    <row r="7127">
      <c r="P7127" s="42"/>
      <c r="AB7127" s="38"/>
    </row>
    <row r="7128">
      <c r="P7128" s="42"/>
      <c r="AB7128" s="38"/>
    </row>
    <row r="7129">
      <c r="P7129" s="42"/>
      <c r="AB7129" s="38"/>
    </row>
    <row r="7130">
      <c r="P7130" s="42"/>
      <c r="AB7130" s="38"/>
    </row>
    <row r="7131">
      <c r="P7131" s="42"/>
      <c r="AB7131" s="38"/>
    </row>
    <row r="7132">
      <c r="P7132" s="42"/>
      <c r="AB7132" s="38"/>
    </row>
    <row r="7133">
      <c r="P7133" s="42"/>
      <c r="AB7133" s="38"/>
    </row>
    <row r="7134">
      <c r="P7134" s="42"/>
      <c r="AB7134" s="38"/>
    </row>
    <row r="7135">
      <c r="P7135" s="42"/>
      <c r="AB7135" s="38"/>
    </row>
    <row r="7136">
      <c r="P7136" s="42"/>
      <c r="AB7136" s="38"/>
    </row>
    <row r="7137">
      <c r="P7137" s="42"/>
      <c r="AB7137" s="38"/>
    </row>
    <row r="7138">
      <c r="P7138" s="42"/>
      <c r="AB7138" s="38"/>
    </row>
    <row r="7139">
      <c r="P7139" s="42"/>
      <c r="AB7139" s="38"/>
    </row>
    <row r="7140">
      <c r="P7140" s="42"/>
      <c r="AB7140" s="38"/>
    </row>
    <row r="7141">
      <c r="P7141" s="42"/>
      <c r="AB7141" s="38"/>
    </row>
    <row r="7142">
      <c r="P7142" s="42"/>
      <c r="AB7142" s="38"/>
    </row>
    <row r="7143">
      <c r="P7143" s="42"/>
      <c r="AB7143" s="38"/>
    </row>
    <row r="7144">
      <c r="P7144" s="42"/>
      <c r="AB7144" s="38"/>
    </row>
    <row r="7145">
      <c r="P7145" s="42"/>
      <c r="AB7145" s="38"/>
    </row>
    <row r="7146">
      <c r="P7146" s="42"/>
      <c r="AB7146" s="38"/>
    </row>
    <row r="7147">
      <c r="P7147" s="42"/>
      <c r="AB7147" s="38"/>
    </row>
    <row r="7148">
      <c r="P7148" s="42"/>
      <c r="AB7148" s="38"/>
    </row>
    <row r="7149">
      <c r="P7149" s="42"/>
      <c r="AB7149" s="38"/>
    </row>
    <row r="7150">
      <c r="P7150" s="42"/>
      <c r="AB7150" s="38"/>
    </row>
    <row r="7151">
      <c r="P7151" s="42"/>
      <c r="AB7151" s="38"/>
    </row>
    <row r="7152">
      <c r="P7152" s="42"/>
      <c r="AB7152" s="38"/>
    </row>
    <row r="7153">
      <c r="P7153" s="42"/>
      <c r="AB7153" s="38"/>
    </row>
    <row r="7154">
      <c r="P7154" s="42"/>
      <c r="AB7154" s="38"/>
    </row>
    <row r="7155">
      <c r="P7155" s="42"/>
      <c r="AB7155" s="38"/>
    </row>
    <row r="7156">
      <c r="P7156" s="42"/>
      <c r="AB7156" s="38"/>
    </row>
    <row r="7157">
      <c r="P7157" s="42"/>
      <c r="AB7157" s="38"/>
    </row>
    <row r="7158">
      <c r="P7158" s="42"/>
      <c r="AB7158" s="38"/>
    </row>
    <row r="7159">
      <c r="P7159" s="42"/>
      <c r="AB7159" s="38"/>
    </row>
    <row r="7160">
      <c r="P7160" s="42"/>
      <c r="AB7160" s="38"/>
    </row>
    <row r="7161">
      <c r="P7161" s="42"/>
      <c r="AB7161" s="38"/>
    </row>
    <row r="7162">
      <c r="P7162" s="42"/>
      <c r="AB7162" s="38"/>
    </row>
    <row r="7163">
      <c r="P7163" s="42"/>
      <c r="AB7163" s="38"/>
    </row>
    <row r="7164">
      <c r="P7164" s="42"/>
      <c r="AB7164" s="38"/>
    </row>
    <row r="7165">
      <c r="P7165" s="42"/>
      <c r="AB7165" s="38"/>
    </row>
    <row r="7166">
      <c r="P7166" s="42"/>
      <c r="AB7166" s="38"/>
    </row>
    <row r="7167">
      <c r="P7167" s="42"/>
      <c r="AB7167" s="38"/>
    </row>
    <row r="7168">
      <c r="P7168" s="42"/>
      <c r="AB7168" s="38"/>
    </row>
    <row r="7169">
      <c r="P7169" s="42"/>
      <c r="AB7169" s="38"/>
    </row>
    <row r="7170">
      <c r="P7170" s="42"/>
      <c r="AB7170" s="38"/>
    </row>
    <row r="7171">
      <c r="P7171" s="42"/>
      <c r="AB7171" s="38"/>
    </row>
    <row r="7172">
      <c r="P7172" s="42"/>
      <c r="AB7172" s="38"/>
    </row>
    <row r="7173">
      <c r="P7173" s="42"/>
      <c r="AB7173" s="38"/>
    </row>
    <row r="7174">
      <c r="P7174" s="42"/>
      <c r="AB7174" s="38"/>
    </row>
    <row r="7175">
      <c r="P7175" s="42"/>
      <c r="AB7175" s="38"/>
    </row>
    <row r="7176">
      <c r="P7176" s="42"/>
      <c r="AB7176" s="38"/>
    </row>
    <row r="7177">
      <c r="P7177" s="42"/>
      <c r="AB7177" s="38"/>
    </row>
    <row r="7178">
      <c r="P7178" s="42"/>
      <c r="AB7178" s="38"/>
    </row>
    <row r="7179">
      <c r="P7179" s="42"/>
      <c r="AB7179" s="38"/>
    </row>
    <row r="7180">
      <c r="P7180" s="42"/>
      <c r="AB7180" s="38"/>
    </row>
    <row r="7181">
      <c r="P7181" s="42"/>
      <c r="AB7181" s="38"/>
    </row>
    <row r="7182">
      <c r="P7182" s="42"/>
      <c r="AB7182" s="38"/>
    </row>
    <row r="7183">
      <c r="P7183" s="42"/>
      <c r="AB7183" s="38"/>
    </row>
    <row r="7184">
      <c r="P7184" s="42"/>
      <c r="AB7184" s="38"/>
    </row>
    <row r="7185">
      <c r="P7185" s="42"/>
      <c r="AB7185" s="38"/>
    </row>
    <row r="7186">
      <c r="P7186" s="42"/>
      <c r="AB7186" s="38"/>
    </row>
    <row r="7187">
      <c r="P7187" s="42"/>
      <c r="AB7187" s="38"/>
    </row>
    <row r="7188">
      <c r="P7188" s="42"/>
      <c r="AB7188" s="38"/>
    </row>
    <row r="7189">
      <c r="P7189" s="42"/>
      <c r="AB7189" s="38"/>
    </row>
    <row r="7190">
      <c r="P7190" s="42"/>
      <c r="AB7190" s="38"/>
    </row>
    <row r="7191">
      <c r="P7191" s="42"/>
      <c r="AB7191" s="38"/>
    </row>
    <row r="7192">
      <c r="P7192" s="42"/>
      <c r="AB7192" s="38"/>
    </row>
    <row r="7193">
      <c r="P7193" s="42"/>
      <c r="AB7193" s="38"/>
    </row>
    <row r="7194">
      <c r="P7194" s="42"/>
      <c r="AB7194" s="38"/>
    </row>
    <row r="7195">
      <c r="P7195" s="42"/>
      <c r="AB7195" s="38"/>
    </row>
    <row r="7196">
      <c r="P7196" s="42"/>
      <c r="AB7196" s="38"/>
    </row>
    <row r="7197">
      <c r="P7197" s="42"/>
      <c r="AB7197" s="38"/>
    </row>
    <row r="7198">
      <c r="P7198" s="42"/>
      <c r="AB7198" s="38"/>
    </row>
    <row r="7199">
      <c r="P7199" s="42"/>
      <c r="AB7199" s="38"/>
    </row>
    <row r="7200">
      <c r="P7200" s="42"/>
      <c r="AB7200" s="38"/>
    </row>
    <row r="7201">
      <c r="P7201" s="42"/>
      <c r="AB7201" s="38"/>
    </row>
    <row r="7202">
      <c r="P7202" s="42"/>
      <c r="AB7202" s="38"/>
    </row>
    <row r="7203">
      <c r="P7203" s="42"/>
      <c r="AB7203" s="38"/>
    </row>
    <row r="7204">
      <c r="P7204" s="42"/>
      <c r="AB7204" s="38"/>
    </row>
    <row r="7205">
      <c r="P7205" s="42"/>
      <c r="AB7205" s="38"/>
    </row>
    <row r="7206">
      <c r="P7206" s="42"/>
      <c r="AB7206" s="38"/>
    </row>
    <row r="7207">
      <c r="P7207" s="42"/>
      <c r="AB7207" s="38"/>
    </row>
    <row r="7208">
      <c r="P7208" s="42"/>
      <c r="AB7208" s="38"/>
    </row>
    <row r="7209">
      <c r="P7209" s="42"/>
      <c r="AB7209" s="38"/>
    </row>
    <row r="7210">
      <c r="P7210" s="42"/>
      <c r="AB7210" s="38"/>
    </row>
    <row r="7211">
      <c r="P7211" s="42"/>
      <c r="AB7211" s="38"/>
    </row>
    <row r="7212">
      <c r="P7212" s="42"/>
      <c r="AB7212" s="38"/>
    </row>
    <row r="7213">
      <c r="P7213" s="42"/>
      <c r="AB7213" s="38"/>
    </row>
    <row r="7214">
      <c r="P7214" s="42"/>
      <c r="AB7214" s="38"/>
    </row>
    <row r="7215">
      <c r="P7215" s="42"/>
      <c r="AB7215" s="38"/>
    </row>
    <row r="7216">
      <c r="P7216" s="42"/>
      <c r="AB7216" s="38"/>
    </row>
    <row r="7217">
      <c r="P7217" s="42"/>
      <c r="AB7217" s="38"/>
    </row>
    <row r="7218">
      <c r="P7218" s="42"/>
      <c r="AB7218" s="38"/>
    </row>
    <row r="7219">
      <c r="P7219" s="42"/>
      <c r="AB7219" s="38"/>
    </row>
    <row r="7220">
      <c r="P7220" s="42"/>
      <c r="AB7220" s="38"/>
    </row>
    <row r="7221">
      <c r="P7221" s="42"/>
      <c r="AB7221" s="38"/>
    </row>
    <row r="7222">
      <c r="P7222" s="42"/>
      <c r="AB7222" s="38"/>
    </row>
    <row r="7223">
      <c r="P7223" s="42"/>
      <c r="AB7223" s="38"/>
    </row>
    <row r="7224">
      <c r="P7224" s="42"/>
      <c r="AB7224" s="38"/>
    </row>
    <row r="7225">
      <c r="P7225" s="42"/>
      <c r="AB7225" s="38"/>
    </row>
    <row r="7226">
      <c r="P7226" s="42"/>
      <c r="AB7226" s="38"/>
    </row>
    <row r="7227">
      <c r="P7227" s="42"/>
      <c r="AB7227" s="38"/>
    </row>
    <row r="7228">
      <c r="P7228" s="42"/>
      <c r="AB7228" s="38"/>
    </row>
    <row r="7229">
      <c r="P7229" s="42"/>
      <c r="AB7229" s="38"/>
    </row>
    <row r="7230">
      <c r="P7230" s="42"/>
      <c r="AB7230" s="38"/>
    </row>
    <row r="7231">
      <c r="P7231" s="42"/>
      <c r="AB7231" s="38"/>
    </row>
    <row r="7232">
      <c r="P7232" s="42"/>
      <c r="AB7232" s="38"/>
    </row>
    <row r="7233">
      <c r="P7233" s="42"/>
      <c r="AB7233" s="38"/>
    </row>
    <row r="7234">
      <c r="P7234" s="42"/>
      <c r="AB7234" s="38"/>
    </row>
    <row r="7235">
      <c r="P7235" s="42"/>
      <c r="AB7235" s="38"/>
    </row>
    <row r="7236">
      <c r="P7236" s="42"/>
      <c r="AB7236" s="38"/>
    </row>
    <row r="7237">
      <c r="P7237" s="42"/>
      <c r="AB7237" s="38"/>
    </row>
    <row r="7238">
      <c r="P7238" s="42"/>
      <c r="AB7238" s="38"/>
    </row>
    <row r="7239">
      <c r="P7239" s="42"/>
      <c r="AB7239" s="38"/>
    </row>
    <row r="7240">
      <c r="P7240" s="42"/>
      <c r="AB7240" s="38"/>
    </row>
    <row r="7241">
      <c r="P7241" s="42"/>
      <c r="AB7241" s="38"/>
    </row>
    <row r="7242">
      <c r="P7242" s="42"/>
      <c r="AB7242" s="38"/>
    </row>
    <row r="7243">
      <c r="P7243" s="42"/>
      <c r="AB7243" s="38"/>
    </row>
    <row r="7244">
      <c r="P7244" s="42"/>
      <c r="AB7244" s="38"/>
    </row>
    <row r="7245">
      <c r="P7245" s="42"/>
      <c r="AB7245" s="38"/>
    </row>
    <row r="7246">
      <c r="P7246" s="42"/>
      <c r="AB7246" s="38"/>
    </row>
    <row r="7247">
      <c r="P7247" s="42"/>
      <c r="AB7247" s="38"/>
    </row>
    <row r="7248">
      <c r="P7248" s="42"/>
      <c r="AB7248" s="38"/>
    </row>
    <row r="7249">
      <c r="P7249" s="42"/>
      <c r="AB7249" s="38"/>
    </row>
    <row r="7250">
      <c r="P7250" s="42"/>
      <c r="AB7250" s="38"/>
    </row>
    <row r="7251">
      <c r="P7251" s="42"/>
      <c r="AB7251" s="38"/>
    </row>
    <row r="7252">
      <c r="P7252" s="42"/>
      <c r="AB7252" s="38"/>
    </row>
    <row r="7253">
      <c r="P7253" s="42"/>
      <c r="AB7253" s="38"/>
    </row>
    <row r="7254">
      <c r="P7254" s="42"/>
      <c r="AB7254" s="38"/>
    </row>
    <row r="7255">
      <c r="P7255" s="42"/>
      <c r="AB7255" s="38"/>
    </row>
    <row r="7256">
      <c r="P7256" s="42"/>
      <c r="AB7256" s="38"/>
    </row>
    <row r="7257">
      <c r="P7257" s="42"/>
      <c r="AB7257" s="38"/>
    </row>
    <row r="7258">
      <c r="P7258" s="42"/>
      <c r="AB7258" s="38"/>
    </row>
    <row r="7259">
      <c r="P7259" s="42"/>
      <c r="AB7259" s="38"/>
    </row>
    <row r="7260">
      <c r="P7260" s="42"/>
      <c r="AB7260" s="38"/>
    </row>
    <row r="7261">
      <c r="P7261" s="42"/>
      <c r="AB7261" s="38"/>
    </row>
    <row r="7262">
      <c r="P7262" s="42"/>
      <c r="AB7262" s="38"/>
    </row>
    <row r="7263">
      <c r="P7263" s="42"/>
      <c r="AB7263" s="38"/>
    </row>
    <row r="7264">
      <c r="P7264" s="42"/>
      <c r="AB7264" s="38"/>
    </row>
    <row r="7265">
      <c r="P7265" s="42"/>
      <c r="AB7265" s="38"/>
    </row>
    <row r="7266">
      <c r="P7266" s="42"/>
      <c r="AB7266" s="38"/>
    </row>
    <row r="7267">
      <c r="P7267" s="42"/>
      <c r="AB7267" s="38"/>
    </row>
    <row r="7268">
      <c r="P7268" s="42"/>
      <c r="AB7268" s="38"/>
    </row>
    <row r="7269">
      <c r="P7269" s="42"/>
      <c r="AB7269" s="38"/>
    </row>
    <row r="7270">
      <c r="P7270" s="42"/>
      <c r="AB7270" s="38"/>
    </row>
    <row r="7271">
      <c r="P7271" s="42"/>
      <c r="AB7271" s="38"/>
    </row>
    <row r="7272">
      <c r="P7272" s="42"/>
      <c r="AB7272" s="38"/>
    </row>
    <row r="7273">
      <c r="P7273" s="42"/>
      <c r="AB7273" s="38"/>
    </row>
    <row r="7274">
      <c r="P7274" s="42"/>
      <c r="AB7274" s="38"/>
    </row>
    <row r="7275">
      <c r="P7275" s="42"/>
      <c r="AB7275" s="38"/>
    </row>
    <row r="7276">
      <c r="P7276" s="42"/>
      <c r="AB7276" s="38"/>
    </row>
    <row r="7277">
      <c r="P7277" s="42"/>
      <c r="AB7277" s="38"/>
    </row>
    <row r="7278">
      <c r="P7278" s="42"/>
      <c r="AB7278" s="38"/>
    </row>
    <row r="7279">
      <c r="P7279" s="42"/>
      <c r="AB7279" s="38"/>
    </row>
    <row r="7280">
      <c r="P7280" s="42"/>
      <c r="AB7280" s="38"/>
    </row>
    <row r="7281">
      <c r="P7281" s="42"/>
      <c r="AB7281" s="38"/>
    </row>
    <row r="7282">
      <c r="P7282" s="42"/>
      <c r="AB7282" s="38"/>
    </row>
    <row r="7283">
      <c r="P7283" s="42"/>
      <c r="AB7283" s="38"/>
    </row>
    <row r="7284">
      <c r="P7284" s="42"/>
      <c r="AB7284" s="38"/>
    </row>
    <row r="7285">
      <c r="P7285" s="42"/>
      <c r="AB7285" s="38"/>
    </row>
    <row r="7286">
      <c r="P7286" s="42"/>
      <c r="AB7286" s="38"/>
    </row>
    <row r="7287">
      <c r="P7287" s="42"/>
      <c r="AB7287" s="38"/>
    </row>
    <row r="7288">
      <c r="P7288" s="42"/>
      <c r="AB7288" s="38"/>
    </row>
    <row r="7289">
      <c r="P7289" s="42"/>
      <c r="AB7289" s="38"/>
    </row>
    <row r="7290">
      <c r="P7290" s="42"/>
      <c r="AB7290" s="38"/>
    </row>
    <row r="7291">
      <c r="P7291" s="42"/>
      <c r="AB7291" s="38"/>
    </row>
    <row r="7292">
      <c r="P7292" s="42"/>
      <c r="AB7292" s="38"/>
    </row>
    <row r="7293">
      <c r="P7293" s="42"/>
      <c r="AB7293" s="38"/>
    </row>
    <row r="7294">
      <c r="P7294" s="42"/>
      <c r="AB7294" s="38"/>
    </row>
    <row r="7295">
      <c r="P7295" s="42"/>
      <c r="AB7295" s="38"/>
    </row>
    <row r="7296">
      <c r="P7296" s="42"/>
      <c r="AB7296" s="38"/>
    </row>
    <row r="7297">
      <c r="P7297" s="42"/>
      <c r="AB7297" s="38"/>
    </row>
    <row r="7298">
      <c r="P7298" s="42"/>
      <c r="AB7298" s="38"/>
    </row>
    <row r="7299">
      <c r="P7299" s="42"/>
      <c r="AB7299" s="38"/>
    </row>
    <row r="7300">
      <c r="P7300" s="42"/>
      <c r="AB7300" s="38"/>
    </row>
    <row r="7301">
      <c r="P7301" s="42"/>
      <c r="AB7301" s="38"/>
    </row>
    <row r="7302">
      <c r="P7302" s="42"/>
      <c r="AB7302" s="38"/>
    </row>
    <row r="7303">
      <c r="P7303" s="42"/>
      <c r="AB7303" s="38"/>
    </row>
    <row r="7304">
      <c r="P7304" s="42"/>
      <c r="AB7304" s="38"/>
    </row>
    <row r="7305">
      <c r="P7305" s="42"/>
      <c r="AB7305" s="38"/>
    </row>
    <row r="7306">
      <c r="P7306" s="42"/>
      <c r="AB7306" s="38"/>
    </row>
    <row r="7307">
      <c r="P7307" s="42"/>
      <c r="AB7307" s="38"/>
    </row>
    <row r="7308">
      <c r="P7308" s="42"/>
      <c r="AB7308" s="38"/>
    </row>
    <row r="7309">
      <c r="P7309" s="42"/>
      <c r="AB7309" s="38"/>
    </row>
    <row r="7310">
      <c r="P7310" s="42"/>
      <c r="AB7310" s="38"/>
    </row>
    <row r="7311">
      <c r="P7311" s="42"/>
      <c r="AB7311" s="38"/>
    </row>
    <row r="7312">
      <c r="P7312" s="42"/>
      <c r="AB7312" s="38"/>
    </row>
    <row r="7313">
      <c r="P7313" s="42"/>
      <c r="AB7313" s="38"/>
    </row>
    <row r="7314">
      <c r="P7314" s="42"/>
      <c r="AB7314" s="38"/>
    </row>
    <row r="7315">
      <c r="P7315" s="42"/>
      <c r="AB7315" s="38"/>
    </row>
    <row r="7316">
      <c r="P7316" s="42"/>
      <c r="AB7316" s="38"/>
    </row>
    <row r="7317">
      <c r="P7317" s="42"/>
      <c r="AB7317" s="38"/>
    </row>
    <row r="7318">
      <c r="P7318" s="42"/>
      <c r="AB7318" s="38"/>
    </row>
    <row r="7319">
      <c r="P7319" s="42"/>
      <c r="AB7319" s="38"/>
    </row>
    <row r="7320">
      <c r="P7320" s="42"/>
      <c r="AB7320" s="38"/>
    </row>
    <row r="7321">
      <c r="P7321" s="42"/>
      <c r="AB7321" s="38"/>
    </row>
    <row r="7322">
      <c r="P7322" s="42"/>
      <c r="AB7322" s="38"/>
    </row>
    <row r="7323">
      <c r="P7323" s="42"/>
      <c r="AB7323" s="38"/>
    </row>
    <row r="7324">
      <c r="P7324" s="42"/>
      <c r="AB7324" s="38"/>
    </row>
    <row r="7325">
      <c r="P7325" s="42"/>
      <c r="AB7325" s="38"/>
    </row>
    <row r="7326">
      <c r="P7326" s="42"/>
      <c r="AB7326" s="38"/>
    </row>
    <row r="7327">
      <c r="P7327" s="42"/>
      <c r="AB7327" s="38"/>
    </row>
    <row r="7328">
      <c r="P7328" s="42"/>
      <c r="AB7328" s="38"/>
    </row>
    <row r="7329">
      <c r="P7329" s="42"/>
      <c r="AB7329" s="38"/>
    </row>
    <row r="7330">
      <c r="P7330" s="42"/>
      <c r="AB7330" s="38"/>
    </row>
    <row r="7331">
      <c r="P7331" s="42"/>
      <c r="AB7331" s="38"/>
    </row>
    <row r="7332">
      <c r="P7332" s="42"/>
      <c r="AB7332" s="38"/>
    </row>
    <row r="7333">
      <c r="P7333" s="42"/>
      <c r="AB7333" s="38"/>
    </row>
    <row r="7334">
      <c r="P7334" s="42"/>
      <c r="AB7334" s="38"/>
    </row>
    <row r="7335">
      <c r="P7335" s="42"/>
      <c r="AB7335" s="38"/>
    </row>
    <row r="7336">
      <c r="P7336" s="42"/>
      <c r="AB7336" s="38"/>
    </row>
    <row r="7337">
      <c r="P7337" s="42"/>
      <c r="AB7337" s="38"/>
    </row>
    <row r="7338">
      <c r="P7338" s="42"/>
      <c r="AB7338" s="38"/>
    </row>
    <row r="7339">
      <c r="P7339" s="42"/>
      <c r="AB7339" s="38"/>
    </row>
    <row r="7340">
      <c r="P7340" s="42"/>
      <c r="AB7340" s="38"/>
    </row>
    <row r="7341">
      <c r="P7341" s="42"/>
      <c r="AB7341" s="38"/>
    </row>
    <row r="7342">
      <c r="P7342" s="42"/>
      <c r="AB7342" s="38"/>
    </row>
    <row r="7343">
      <c r="P7343" s="42"/>
      <c r="AB7343" s="38"/>
    </row>
    <row r="7344">
      <c r="P7344" s="42"/>
      <c r="AB7344" s="38"/>
    </row>
    <row r="7345">
      <c r="P7345" s="42"/>
      <c r="AB7345" s="38"/>
    </row>
    <row r="7346">
      <c r="P7346" s="42"/>
      <c r="AB7346" s="38"/>
    </row>
    <row r="7347">
      <c r="P7347" s="42"/>
      <c r="AB7347" s="38"/>
    </row>
    <row r="7348">
      <c r="P7348" s="42"/>
      <c r="AB7348" s="38"/>
    </row>
    <row r="7349">
      <c r="P7349" s="42"/>
      <c r="AB7349" s="38"/>
    </row>
    <row r="7350">
      <c r="P7350" s="42"/>
      <c r="AB7350" s="38"/>
    </row>
    <row r="7351">
      <c r="P7351" s="42"/>
      <c r="AB7351" s="38"/>
    </row>
    <row r="7352">
      <c r="P7352" s="42"/>
      <c r="AB7352" s="38"/>
    </row>
    <row r="7353">
      <c r="P7353" s="42"/>
      <c r="AB7353" s="38"/>
    </row>
    <row r="7354">
      <c r="P7354" s="42"/>
      <c r="AB7354" s="38"/>
    </row>
    <row r="7355">
      <c r="P7355" s="42"/>
      <c r="AB7355" s="38"/>
    </row>
    <row r="7356">
      <c r="P7356" s="42"/>
      <c r="AB7356" s="38"/>
    </row>
    <row r="7357">
      <c r="P7357" s="42"/>
      <c r="AB7357" s="38"/>
    </row>
    <row r="7358">
      <c r="P7358" s="42"/>
      <c r="AB7358" s="38"/>
    </row>
    <row r="7359">
      <c r="P7359" s="42"/>
      <c r="AB7359" s="38"/>
    </row>
    <row r="7360">
      <c r="P7360" s="42"/>
      <c r="AB7360" s="38"/>
    </row>
    <row r="7361">
      <c r="P7361" s="42"/>
      <c r="AB7361" s="38"/>
    </row>
    <row r="7362">
      <c r="P7362" s="42"/>
      <c r="AB7362" s="38"/>
    </row>
    <row r="7363">
      <c r="P7363" s="42"/>
      <c r="AB7363" s="38"/>
    </row>
    <row r="7364">
      <c r="P7364" s="42"/>
      <c r="AB7364" s="38"/>
    </row>
    <row r="7365">
      <c r="P7365" s="42"/>
      <c r="AB7365" s="38"/>
    </row>
    <row r="7366">
      <c r="P7366" s="42"/>
      <c r="AB7366" s="38"/>
    </row>
    <row r="7367">
      <c r="P7367" s="42"/>
      <c r="AB7367" s="38"/>
    </row>
    <row r="7368">
      <c r="P7368" s="42"/>
      <c r="AB7368" s="38"/>
    </row>
    <row r="7369">
      <c r="P7369" s="42"/>
      <c r="AB7369" s="38"/>
    </row>
    <row r="7370">
      <c r="P7370" s="42"/>
      <c r="AB7370" s="38"/>
    </row>
    <row r="7371">
      <c r="P7371" s="42"/>
      <c r="AB7371" s="38"/>
    </row>
    <row r="7372">
      <c r="P7372" s="42"/>
      <c r="AB7372" s="38"/>
    </row>
    <row r="7373">
      <c r="P7373" s="42"/>
      <c r="AB7373" s="38"/>
    </row>
    <row r="7374">
      <c r="P7374" s="42"/>
      <c r="AB7374" s="38"/>
    </row>
    <row r="7375">
      <c r="P7375" s="42"/>
      <c r="AB7375" s="38"/>
    </row>
    <row r="7376">
      <c r="P7376" s="42"/>
      <c r="AB7376" s="38"/>
    </row>
    <row r="7377">
      <c r="P7377" s="42"/>
      <c r="AB7377" s="38"/>
    </row>
    <row r="7378">
      <c r="P7378" s="42"/>
      <c r="AB7378" s="38"/>
    </row>
    <row r="7379">
      <c r="P7379" s="42"/>
      <c r="AB7379" s="38"/>
    </row>
    <row r="7380">
      <c r="P7380" s="42"/>
      <c r="AB7380" s="38"/>
    </row>
    <row r="7381">
      <c r="P7381" s="42"/>
      <c r="AB7381" s="38"/>
    </row>
    <row r="7382">
      <c r="P7382" s="42"/>
      <c r="AB7382" s="38"/>
    </row>
    <row r="7383">
      <c r="P7383" s="42"/>
      <c r="AB7383" s="38"/>
    </row>
    <row r="7384">
      <c r="P7384" s="42"/>
      <c r="AB7384" s="38"/>
    </row>
    <row r="7385">
      <c r="P7385" s="42"/>
      <c r="AB7385" s="38"/>
    </row>
    <row r="7386">
      <c r="P7386" s="42"/>
      <c r="AB7386" s="38"/>
    </row>
    <row r="7387">
      <c r="P7387" s="42"/>
      <c r="AB7387" s="38"/>
    </row>
    <row r="7388">
      <c r="P7388" s="42"/>
      <c r="AB7388" s="38"/>
    </row>
    <row r="7389">
      <c r="P7389" s="42"/>
      <c r="AB7389" s="38"/>
    </row>
    <row r="7390">
      <c r="P7390" s="42"/>
      <c r="AB7390" s="38"/>
    </row>
    <row r="7391">
      <c r="P7391" s="42"/>
      <c r="AB7391" s="38"/>
    </row>
    <row r="7392">
      <c r="P7392" s="42"/>
      <c r="AB7392" s="38"/>
    </row>
    <row r="7393">
      <c r="P7393" s="42"/>
      <c r="AB7393" s="38"/>
    </row>
    <row r="7394">
      <c r="P7394" s="42"/>
      <c r="AB7394" s="38"/>
    </row>
    <row r="7395">
      <c r="P7395" s="42"/>
      <c r="AB7395" s="38"/>
    </row>
    <row r="7396">
      <c r="P7396" s="42"/>
      <c r="AB7396" s="38"/>
    </row>
    <row r="7397">
      <c r="P7397" s="42"/>
      <c r="AB7397" s="38"/>
    </row>
    <row r="7398">
      <c r="P7398" s="42"/>
      <c r="AB7398" s="38"/>
    </row>
    <row r="7399">
      <c r="P7399" s="42"/>
      <c r="AB7399" s="38"/>
    </row>
    <row r="7400">
      <c r="P7400" s="42"/>
      <c r="AB7400" s="38"/>
    </row>
    <row r="7401">
      <c r="P7401" s="42"/>
      <c r="AB7401" s="38"/>
    </row>
    <row r="7402">
      <c r="P7402" s="42"/>
      <c r="AB7402" s="38"/>
    </row>
    <row r="7403">
      <c r="P7403" s="42"/>
      <c r="AB7403" s="38"/>
    </row>
    <row r="7404">
      <c r="P7404" s="42"/>
      <c r="AB7404" s="38"/>
    </row>
    <row r="7405">
      <c r="P7405" s="42"/>
      <c r="AB7405" s="38"/>
    </row>
    <row r="7406">
      <c r="P7406" s="42"/>
      <c r="AB7406" s="38"/>
    </row>
    <row r="7407">
      <c r="P7407" s="42"/>
      <c r="AB7407" s="38"/>
    </row>
    <row r="7408">
      <c r="P7408" s="42"/>
      <c r="AB7408" s="38"/>
    </row>
    <row r="7409">
      <c r="P7409" s="42"/>
      <c r="AB7409" s="38"/>
    </row>
    <row r="7410">
      <c r="P7410" s="42"/>
      <c r="AB7410" s="38"/>
    </row>
    <row r="7411">
      <c r="P7411" s="42"/>
      <c r="AB7411" s="38"/>
    </row>
    <row r="7412">
      <c r="P7412" s="42"/>
      <c r="AB7412" s="38"/>
    </row>
    <row r="7413">
      <c r="P7413" s="42"/>
      <c r="AB7413" s="38"/>
    </row>
    <row r="7414">
      <c r="P7414" s="42"/>
      <c r="AB7414" s="38"/>
    </row>
    <row r="7415">
      <c r="P7415" s="42"/>
      <c r="AB7415" s="38"/>
    </row>
    <row r="7416">
      <c r="P7416" s="42"/>
      <c r="AB7416" s="38"/>
    </row>
    <row r="7417">
      <c r="P7417" s="42"/>
      <c r="AB7417" s="38"/>
    </row>
    <row r="7418">
      <c r="P7418" s="42"/>
      <c r="AB7418" s="38"/>
    </row>
    <row r="7419">
      <c r="P7419" s="42"/>
      <c r="AB7419" s="38"/>
    </row>
    <row r="7420">
      <c r="P7420" s="42"/>
      <c r="AB7420" s="38"/>
    </row>
    <row r="7421">
      <c r="P7421" s="42"/>
      <c r="AB7421" s="38"/>
    </row>
    <row r="7422">
      <c r="P7422" s="42"/>
      <c r="AB7422" s="38"/>
    </row>
    <row r="7423">
      <c r="P7423" s="42"/>
      <c r="AB7423" s="38"/>
    </row>
    <row r="7424">
      <c r="P7424" s="42"/>
      <c r="AB7424" s="38"/>
    </row>
    <row r="7425">
      <c r="P7425" s="42"/>
      <c r="AB7425" s="38"/>
    </row>
    <row r="7426">
      <c r="P7426" s="42"/>
      <c r="AB7426" s="38"/>
    </row>
    <row r="7427">
      <c r="P7427" s="42"/>
      <c r="AB7427" s="38"/>
    </row>
    <row r="7428">
      <c r="P7428" s="42"/>
      <c r="AB7428" s="38"/>
    </row>
    <row r="7429">
      <c r="P7429" s="42"/>
      <c r="AB7429" s="38"/>
    </row>
    <row r="7430">
      <c r="P7430" s="42"/>
      <c r="AB7430" s="38"/>
    </row>
    <row r="7431">
      <c r="P7431" s="42"/>
      <c r="AB7431" s="38"/>
    </row>
    <row r="7432">
      <c r="P7432" s="42"/>
      <c r="AB7432" s="38"/>
    </row>
    <row r="7433">
      <c r="P7433" s="42"/>
      <c r="AB7433" s="38"/>
    </row>
    <row r="7434">
      <c r="P7434" s="42"/>
      <c r="AB7434" s="38"/>
    </row>
    <row r="7435">
      <c r="P7435" s="42"/>
      <c r="AB7435" s="38"/>
    </row>
    <row r="7436">
      <c r="P7436" s="42"/>
      <c r="AB7436" s="38"/>
    </row>
    <row r="7437">
      <c r="P7437" s="42"/>
      <c r="AB7437" s="38"/>
    </row>
    <row r="7438">
      <c r="P7438" s="42"/>
      <c r="AB7438" s="38"/>
    </row>
    <row r="7439">
      <c r="P7439" s="42"/>
      <c r="AB7439" s="38"/>
    </row>
    <row r="7440">
      <c r="P7440" s="42"/>
      <c r="AB7440" s="38"/>
    </row>
    <row r="7441">
      <c r="P7441" s="42"/>
      <c r="AB7441" s="38"/>
    </row>
    <row r="7442">
      <c r="P7442" s="42"/>
      <c r="AB7442" s="38"/>
    </row>
    <row r="7443">
      <c r="P7443" s="42"/>
      <c r="AB7443" s="38"/>
    </row>
    <row r="7444">
      <c r="P7444" s="42"/>
      <c r="AB7444" s="38"/>
    </row>
    <row r="7445">
      <c r="P7445" s="42"/>
      <c r="AB7445" s="38"/>
    </row>
    <row r="7446">
      <c r="P7446" s="42"/>
      <c r="AB7446" s="38"/>
    </row>
    <row r="7447">
      <c r="P7447" s="42"/>
      <c r="AB7447" s="38"/>
    </row>
    <row r="7448">
      <c r="P7448" s="42"/>
      <c r="AB7448" s="38"/>
    </row>
    <row r="7449">
      <c r="P7449" s="42"/>
      <c r="AB7449" s="38"/>
    </row>
    <row r="7450">
      <c r="P7450" s="42"/>
      <c r="AB7450" s="38"/>
    </row>
    <row r="7451">
      <c r="P7451" s="42"/>
      <c r="AB7451" s="38"/>
    </row>
    <row r="7452">
      <c r="P7452" s="42"/>
      <c r="AB7452" s="38"/>
    </row>
    <row r="7453">
      <c r="P7453" s="42"/>
      <c r="AB7453" s="38"/>
    </row>
    <row r="7454">
      <c r="P7454" s="42"/>
      <c r="AB7454" s="38"/>
    </row>
    <row r="7455">
      <c r="P7455" s="42"/>
      <c r="AB7455" s="38"/>
    </row>
    <row r="7456">
      <c r="P7456" s="42"/>
      <c r="AB7456" s="38"/>
    </row>
    <row r="7457">
      <c r="P7457" s="42"/>
      <c r="AB7457" s="38"/>
    </row>
    <row r="7458">
      <c r="P7458" s="42"/>
      <c r="AB7458" s="38"/>
    </row>
    <row r="7459">
      <c r="P7459" s="42"/>
      <c r="AB7459" s="38"/>
    </row>
    <row r="7460">
      <c r="P7460" s="42"/>
      <c r="AB7460" s="38"/>
    </row>
    <row r="7461">
      <c r="P7461" s="42"/>
      <c r="AB7461" s="38"/>
    </row>
    <row r="7462">
      <c r="P7462" s="42"/>
      <c r="AB7462" s="38"/>
    </row>
    <row r="7463">
      <c r="P7463" s="42"/>
      <c r="AB7463" s="38"/>
    </row>
    <row r="7464">
      <c r="P7464" s="42"/>
      <c r="AB7464" s="38"/>
    </row>
    <row r="7465">
      <c r="P7465" s="42"/>
      <c r="AB7465" s="38"/>
    </row>
    <row r="7466">
      <c r="P7466" s="42"/>
      <c r="AB7466" s="38"/>
    </row>
    <row r="7467">
      <c r="P7467" s="42"/>
      <c r="AB7467" s="38"/>
    </row>
    <row r="7468">
      <c r="P7468" s="42"/>
      <c r="AB7468" s="38"/>
    </row>
    <row r="7469">
      <c r="P7469" s="42"/>
      <c r="AB7469" s="38"/>
    </row>
    <row r="7470">
      <c r="P7470" s="42"/>
      <c r="AB7470" s="38"/>
    </row>
    <row r="7471">
      <c r="P7471" s="42"/>
      <c r="AB7471" s="38"/>
    </row>
    <row r="7472">
      <c r="P7472" s="42"/>
      <c r="AB7472" s="38"/>
    </row>
    <row r="7473">
      <c r="P7473" s="42"/>
      <c r="AB7473" s="38"/>
    </row>
    <row r="7474">
      <c r="P7474" s="42"/>
      <c r="AB7474" s="38"/>
    </row>
    <row r="7475">
      <c r="P7475" s="42"/>
      <c r="AB7475" s="38"/>
    </row>
    <row r="7476">
      <c r="P7476" s="42"/>
      <c r="AB7476" s="38"/>
    </row>
    <row r="7477">
      <c r="P7477" s="42"/>
      <c r="AB7477" s="38"/>
    </row>
    <row r="7478">
      <c r="P7478" s="42"/>
      <c r="AB7478" s="38"/>
    </row>
    <row r="7479">
      <c r="P7479" s="42"/>
      <c r="AB7479" s="38"/>
    </row>
    <row r="7480">
      <c r="P7480" s="42"/>
      <c r="AB7480" s="38"/>
    </row>
    <row r="7481">
      <c r="P7481" s="42"/>
      <c r="AB7481" s="38"/>
    </row>
    <row r="7482">
      <c r="P7482" s="42"/>
      <c r="AB7482" s="38"/>
    </row>
    <row r="7483">
      <c r="P7483" s="42"/>
      <c r="AB7483" s="38"/>
    </row>
    <row r="7484">
      <c r="P7484" s="42"/>
      <c r="AB7484" s="38"/>
    </row>
    <row r="7485">
      <c r="P7485" s="42"/>
      <c r="AB7485" s="38"/>
    </row>
    <row r="7486">
      <c r="P7486" s="42"/>
      <c r="AB7486" s="38"/>
    </row>
    <row r="7487">
      <c r="P7487" s="42"/>
      <c r="AB7487" s="38"/>
    </row>
    <row r="7488">
      <c r="P7488" s="42"/>
      <c r="AB7488" s="38"/>
    </row>
    <row r="7489">
      <c r="P7489" s="42"/>
      <c r="AB7489" s="38"/>
    </row>
    <row r="7490">
      <c r="P7490" s="42"/>
      <c r="AB7490" s="38"/>
    </row>
    <row r="7491">
      <c r="P7491" s="42"/>
      <c r="AB7491" s="38"/>
    </row>
    <row r="7492">
      <c r="P7492" s="42"/>
      <c r="AB7492" s="38"/>
    </row>
    <row r="7493">
      <c r="P7493" s="42"/>
      <c r="AB7493" s="38"/>
    </row>
    <row r="7494">
      <c r="P7494" s="42"/>
      <c r="AB7494" s="38"/>
    </row>
    <row r="7495">
      <c r="P7495" s="42"/>
      <c r="AB7495" s="38"/>
    </row>
    <row r="7496">
      <c r="P7496" s="42"/>
      <c r="AB7496" s="38"/>
    </row>
    <row r="7497">
      <c r="P7497" s="42"/>
      <c r="AB7497" s="38"/>
    </row>
    <row r="7498">
      <c r="P7498" s="42"/>
      <c r="AB7498" s="38"/>
    </row>
    <row r="7499">
      <c r="P7499" s="42"/>
      <c r="AB7499" s="38"/>
    </row>
    <row r="7500">
      <c r="P7500" s="42"/>
      <c r="AB7500" s="38"/>
    </row>
    <row r="7501">
      <c r="P7501" s="42"/>
      <c r="AB7501" s="38"/>
    </row>
    <row r="7502">
      <c r="P7502" s="42"/>
      <c r="AB7502" s="38"/>
    </row>
    <row r="7503">
      <c r="P7503" s="42"/>
      <c r="AB7503" s="38"/>
    </row>
    <row r="7504">
      <c r="P7504" s="42"/>
      <c r="AB7504" s="38"/>
    </row>
    <row r="7505">
      <c r="P7505" s="42"/>
      <c r="AB7505" s="38"/>
    </row>
    <row r="7506">
      <c r="P7506" s="42"/>
      <c r="AB7506" s="38"/>
    </row>
    <row r="7507">
      <c r="P7507" s="42"/>
      <c r="AB7507" s="38"/>
    </row>
    <row r="7508">
      <c r="P7508" s="42"/>
      <c r="AB7508" s="38"/>
    </row>
    <row r="7509">
      <c r="P7509" s="42"/>
      <c r="AB7509" s="38"/>
    </row>
    <row r="7510">
      <c r="P7510" s="42"/>
      <c r="AB7510" s="38"/>
    </row>
    <row r="7511">
      <c r="P7511" s="42"/>
      <c r="AB7511" s="38"/>
    </row>
    <row r="7512">
      <c r="P7512" s="42"/>
      <c r="AB7512" s="38"/>
    </row>
    <row r="7513">
      <c r="P7513" s="42"/>
      <c r="AB7513" s="38"/>
    </row>
    <row r="7514">
      <c r="P7514" s="42"/>
      <c r="AB7514" s="38"/>
    </row>
    <row r="7515">
      <c r="P7515" s="42"/>
      <c r="AB7515" s="38"/>
    </row>
    <row r="7516">
      <c r="P7516" s="42"/>
      <c r="AB7516" s="38"/>
    </row>
    <row r="7517">
      <c r="P7517" s="42"/>
      <c r="AB7517" s="38"/>
    </row>
    <row r="7518">
      <c r="P7518" s="42"/>
      <c r="AB7518" s="38"/>
    </row>
    <row r="7519">
      <c r="P7519" s="42"/>
      <c r="AB7519" s="38"/>
    </row>
    <row r="7520">
      <c r="P7520" s="42"/>
      <c r="AB7520" s="38"/>
    </row>
    <row r="7521">
      <c r="P7521" s="42"/>
      <c r="AB7521" s="38"/>
    </row>
    <row r="7522">
      <c r="P7522" s="42"/>
      <c r="AB7522" s="38"/>
    </row>
    <row r="7523">
      <c r="P7523" s="42"/>
      <c r="AB7523" s="38"/>
    </row>
    <row r="7524">
      <c r="P7524" s="42"/>
      <c r="AB7524" s="38"/>
    </row>
    <row r="7525">
      <c r="P7525" s="42"/>
      <c r="AB7525" s="38"/>
    </row>
    <row r="7526">
      <c r="P7526" s="42"/>
      <c r="AB7526" s="38"/>
    </row>
    <row r="7527">
      <c r="P7527" s="42"/>
      <c r="AB7527" s="38"/>
    </row>
    <row r="7528">
      <c r="P7528" s="42"/>
      <c r="AB7528" s="38"/>
    </row>
    <row r="7529">
      <c r="P7529" s="42"/>
      <c r="AB7529" s="38"/>
    </row>
    <row r="7530">
      <c r="P7530" s="42"/>
      <c r="AB7530" s="38"/>
    </row>
    <row r="7531">
      <c r="P7531" s="42"/>
      <c r="AB7531" s="38"/>
    </row>
    <row r="7532">
      <c r="P7532" s="42"/>
      <c r="AB7532" s="38"/>
    </row>
    <row r="7533">
      <c r="P7533" s="42"/>
      <c r="AB7533" s="38"/>
    </row>
    <row r="7534">
      <c r="P7534" s="42"/>
      <c r="AB7534" s="38"/>
    </row>
    <row r="7535">
      <c r="P7535" s="42"/>
      <c r="AB7535" s="38"/>
    </row>
    <row r="7536">
      <c r="P7536" s="42"/>
      <c r="AB7536" s="38"/>
    </row>
    <row r="7537">
      <c r="P7537" s="42"/>
      <c r="AB7537" s="38"/>
    </row>
    <row r="7538">
      <c r="P7538" s="42"/>
      <c r="AB7538" s="38"/>
    </row>
    <row r="7539">
      <c r="P7539" s="42"/>
      <c r="AB7539" s="38"/>
    </row>
    <row r="7540">
      <c r="P7540" s="42"/>
      <c r="AB7540" s="38"/>
    </row>
    <row r="7541">
      <c r="P7541" s="42"/>
      <c r="AB7541" s="38"/>
    </row>
    <row r="7542">
      <c r="P7542" s="42"/>
      <c r="AB7542" s="38"/>
    </row>
    <row r="7543">
      <c r="P7543" s="42"/>
      <c r="AB7543" s="38"/>
    </row>
    <row r="7544">
      <c r="P7544" s="42"/>
      <c r="AB7544" s="38"/>
    </row>
    <row r="7545">
      <c r="P7545" s="42"/>
      <c r="AB7545" s="38"/>
    </row>
    <row r="7546">
      <c r="P7546" s="42"/>
      <c r="AB7546" s="38"/>
    </row>
    <row r="7547">
      <c r="P7547" s="42"/>
      <c r="AB7547" s="38"/>
    </row>
    <row r="7548">
      <c r="P7548" s="42"/>
      <c r="AB7548" s="38"/>
    </row>
    <row r="7549">
      <c r="P7549" s="42"/>
      <c r="AB7549" s="38"/>
    </row>
    <row r="7550">
      <c r="P7550" s="42"/>
      <c r="AB7550" s="38"/>
    </row>
    <row r="7551">
      <c r="P7551" s="42"/>
      <c r="AB7551" s="38"/>
    </row>
    <row r="7552">
      <c r="P7552" s="42"/>
      <c r="AB7552" s="38"/>
    </row>
    <row r="7553">
      <c r="P7553" s="42"/>
      <c r="AB7553" s="38"/>
    </row>
    <row r="7554">
      <c r="P7554" s="42"/>
      <c r="AB7554" s="38"/>
    </row>
    <row r="7555">
      <c r="P7555" s="42"/>
      <c r="AB7555" s="38"/>
    </row>
    <row r="7556">
      <c r="P7556" s="42"/>
      <c r="AB7556" s="38"/>
    </row>
    <row r="7557">
      <c r="P7557" s="42"/>
      <c r="AB7557" s="38"/>
    </row>
    <row r="7558">
      <c r="P7558" s="42"/>
      <c r="AB7558" s="38"/>
    </row>
    <row r="7559">
      <c r="P7559" s="42"/>
      <c r="AB7559" s="38"/>
    </row>
    <row r="7560">
      <c r="P7560" s="42"/>
      <c r="AB7560" s="38"/>
    </row>
    <row r="7561">
      <c r="P7561" s="42"/>
      <c r="AB7561" s="38"/>
    </row>
    <row r="7562">
      <c r="P7562" s="42"/>
      <c r="AB7562" s="38"/>
    </row>
    <row r="7563">
      <c r="P7563" s="42"/>
      <c r="AB7563" s="38"/>
    </row>
    <row r="7564">
      <c r="P7564" s="42"/>
      <c r="AB7564" s="38"/>
    </row>
    <row r="7565">
      <c r="P7565" s="42"/>
      <c r="AB7565" s="38"/>
    </row>
    <row r="7566">
      <c r="P7566" s="42"/>
      <c r="AB7566" s="38"/>
    </row>
    <row r="7567">
      <c r="P7567" s="42"/>
      <c r="AB7567" s="38"/>
    </row>
    <row r="7568">
      <c r="P7568" s="42"/>
      <c r="AB7568" s="38"/>
    </row>
    <row r="7569">
      <c r="P7569" s="42"/>
      <c r="AB7569" s="38"/>
    </row>
    <row r="7570">
      <c r="P7570" s="42"/>
      <c r="AB7570" s="38"/>
    </row>
    <row r="7571">
      <c r="P7571" s="42"/>
      <c r="AB7571" s="38"/>
    </row>
    <row r="7572">
      <c r="P7572" s="42"/>
      <c r="AB7572" s="38"/>
    </row>
    <row r="7573">
      <c r="P7573" s="42"/>
      <c r="AB7573" s="38"/>
    </row>
    <row r="7574">
      <c r="P7574" s="42"/>
      <c r="AB7574" s="38"/>
    </row>
    <row r="7575">
      <c r="P7575" s="42"/>
      <c r="AB7575" s="38"/>
    </row>
    <row r="7576">
      <c r="P7576" s="42"/>
      <c r="AB7576" s="38"/>
    </row>
    <row r="7577">
      <c r="P7577" s="42"/>
      <c r="AB7577" s="38"/>
    </row>
    <row r="7578">
      <c r="P7578" s="42"/>
      <c r="AB7578" s="38"/>
    </row>
    <row r="7579">
      <c r="P7579" s="42"/>
      <c r="AB7579" s="38"/>
    </row>
    <row r="7580">
      <c r="P7580" s="42"/>
      <c r="AB7580" s="38"/>
    </row>
    <row r="7581">
      <c r="P7581" s="42"/>
      <c r="AB7581" s="38"/>
    </row>
    <row r="7582">
      <c r="P7582" s="42"/>
      <c r="AB7582" s="38"/>
    </row>
    <row r="7583">
      <c r="P7583" s="42"/>
      <c r="AB7583" s="38"/>
    </row>
    <row r="7584">
      <c r="P7584" s="42"/>
      <c r="AB7584" s="38"/>
    </row>
    <row r="7585">
      <c r="P7585" s="42"/>
      <c r="AB7585" s="38"/>
    </row>
    <row r="7586">
      <c r="P7586" s="42"/>
      <c r="AB7586" s="38"/>
    </row>
    <row r="7587">
      <c r="P7587" s="42"/>
      <c r="AB7587" s="38"/>
    </row>
    <row r="7588">
      <c r="P7588" s="42"/>
      <c r="AB7588" s="38"/>
    </row>
    <row r="7589">
      <c r="P7589" s="42"/>
      <c r="AB7589" s="38"/>
    </row>
    <row r="7590">
      <c r="P7590" s="42"/>
      <c r="AB7590" s="38"/>
    </row>
    <row r="7591">
      <c r="P7591" s="42"/>
      <c r="AB7591" s="38"/>
    </row>
    <row r="7592">
      <c r="P7592" s="42"/>
      <c r="AB7592" s="38"/>
    </row>
    <row r="7593">
      <c r="P7593" s="42"/>
      <c r="AB7593" s="38"/>
    </row>
    <row r="7594">
      <c r="P7594" s="42"/>
      <c r="AB7594" s="38"/>
    </row>
    <row r="7595">
      <c r="P7595" s="42"/>
      <c r="AB7595" s="38"/>
    </row>
    <row r="7596">
      <c r="P7596" s="42"/>
      <c r="AB7596" s="38"/>
    </row>
    <row r="7597">
      <c r="P7597" s="42"/>
      <c r="AB7597" s="38"/>
    </row>
    <row r="7598">
      <c r="P7598" s="42"/>
      <c r="AB7598" s="38"/>
    </row>
    <row r="7599">
      <c r="P7599" s="42"/>
      <c r="AB7599" s="38"/>
    </row>
    <row r="7600">
      <c r="P7600" s="42"/>
      <c r="AB7600" s="38"/>
    </row>
    <row r="7601">
      <c r="P7601" s="42"/>
      <c r="AB7601" s="38"/>
    </row>
    <row r="7602">
      <c r="P7602" s="42"/>
      <c r="AB7602" s="38"/>
    </row>
    <row r="7603">
      <c r="P7603" s="42"/>
      <c r="AB7603" s="38"/>
    </row>
    <row r="7604">
      <c r="P7604" s="42"/>
      <c r="AB7604" s="38"/>
    </row>
    <row r="7605">
      <c r="P7605" s="42"/>
      <c r="AB7605" s="38"/>
    </row>
    <row r="7606">
      <c r="P7606" s="42"/>
      <c r="AB7606" s="38"/>
    </row>
    <row r="7607">
      <c r="P7607" s="42"/>
      <c r="AB7607" s="38"/>
    </row>
    <row r="7608">
      <c r="P7608" s="42"/>
      <c r="AB7608" s="38"/>
    </row>
    <row r="7609">
      <c r="P7609" s="42"/>
      <c r="AB7609" s="38"/>
    </row>
    <row r="7610">
      <c r="P7610" s="42"/>
      <c r="AB7610" s="38"/>
    </row>
    <row r="7611">
      <c r="P7611" s="42"/>
      <c r="AB7611" s="38"/>
    </row>
    <row r="7612">
      <c r="P7612" s="42"/>
      <c r="AB7612" s="38"/>
    </row>
    <row r="7613">
      <c r="P7613" s="42"/>
      <c r="AB7613" s="38"/>
    </row>
    <row r="7614">
      <c r="P7614" s="42"/>
      <c r="AB7614" s="38"/>
    </row>
    <row r="7615">
      <c r="P7615" s="42"/>
      <c r="AB7615" s="38"/>
    </row>
    <row r="7616">
      <c r="P7616" s="42"/>
      <c r="AB7616" s="38"/>
    </row>
    <row r="7617">
      <c r="P7617" s="42"/>
      <c r="AB7617" s="38"/>
    </row>
    <row r="7618">
      <c r="P7618" s="42"/>
      <c r="AB7618" s="38"/>
    </row>
    <row r="7619">
      <c r="P7619" s="42"/>
      <c r="AB7619" s="38"/>
    </row>
    <row r="7620">
      <c r="P7620" s="42"/>
      <c r="AB7620" s="38"/>
    </row>
    <row r="7621">
      <c r="P7621" s="42"/>
      <c r="AB7621" s="38"/>
    </row>
    <row r="7622">
      <c r="P7622" s="42"/>
      <c r="AB7622" s="38"/>
    </row>
    <row r="7623">
      <c r="P7623" s="42"/>
      <c r="AB7623" s="38"/>
    </row>
    <row r="7624">
      <c r="P7624" s="42"/>
      <c r="AB7624" s="38"/>
    </row>
    <row r="7625">
      <c r="P7625" s="42"/>
      <c r="AB7625" s="38"/>
    </row>
    <row r="7626">
      <c r="P7626" s="42"/>
      <c r="AB7626" s="38"/>
    </row>
    <row r="7627">
      <c r="P7627" s="42"/>
      <c r="AB7627" s="38"/>
    </row>
    <row r="7628">
      <c r="P7628" s="42"/>
      <c r="AB7628" s="38"/>
    </row>
    <row r="7629">
      <c r="P7629" s="42"/>
      <c r="AB7629" s="38"/>
    </row>
    <row r="7630">
      <c r="P7630" s="42"/>
      <c r="AB7630" s="38"/>
    </row>
    <row r="7631">
      <c r="P7631" s="42"/>
      <c r="AB7631" s="38"/>
    </row>
    <row r="7632">
      <c r="P7632" s="42"/>
      <c r="AB7632" s="38"/>
    </row>
    <row r="7633">
      <c r="P7633" s="42"/>
      <c r="AB7633" s="38"/>
    </row>
    <row r="7634">
      <c r="P7634" s="42"/>
      <c r="AB7634" s="38"/>
    </row>
    <row r="7635">
      <c r="P7635" s="42"/>
      <c r="AB7635" s="38"/>
    </row>
    <row r="7636">
      <c r="P7636" s="42"/>
      <c r="AB7636" s="38"/>
    </row>
    <row r="7637">
      <c r="P7637" s="42"/>
      <c r="AB7637" s="38"/>
    </row>
    <row r="7638">
      <c r="P7638" s="42"/>
      <c r="AB7638" s="38"/>
    </row>
    <row r="7639">
      <c r="P7639" s="42"/>
      <c r="AB7639" s="38"/>
    </row>
    <row r="7640">
      <c r="P7640" s="42"/>
      <c r="AB7640" s="38"/>
    </row>
    <row r="7641">
      <c r="P7641" s="42"/>
      <c r="AB7641" s="38"/>
    </row>
    <row r="7642">
      <c r="P7642" s="42"/>
      <c r="AB7642" s="38"/>
    </row>
    <row r="7643">
      <c r="P7643" s="42"/>
      <c r="AB7643" s="38"/>
    </row>
    <row r="7644">
      <c r="P7644" s="42"/>
      <c r="AB7644" s="38"/>
    </row>
    <row r="7645">
      <c r="P7645" s="42"/>
      <c r="AB7645" s="38"/>
    </row>
    <row r="7646">
      <c r="P7646" s="42"/>
      <c r="AB7646" s="38"/>
    </row>
    <row r="7647">
      <c r="P7647" s="42"/>
      <c r="AB7647" s="38"/>
    </row>
    <row r="7648">
      <c r="P7648" s="42"/>
      <c r="AB7648" s="38"/>
    </row>
    <row r="7649">
      <c r="P7649" s="42"/>
      <c r="AB7649" s="38"/>
    </row>
    <row r="7650">
      <c r="P7650" s="42"/>
      <c r="AB7650" s="38"/>
    </row>
    <row r="7651">
      <c r="P7651" s="42"/>
      <c r="AB7651" s="38"/>
    </row>
    <row r="7652">
      <c r="P7652" s="42"/>
      <c r="AB7652" s="38"/>
    </row>
    <row r="7653">
      <c r="P7653" s="42"/>
      <c r="AB7653" s="38"/>
    </row>
    <row r="7654">
      <c r="P7654" s="42"/>
      <c r="AB7654" s="38"/>
    </row>
    <row r="7655">
      <c r="P7655" s="42"/>
      <c r="AB7655" s="38"/>
    </row>
    <row r="7656">
      <c r="P7656" s="42"/>
      <c r="AB7656" s="38"/>
    </row>
    <row r="7657">
      <c r="P7657" s="42"/>
      <c r="AB7657" s="38"/>
    </row>
    <row r="7658">
      <c r="P7658" s="42"/>
      <c r="AB7658" s="38"/>
    </row>
    <row r="7659">
      <c r="P7659" s="42"/>
      <c r="AB7659" s="38"/>
    </row>
    <row r="7660">
      <c r="P7660" s="42"/>
      <c r="AB7660" s="38"/>
    </row>
    <row r="7661">
      <c r="P7661" s="42"/>
      <c r="AB7661" s="38"/>
    </row>
    <row r="7662">
      <c r="P7662" s="42"/>
      <c r="AB7662" s="38"/>
    </row>
    <row r="7663">
      <c r="P7663" s="42"/>
      <c r="AB7663" s="38"/>
    </row>
    <row r="7664">
      <c r="P7664" s="42"/>
      <c r="AB7664" s="38"/>
    </row>
    <row r="7665">
      <c r="P7665" s="42"/>
      <c r="AB7665" s="38"/>
    </row>
    <row r="7666">
      <c r="P7666" s="42"/>
      <c r="AB7666" s="38"/>
    </row>
    <row r="7667">
      <c r="P7667" s="42"/>
      <c r="AB7667" s="38"/>
    </row>
    <row r="7668">
      <c r="P7668" s="42"/>
      <c r="AB7668" s="38"/>
    </row>
    <row r="7669">
      <c r="P7669" s="42"/>
      <c r="AB7669" s="38"/>
    </row>
    <row r="7670">
      <c r="P7670" s="42"/>
      <c r="AB7670" s="38"/>
    </row>
    <row r="7671">
      <c r="P7671" s="42"/>
      <c r="AB7671" s="38"/>
    </row>
    <row r="7672">
      <c r="P7672" s="42"/>
      <c r="AB7672" s="38"/>
    </row>
    <row r="7673">
      <c r="P7673" s="42"/>
      <c r="AB7673" s="38"/>
    </row>
    <row r="7674">
      <c r="P7674" s="42"/>
      <c r="AB7674" s="38"/>
    </row>
    <row r="7675">
      <c r="P7675" s="42"/>
      <c r="AB7675" s="38"/>
    </row>
    <row r="7676">
      <c r="P7676" s="42"/>
      <c r="AB7676" s="38"/>
    </row>
    <row r="7677">
      <c r="P7677" s="42"/>
      <c r="AB7677" s="38"/>
    </row>
    <row r="7678">
      <c r="P7678" s="42"/>
      <c r="AB7678" s="38"/>
    </row>
    <row r="7679">
      <c r="P7679" s="42"/>
      <c r="AB7679" s="38"/>
    </row>
    <row r="7680">
      <c r="P7680" s="42"/>
      <c r="AB7680" s="38"/>
    </row>
    <row r="7681">
      <c r="P7681" s="42"/>
      <c r="AB7681" s="38"/>
    </row>
    <row r="7682">
      <c r="P7682" s="42"/>
      <c r="AB7682" s="38"/>
    </row>
    <row r="7683">
      <c r="P7683" s="42"/>
      <c r="AB7683" s="38"/>
    </row>
    <row r="7684">
      <c r="P7684" s="42"/>
      <c r="AB7684" s="38"/>
    </row>
    <row r="7685">
      <c r="P7685" s="42"/>
      <c r="AB7685" s="38"/>
    </row>
    <row r="7686">
      <c r="P7686" s="42"/>
      <c r="AB7686" s="38"/>
    </row>
    <row r="7687">
      <c r="P7687" s="42"/>
      <c r="AB7687" s="38"/>
    </row>
    <row r="7688">
      <c r="P7688" s="42"/>
      <c r="AB7688" s="38"/>
    </row>
    <row r="7689">
      <c r="P7689" s="42"/>
      <c r="AB7689" s="38"/>
    </row>
    <row r="7690">
      <c r="P7690" s="42"/>
      <c r="AB7690" s="38"/>
    </row>
    <row r="7691">
      <c r="P7691" s="42"/>
      <c r="AB7691" s="38"/>
    </row>
    <row r="7692">
      <c r="P7692" s="42"/>
      <c r="AB7692" s="38"/>
    </row>
    <row r="7693">
      <c r="P7693" s="42"/>
      <c r="AB7693" s="38"/>
    </row>
    <row r="7694">
      <c r="P7694" s="42"/>
      <c r="AB7694" s="38"/>
    </row>
    <row r="7695">
      <c r="P7695" s="42"/>
      <c r="AB7695" s="38"/>
    </row>
    <row r="7696">
      <c r="P7696" s="42"/>
      <c r="AB7696" s="38"/>
    </row>
    <row r="7697">
      <c r="P7697" s="42"/>
      <c r="AB7697" s="38"/>
    </row>
    <row r="7698">
      <c r="P7698" s="42"/>
      <c r="AB7698" s="38"/>
    </row>
    <row r="7699">
      <c r="P7699" s="42"/>
      <c r="AB7699" s="38"/>
    </row>
    <row r="7700">
      <c r="P7700" s="42"/>
      <c r="AB7700" s="38"/>
    </row>
    <row r="7701">
      <c r="P7701" s="42"/>
      <c r="AB7701" s="38"/>
    </row>
    <row r="7702">
      <c r="P7702" s="42"/>
      <c r="AB7702" s="38"/>
    </row>
    <row r="7703">
      <c r="P7703" s="42"/>
      <c r="AB7703" s="38"/>
    </row>
    <row r="7704">
      <c r="P7704" s="42"/>
      <c r="AB7704" s="38"/>
    </row>
    <row r="7705">
      <c r="P7705" s="42"/>
      <c r="AB7705" s="38"/>
    </row>
    <row r="7706">
      <c r="P7706" s="42"/>
      <c r="AB7706" s="38"/>
    </row>
    <row r="7707">
      <c r="P7707" s="42"/>
      <c r="AB7707" s="38"/>
    </row>
    <row r="7708">
      <c r="P7708" s="42"/>
      <c r="AB7708" s="38"/>
    </row>
    <row r="7709">
      <c r="P7709" s="42"/>
      <c r="AB7709" s="38"/>
    </row>
    <row r="7710">
      <c r="P7710" s="42"/>
      <c r="AB7710" s="38"/>
    </row>
    <row r="7711">
      <c r="P7711" s="42"/>
      <c r="AB7711" s="38"/>
    </row>
    <row r="7712">
      <c r="P7712" s="42"/>
      <c r="AB7712" s="38"/>
    </row>
    <row r="7713">
      <c r="P7713" s="42"/>
      <c r="AB7713" s="38"/>
    </row>
    <row r="7714">
      <c r="P7714" s="42"/>
      <c r="AB7714" s="38"/>
    </row>
    <row r="7715">
      <c r="P7715" s="42"/>
      <c r="AB7715" s="38"/>
    </row>
    <row r="7716">
      <c r="P7716" s="42"/>
      <c r="AB7716" s="38"/>
    </row>
    <row r="7717">
      <c r="P7717" s="42"/>
      <c r="AB7717" s="38"/>
    </row>
    <row r="7718">
      <c r="P7718" s="42"/>
      <c r="AB7718" s="38"/>
    </row>
    <row r="7719">
      <c r="P7719" s="42"/>
      <c r="AB7719" s="38"/>
    </row>
    <row r="7720">
      <c r="P7720" s="42"/>
      <c r="AB7720" s="38"/>
    </row>
    <row r="7721">
      <c r="P7721" s="42"/>
      <c r="AB7721" s="38"/>
    </row>
    <row r="7722">
      <c r="P7722" s="42"/>
      <c r="AB7722" s="38"/>
    </row>
    <row r="7723">
      <c r="P7723" s="42"/>
      <c r="AB7723" s="38"/>
    </row>
    <row r="7724">
      <c r="P7724" s="42"/>
      <c r="AB7724" s="38"/>
    </row>
    <row r="7725">
      <c r="P7725" s="42"/>
      <c r="AB7725" s="38"/>
    </row>
    <row r="7726">
      <c r="P7726" s="42"/>
      <c r="AB7726" s="38"/>
    </row>
    <row r="7727">
      <c r="P7727" s="42"/>
      <c r="AB7727" s="38"/>
    </row>
    <row r="7728">
      <c r="P7728" s="42"/>
      <c r="AB7728" s="38"/>
    </row>
    <row r="7729">
      <c r="P7729" s="42"/>
      <c r="AB7729" s="38"/>
    </row>
    <row r="7730">
      <c r="P7730" s="42"/>
      <c r="AB7730" s="38"/>
    </row>
    <row r="7731">
      <c r="P7731" s="42"/>
      <c r="AB7731" s="38"/>
    </row>
    <row r="7732">
      <c r="P7732" s="42"/>
      <c r="AB7732" s="38"/>
    </row>
    <row r="7733">
      <c r="P7733" s="42"/>
      <c r="AB7733" s="38"/>
    </row>
    <row r="7734">
      <c r="P7734" s="42"/>
      <c r="AB7734" s="38"/>
    </row>
    <row r="7735">
      <c r="P7735" s="42"/>
      <c r="AB7735" s="38"/>
    </row>
    <row r="7736">
      <c r="P7736" s="42"/>
      <c r="AB7736" s="38"/>
    </row>
    <row r="7737">
      <c r="P7737" s="42"/>
      <c r="AB7737" s="38"/>
    </row>
    <row r="7738">
      <c r="P7738" s="42"/>
      <c r="AB7738" s="38"/>
    </row>
    <row r="7739">
      <c r="P7739" s="42"/>
      <c r="AB7739" s="38"/>
    </row>
    <row r="7740">
      <c r="P7740" s="42"/>
      <c r="AB7740" s="38"/>
    </row>
    <row r="7741">
      <c r="P7741" s="42"/>
      <c r="AB7741" s="38"/>
    </row>
    <row r="7742">
      <c r="P7742" s="42"/>
      <c r="AB7742" s="38"/>
    </row>
    <row r="7743">
      <c r="P7743" s="42"/>
      <c r="AB7743" s="38"/>
    </row>
    <row r="7744">
      <c r="P7744" s="42"/>
      <c r="AB7744" s="38"/>
    </row>
    <row r="7745">
      <c r="P7745" s="42"/>
      <c r="AB7745" s="38"/>
    </row>
    <row r="7746">
      <c r="P7746" s="42"/>
      <c r="AB7746" s="38"/>
    </row>
    <row r="7747">
      <c r="P7747" s="42"/>
      <c r="AB7747" s="38"/>
    </row>
    <row r="7748">
      <c r="P7748" s="42"/>
      <c r="AB7748" s="38"/>
    </row>
    <row r="7749">
      <c r="P7749" s="42"/>
      <c r="AB7749" s="38"/>
    </row>
    <row r="7750">
      <c r="P7750" s="42"/>
      <c r="AB7750" s="38"/>
    </row>
    <row r="7751">
      <c r="P7751" s="42"/>
      <c r="AB7751" s="38"/>
    </row>
    <row r="7752">
      <c r="P7752" s="42"/>
      <c r="AB7752" s="38"/>
    </row>
    <row r="7753">
      <c r="P7753" s="42"/>
      <c r="AB7753" s="38"/>
    </row>
    <row r="7754">
      <c r="P7754" s="42"/>
      <c r="AB7754" s="38"/>
    </row>
    <row r="7755">
      <c r="P7755" s="42"/>
      <c r="AB7755" s="38"/>
    </row>
    <row r="7756">
      <c r="P7756" s="42"/>
      <c r="AB7756" s="38"/>
    </row>
    <row r="7757">
      <c r="P7757" s="42"/>
      <c r="AB7757" s="38"/>
    </row>
    <row r="7758">
      <c r="P7758" s="42"/>
      <c r="AB7758" s="38"/>
    </row>
    <row r="7759">
      <c r="P7759" s="42"/>
      <c r="AB7759" s="38"/>
    </row>
    <row r="7760">
      <c r="P7760" s="42"/>
      <c r="AB7760" s="38"/>
    </row>
    <row r="7761">
      <c r="P7761" s="42"/>
      <c r="AB7761" s="38"/>
    </row>
    <row r="7762">
      <c r="P7762" s="42"/>
      <c r="AB7762" s="38"/>
    </row>
    <row r="7763">
      <c r="P7763" s="42"/>
      <c r="AB7763" s="38"/>
    </row>
    <row r="7764">
      <c r="P7764" s="42"/>
      <c r="AB7764" s="38"/>
    </row>
    <row r="7765">
      <c r="P7765" s="42"/>
      <c r="AB7765" s="38"/>
    </row>
    <row r="7766">
      <c r="P7766" s="42"/>
      <c r="AB7766" s="38"/>
    </row>
    <row r="7767">
      <c r="P7767" s="42"/>
      <c r="AB7767" s="38"/>
    </row>
    <row r="7768">
      <c r="P7768" s="42"/>
      <c r="AB7768" s="38"/>
    </row>
    <row r="7769">
      <c r="P7769" s="42"/>
      <c r="AB7769" s="38"/>
    </row>
    <row r="7770">
      <c r="P7770" s="42"/>
      <c r="AB7770" s="38"/>
    </row>
    <row r="7771">
      <c r="P7771" s="42"/>
      <c r="AB7771" s="38"/>
    </row>
    <row r="7772">
      <c r="P7772" s="42"/>
      <c r="AB7772" s="38"/>
    </row>
    <row r="7773">
      <c r="P7773" s="42"/>
      <c r="AB7773" s="38"/>
    </row>
    <row r="7774">
      <c r="P7774" s="42"/>
      <c r="AB7774" s="38"/>
    </row>
    <row r="7775">
      <c r="P7775" s="42"/>
      <c r="AB7775" s="38"/>
    </row>
    <row r="7776">
      <c r="P7776" s="42"/>
      <c r="AB7776" s="38"/>
    </row>
    <row r="7777">
      <c r="P7777" s="42"/>
      <c r="AB7777" s="38"/>
    </row>
    <row r="7778">
      <c r="P7778" s="42"/>
      <c r="AB7778" s="38"/>
    </row>
    <row r="7779">
      <c r="P7779" s="42"/>
      <c r="AB7779" s="38"/>
    </row>
    <row r="7780">
      <c r="P7780" s="42"/>
      <c r="AB7780" s="38"/>
    </row>
    <row r="7781">
      <c r="P7781" s="42"/>
      <c r="AB7781" s="38"/>
    </row>
    <row r="7782">
      <c r="P7782" s="42"/>
      <c r="AB7782" s="38"/>
    </row>
    <row r="7783">
      <c r="P7783" s="42"/>
      <c r="AB7783" s="38"/>
    </row>
    <row r="7784">
      <c r="P7784" s="42"/>
      <c r="AB7784" s="38"/>
    </row>
    <row r="7785">
      <c r="P7785" s="42"/>
      <c r="AB7785" s="38"/>
    </row>
    <row r="7786">
      <c r="P7786" s="42"/>
      <c r="AB7786" s="38"/>
    </row>
    <row r="7787">
      <c r="P7787" s="42"/>
      <c r="AB7787" s="38"/>
    </row>
    <row r="7788">
      <c r="P7788" s="42"/>
      <c r="AB7788" s="38"/>
    </row>
    <row r="7789">
      <c r="P7789" s="42"/>
      <c r="AB7789" s="38"/>
    </row>
    <row r="7790">
      <c r="P7790" s="42"/>
      <c r="AB7790" s="38"/>
    </row>
    <row r="7791">
      <c r="P7791" s="42"/>
      <c r="AB7791" s="38"/>
    </row>
    <row r="7792">
      <c r="P7792" s="42"/>
      <c r="AB7792" s="38"/>
    </row>
    <row r="7793">
      <c r="P7793" s="42"/>
      <c r="AB7793" s="38"/>
    </row>
    <row r="7794">
      <c r="P7794" s="42"/>
      <c r="AB7794" s="38"/>
    </row>
    <row r="7795">
      <c r="P7795" s="42"/>
      <c r="AB7795" s="38"/>
    </row>
    <row r="7796">
      <c r="P7796" s="42"/>
      <c r="AB7796" s="38"/>
    </row>
    <row r="7797">
      <c r="P7797" s="42"/>
      <c r="AB7797" s="38"/>
    </row>
    <row r="7798">
      <c r="P7798" s="42"/>
      <c r="AB7798" s="38"/>
    </row>
    <row r="7799">
      <c r="P7799" s="42"/>
      <c r="AB7799" s="38"/>
    </row>
    <row r="7800">
      <c r="P7800" s="42"/>
      <c r="AB7800" s="38"/>
    </row>
    <row r="7801">
      <c r="P7801" s="42"/>
      <c r="AB7801" s="38"/>
    </row>
    <row r="7802">
      <c r="P7802" s="42"/>
      <c r="AB7802" s="38"/>
    </row>
    <row r="7803">
      <c r="P7803" s="42"/>
      <c r="AB7803" s="38"/>
    </row>
    <row r="7804">
      <c r="P7804" s="42"/>
      <c r="AB7804" s="38"/>
    </row>
    <row r="7805">
      <c r="P7805" s="42"/>
      <c r="AB7805" s="38"/>
    </row>
    <row r="7806">
      <c r="P7806" s="42"/>
      <c r="AB7806" s="38"/>
    </row>
    <row r="7807">
      <c r="P7807" s="42"/>
      <c r="AB7807" s="38"/>
    </row>
    <row r="7808">
      <c r="P7808" s="42"/>
      <c r="AB7808" s="38"/>
    </row>
    <row r="7809">
      <c r="P7809" s="42"/>
      <c r="AB7809" s="38"/>
    </row>
    <row r="7810">
      <c r="P7810" s="42"/>
      <c r="AB7810" s="38"/>
    </row>
    <row r="7811">
      <c r="P7811" s="42"/>
      <c r="AB7811" s="38"/>
    </row>
    <row r="7812">
      <c r="P7812" s="42"/>
      <c r="AB7812" s="38"/>
    </row>
    <row r="7813">
      <c r="P7813" s="42"/>
      <c r="AB7813" s="38"/>
    </row>
    <row r="7814">
      <c r="P7814" s="42"/>
      <c r="AB7814" s="38"/>
    </row>
    <row r="7815">
      <c r="P7815" s="42"/>
      <c r="AB7815" s="38"/>
    </row>
    <row r="7816">
      <c r="P7816" s="42"/>
      <c r="AB7816" s="38"/>
    </row>
    <row r="7817">
      <c r="P7817" s="42"/>
      <c r="AB7817" s="38"/>
    </row>
    <row r="7818">
      <c r="P7818" s="42"/>
      <c r="AB7818" s="38"/>
    </row>
    <row r="7819">
      <c r="P7819" s="42"/>
      <c r="AB7819" s="38"/>
    </row>
    <row r="7820">
      <c r="P7820" s="42"/>
      <c r="AB7820" s="38"/>
    </row>
    <row r="7821">
      <c r="P7821" s="42"/>
      <c r="AB7821" s="38"/>
    </row>
    <row r="7822">
      <c r="P7822" s="42"/>
      <c r="AB7822" s="38"/>
    </row>
    <row r="7823">
      <c r="P7823" s="42"/>
      <c r="AB7823" s="38"/>
    </row>
    <row r="7824">
      <c r="P7824" s="42"/>
      <c r="AB7824" s="38"/>
    </row>
    <row r="7825">
      <c r="P7825" s="42"/>
      <c r="AB7825" s="38"/>
    </row>
    <row r="7826">
      <c r="P7826" s="42"/>
      <c r="AB7826" s="38"/>
    </row>
    <row r="7827">
      <c r="P7827" s="42"/>
      <c r="AB7827" s="38"/>
    </row>
    <row r="7828">
      <c r="P7828" s="42"/>
      <c r="AB7828" s="38"/>
    </row>
    <row r="7829">
      <c r="P7829" s="42"/>
      <c r="AB7829" s="38"/>
    </row>
    <row r="7830">
      <c r="P7830" s="42"/>
      <c r="AB7830" s="38"/>
    </row>
    <row r="7831">
      <c r="P7831" s="42"/>
      <c r="AB7831" s="38"/>
    </row>
    <row r="7832">
      <c r="P7832" s="42"/>
      <c r="AB7832" s="38"/>
    </row>
    <row r="7833">
      <c r="P7833" s="42"/>
      <c r="AB7833" s="38"/>
    </row>
    <row r="7834">
      <c r="P7834" s="42"/>
      <c r="AB7834" s="38"/>
    </row>
    <row r="7835">
      <c r="P7835" s="42"/>
      <c r="AB7835" s="38"/>
    </row>
    <row r="7836">
      <c r="P7836" s="42"/>
      <c r="AB7836" s="38"/>
    </row>
    <row r="7837">
      <c r="P7837" s="42"/>
      <c r="AB7837" s="38"/>
    </row>
    <row r="7838">
      <c r="P7838" s="42"/>
      <c r="AB7838" s="38"/>
    </row>
    <row r="7839">
      <c r="P7839" s="42"/>
      <c r="AB7839" s="38"/>
    </row>
    <row r="7840">
      <c r="P7840" s="42"/>
      <c r="AB7840" s="38"/>
    </row>
    <row r="7841">
      <c r="P7841" s="42"/>
      <c r="AB7841" s="38"/>
    </row>
    <row r="7842">
      <c r="P7842" s="42"/>
      <c r="AB7842" s="38"/>
    </row>
    <row r="7843">
      <c r="P7843" s="42"/>
      <c r="AB7843" s="38"/>
    </row>
    <row r="7844">
      <c r="P7844" s="42"/>
      <c r="AB7844" s="38"/>
    </row>
    <row r="7845">
      <c r="P7845" s="42"/>
      <c r="AB7845" s="38"/>
    </row>
    <row r="7846">
      <c r="P7846" s="42"/>
      <c r="AB7846" s="38"/>
    </row>
    <row r="7847">
      <c r="P7847" s="42"/>
      <c r="AB7847" s="38"/>
    </row>
    <row r="7848">
      <c r="P7848" s="42"/>
      <c r="AB7848" s="38"/>
    </row>
    <row r="7849">
      <c r="P7849" s="42"/>
      <c r="AB7849" s="38"/>
    </row>
    <row r="7850">
      <c r="P7850" s="42"/>
      <c r="AB7850" s="38"/>
    </row>
    <row r="7851">
      <c r="P7851" s="42"/>
      <c r="AB7851" s="38"/>
    </row>
    <row r="7852">
      <c r="P7852" s="42"/>
      <c r="AB7852" s="38"/>
    </row>
    <row r="7853">
      <c r="P7853" s="42"/>
      <c r="AB7853" s="38"/>
    </row>
    <row r="7854">
      <c r="P7854" s="42"/>
      <c r="AB7854" s="38"/>
    </row>
    <row r="7855">
      <c r="P7855" s="42"/>
      <c r="AB7855" s="38"/>
    </row>
    <row r="7856">
      <c r="P7856" s="42"/>
      <c r="AB7856" s="38"/>
    </row>
    <row r="7857">
      <c r="P7857" s="42"/>
      <c r="AB7857" s="38"/>
    </row>
    <row r="7858">
      <c r="P7858" s="42"/>
      <c r="AB7858" s="38"/>
    </row>
    <row r="7859">
      <c r="P7859" s="42"/>
      <c r="AB7859" s="38"/>
    </row>
    <row r="7860">
      <c r="P7860" s="42"/>
      <c r="AB7860" s="38"/>
    </row>
    <row r="7861">
      <c r="P7861" s="42"/>
      <c r="AB7861" s="38"/>
    </row>
    <row r="7862">
      <c r="P7862" s="42"/>
      <c r="AB7862" s="38"/>
    </row>
    <row r="7863">
      <c r="P7863" s="42"/>
      <c r="AB7863" s="38"/>
    </row>
    <row r="7864">
      <c r="P7864" s="42"/>
      <c r="AB7864" s="38"/>
    </row>
    <row r="7865">
      <c r="P7865" s="42"/>
      <c r="AB7865" s="38"/>
    </row>
    <row r="7866">
      <c r="P7866" s="42"/>
      <c r="AB7866" s="38"/>
    </row>
    <row r="7867">
      <c r="P7867" s="42"/>
      <c r="AB7867" s="38"/>
    </row>
    <row r="7868">
      <c r="P7868" s="42"/>
      <c r="AB7868" s="38"/>
    </row>
    <row r="7869">
      <c r="P7869" s="42"/>
      <c r="AB7869" s="38"/>
    </row>
    <row r="7870">
      <c r="P7870" s="42"/>
      <c r="AB7870" s="38"/>
    </row>
    <row r="7871">
      <c r="P7871" s="42"/>
      <c r="AB7871" s="38"/>
    </row>
    <row r="7872">
      <c r="P7872" s="42"/>
      <c r="AB7872" s="38"/>
    </row>
    <row r="7873">
      <c r="P7873" s="42"/>
      <c r="AB7873" s="38"/>
    </row>
    <row r="7874">
      <c r="P7874" s="42"/>
      <c r="AB7874" s="38"/>
    </row>
    <row r="7875">
      <c r="P7875" s="42"/>
      <c r="AB7875" s="38"/>
    </row>
    <row r="7876">
      <c r="P7876" s="42"/>
      <c r="AB7876" s="38"/>
    </row>
    <row r="7877">
      <c r="P7877" s="42"/>
      <c r="AB7877" s="38"/>
    </row>
    <row r="7878">
      <c r="P7878" s="42"/>
      <c r="AB7878" s="38"/>
    </row>
    <row r="7879">
      <c r="P7879" s="42"/>
      <c r="AB7879" s="38"/>
    </row>
    <row r="7880">
      <c r="P7880" s="42"/>
      <c r="AB7880" s="38"/>
    </row>
    <row r="7881">
      <c r="P7881" s="42"/>
      <c r="AB7881" s="38"/>
    </row>
    <row r="7882">
      <c r="P7882" s="42"/>
      <c r="AB7882" s="38"/>
    </row>
    <row r="7883">
      <c r="P7883" s="42"/>
      <c r="AB7883" s="38"/>
    </row>
    <row r="7884">
      <c r="P7884" s="42"/>
      <c r="AB7884" s="38"/>
    </row>
    <row r="7885">
      <c r="P7885" s="42"/>
      <c r="AB7885" s="38"/>
    </row>
    <row r="7886">
      <c r="P7886" s="42"/>
      <c r="AB7886" s="38"/>
    </row>
    <row r="7887">
      <c r="P7887" s="42"/>
      <c r="AB7887" s="38"/>
    </row>
    <row r="7888">
      <c r="P7888" s="42"/>
      <c r="AB7888" s="38"/>
    </row>
    <row r="7889">
      <c r="P7889" s="42"/>
      <c r="AB7889" s="38"/>
    </row>
    <row r="7890">
      <c r="P7890" s="42"/>
      <c r="AB7890" s="38"/>
    </row>
    <row r="7891">
      <c r="P7891" s="42"/>
      <c r="AB7891" s="38"/>
    </row>
    <row r="7892">
      <c r="P7892" s="42"/>
      <c r="AB7892" s="38"/>
    </row>
    <row r="7893">
      <c r="P7893" s="42"/>
      <c r="AB7893" s="38"/>
    </row>
    <row r="7894">
      <c r="P7894" s="42"/>
      <c r="AB7894" s="38"/>
    </row>
    <row r="7895">
      <c r="P7895" s="42"/>
      <c r="AB7895" s="38"/>
    </row>
    <row r="7896">
      <c r="P7896" s="42"/>
      <c r="AB7896" s="38"/>
    </row>
    <row r="7897">
      <c r="P7897" s="42"/>
      <c r="AB7897" s="38"/>
    </row>
    <row r="7898">
      <c r="P7898" s="42"/>
      <c r="AB7898" s="38"/>
    </row>
    <row r="7899">
      <c r="P7899" s="42"/>
      <c r="AB7899" s="38"/>
    </row>
    <row r="7900">
      <c r="P7900" s="42"/>
      <c r="AB7900" s="38"/>
    </row>
    <row r="7901">
      <c r="P7901" s="42"/>
      <c r="AB7901" s="38"/>
    </row>
    <row r="7902">
      <c r="P7902" s="42"/>
      <c r="AB7902" s="38"/>
    </row>
    <row r="7903">
      <c r="P7903" s="42"/>
      <c r="AB7903" s="38"/>
    </row>
    <row r="7904">
      <c r="P7904" s="42"/>
      <c r="AB7904" s="38"/>
    </row>
    <row r="7905">
      <c r="P7905" s="42"/>
      <c r="AB7905" s="38"/>
    </row>
    <row r="7906">
      <c r="P7906" s="42"/>
      <c r="AB7906" s="38"/>
    </row>
    <row r="7907">
      <c r="P7907" s="42"/>
      <c r="AB7907" s="38"/>
    </row>
    <row r="7908">
      <c r="P7908" s="42"/>
      <c r="AB7908" s="38"/>
    </row>
    <row r="7909">
      <c r="P7909" s="42"/>
      <c r="AB7909" s="38"/>
    </row>
    <row r="7910">
      <c r="P7910" s="42"/>
      <c r="AB7910" s="38"/>
    </row>
    <row r="7911">
      <c r="P7911" s="42"/>
      <c r="AB7911" s="38"/>
    </row>
    <row r="7912">
      <c r="P7912" s="42"/>
      <c r="AB7912" s="38"/>
    </row>
    <row r="7913">
      <c r="P7913" s="42"/>
      <c r="AB7913" s="38"/>
    </row>
    <row r="7914">
      <c r="P7914" s="42"/>
      <c r="AB7914" s="38"/>
    </row>
    <row r="7915">
      <c r="P7915" s="42"/>
      <c r="AB7915" s="38"/>
    </row>
    <row r="7916">
      <c r="P7916" s="42"/>
      <c r="AB7916" s="38"/>
    </row>
    <row r="7917">
      <c r="P7917" s="42"/>
      <c r="AB7917" s="38"/>
    </row>
    <row r="7918">
      <c r="P7918" s="42"/>
      <c r="AB7918" s="38"/>
    </row>
    <row r="7919">
      <c r="P7919" s="42"/>
      <c r="AB7919" s="38"/>
    </row>
    <row r="7920">
      <c r="P7920" s="42"/>
      <c r="AB7920" s="38"/>
    </row>
    <row r="7921">
      <c r="P7921" s="42"/>
      <c r="AB7921" s="38"/>
    </row>
    <row r="7922">
      <c r="P7922" s="42"/>
      <c r="AB7922" s="38"/>
    </row>
    <row r="7923">
      <c r="P7923" s="42"/>
      <c r="AB7923" s="38"/>
    </row>
    <row r="7924">
      <c r="P7924" s="42"/>
      <c r="AB7924" s="38"/>
    </row>
    <row r="7925">
      <c r="P7925" s="42"/>
      <c r="AB7925" s="38"/>
    </row>
    <row r="7926">
      <c r="P7926" s="42"/>
      <c r="AB7926" s="38"/>
    </row>
    <row r="7927">
      <c r="P7927" s="42"/>
      <c r="AB7927" s="38"/>
    </row>
    <row r="7928">
      <c r="P7928" s="42"/>
      <c r="AB7928" s="38"/>
    </row>
    <row r="7929">
      <c r="P7929" s="42"/>
      <c r="AB7929" s="38"/>
    </row>
    <row r="7930">
      <c r="P7930" s="42"/>
      <c r="AB7930" s="38"/>
    </row>
    <row r="7931">
      <c r="P7931" s="42"/>
      <c r="AB7931" s="38"/>
    </row>
    <row r="7932">
      <c r="P7932" s="42"/>
      <c r="AB7932" s="38"/>
    </row>
    <row r="7933">
      <c r="P7933" s="42"/>
      <c r="AB7933" s="38"/>
    </row>
    <row r="7934">
      <c r="P7934" s="42"/>
      <c r="AB7934" s="38"/>
    </row>
    <row r="7935">
      <c r="P7935" s="42"/>
      <c r="AB7935" s="38"/>
    </row>
    <row r="7936">
      <c r="P7936" s="42"/>
      <c r="AB7936" s="38"/>
    </row>
    <row r="7937">
      <c r="P7937" s="42"/>
      <c r="AB7937" s="38"/>
    </row>
    <row r="7938">
      <c r="P7938" s="42"/>
      <c r="AB7938" s="38"/>
    </row>
    <row r="7939">
      <c r="P7939" s="42"/>
      <c r="AB7939" s="38"/>
    </row>
    <row r="7940">
      <c r="P7940" s="42"/>
      <c r="AB7940" s="38"/>
    </row>
    <row r="7941">
      <c r="P7941" s="42"/>
      <c r="AB7941" s="38"/>
    </row>
    <row r="7942">
      <c r="P7942" s="42"/>
      <c r="AB7942" s="38"/>
    </row>
    <row r="7943">
      <c r="P7943" s="42"/>
      <c r="AB7943" s="38"/>
    </row>
    <row r="7944">
      <c r="P7944" s="42"/>
      <c r="AB7944" s="38"/>
    </row>
    <row r="7945">
      <c r="P7945" s="42"/>
      <c r="AB7945" s="38"/>
    </row>
    <row r="7946">
      <c r="P7946" s="42"/>
      <c r="AB7946" s="38"/>
    </row>
    <row r="7947">
      <c r="P7947" s="42"/>
      <c r="AB7947" s="38"/>
    </row>
    <row r="7948">
      <c r="P7948" s="42"/>
      <c r="AB7948" s="38"/>
    </row>
    <row r="7949">
      <c r="P7949" s="42"/>
      <c r="AB7949" s="38"/>
    </row>
    <row r="7950">
      <c r="P7950" s="42"/>
      <c r="AB7950" s="38"/>
    </row>
    <row r="7951">
      <c r="P7951" s="42"/>
      <c r="AB7951" s="38"/>
    </row>
    <row r="7952">
      <c r="P7952" s="42"/>
      <c r="AB7952" s="38"/>
    </row>
    <row r="7953">
      <c r="P7953" s="42"/>
      <c r="AB7953" s="38"/>
    </row>
    <row r="7954">
      <c r="P7954" s="42"/>
      <c r="AB7954" s="38"/>
    </row>
    <row r="7955">
      <c r="P7955" s="42"/>
      <c r="AB7955" s="38"/>
    </row>
    <row r="7956">
      <c r="P7956" s="42"/>
      <c r="AB7956" s="38"/>
    </row>
    <row r="7957">
      <c r="P7957" s="42"/>
      <c r="AB7957" s="38"/>
    </row>
    <row r="7958">
      <c r="P7958" s="42"/>
      <c r="AB7958" s="38"/>
    </row>
    <row r="7959">
      <c r="P7959" s="42"/>
      <c r="AB7959" s="38"/>
    </row>
    <row r="7960">
      <c r="P7960" s="42"/>
      <c r="AB7960" s="38"/>
    </row>
    <row r="7961">
      <c r="P7961" s="42"/>
      <c r="AB7961" s="38"/>
    </row>
    <row r="7962">
      <c r="P7962" s="42"/>
      <c r="AB7962" s="38"/>
    </row>
    <row r="7963">
      <c r="P7963" s="42"/>
      <c r="AB7963" s="38"/>
    </row>
    <row r="7964">
      <c r="P7964" s="42"/>
      <c r="AB7964" s="38"/>
    </row>
    <row r="7965">
      <c r="P7965" s="42"/>
      <c r="AB7965" s="38"/>
    </row>
    <row r="7966">
      <c r="P7966" s="42"/>
      <c r="AB7966" s="38"/>
    </row>
    <row r="7967">
      <c r="P7967" s="42"/>
      <c r="AB7967" s="38"/>
    </row>
    <row r="7968">
      <c r="P7968" s="42"/>
      <c r="AB7968" s="38"/>
    </row>
    <row r="7969">
      <c r="P7969" s="42"/>
      <c r="AB7969" s="38"/>
    </row>
    <row r="7970">
      <c r="P7970" s="42"/>
      <c r="AB7970" s="38"/>
    </row>
    <row r="7971">
      <c r="P7971" s="42"/>
      <c r="AB7971" s="38"/>
    </row>
    <row r="7972">
      <c r="P7972" s="42"/>
      <c r="AB7972" s="38"/>
    </row>
    <row r="7973">
      <c r="P7973" s="42"/>
      <c r="AB7973" s="38"/>
    </row>
    <row r="7974">
      <c r="P7974" s="42"/>
      <c r="AB7974" s="38"/>
    </row>
    <row r="7975">
      <c r="P7975" s="42"/>
      <c r="AB7975" s="38"/>
    </row>
    <row r="7976">
      <c r="P7976" s="42"/>
      <c r="AB7976" s="38"/>
    </row>
    <row r="7977">
      <c r="P7977" s="42"/>
      <c r="AB7977" s="38"/>
    </row>
    <row r="7978">
      <c r="P7978" s="42"/>
      <c r="AB7978" s="38"/>
    </row>
    <row r="7979">
      <c r="P7979" s="42"/>
      <c r="AB7979" s="38"/>
    </row>
    <row r="7980">
      <c r="P7980" s="42"/>
      <c r="AB7980" s="38"/>
    </row>
    <row r="7981">
      <c r="P7981" s="42"/>
      <c r="AB7981" s="38"/>
    </row>
    <row r="7982">
      <c r="P7982" s="42"/>
      <c r="AB7982" s="38"/>
    </row>
    <row r="7983">
      <c r="P7983" s="42"/>
      <c r="AB7983" s="38"/>
    </row>
    <row r="7984">
      <c r="P7984" s="42"/>
      <c r="AB7984" s="38"/>
    </row>
    <row r="7985">
      <c r="P7985" s="42"/>
      <c r="AB7985" s="38"/>
    </row>
    <row r="7986">
      <c r="P7986" s="42"/>
      <c r="AB7986" s="38"/>
    </row>
    <row r="7987">
      <c r="P7987" s="42"/>
      <c r="AB7987" s="38"/>
    </row>
    <row r="7988">
      <c r="P7988" s="42"/>
      <c r="AB7988" s="38"/>
    </row>
    <row r="7989">
      <c r="P7989" s="42"/>
      <c r="AB7989" s="38"/>
    </row>
    <row r="7990">
      <c r="P7990" s="42"/>
      <c r="AB7990" s="38"/>
    </row>
    <row r="7991">
      <c r="P7991" s="42"/>
      <c r="AB7991" s="38"/>
    </row>
    <row r="7992">
      <c r="P7992" s="42"/>
      <c r="AB7992" s="38"/>
    </row>
    <row r="7993">
      <c r="P7993" s="42"/>
      <c r="AB7993" s="38"/>
    </row>
    <row r="7994">
      <c r="P7994" s="42"/>
      <c r="AB7994" s="38"/>
    </row>
    <row r="7995">
      <c r="P7995" s="42"/>
      <c r="AB7995" s="38"/>
    </row>
    <row r="7996">
      <c r="P7996" s="42"/>
      <c r="AB7996" s="38"/>
    </row>
    <row r="7997">
      <c r="P7997" s="42"/>
      <c r="AB7997" s="38"/>
    </row>
    <row r="7998">
      <c r="P7998" s="42"/>
      <c r="AB7998" s="38"/>
    </row>
    <row r="7999">
      <c r="P7999" s="42"/>
      <c r="AB7999" s="38"/>
    </row>
    <row r="8000">
      <c r="P8000" s="42"/>
      <c r="AB8000" s="38"/>
    </row>
    <row r="8001">
      <c r="P8001" s="42"/>
      <c r="AB8001" s="38"/>
    </row>
    <row r="8002">
      <c r="P8002" s="42"/>
      <c r="AB8002" s="38"/>
    </row>
    <row r="8003">
      <c r="P8003" s="42"/>
      <c r="AB8003" s="38"/>
    </row>
    <row r="8004">
      <c r="P8004" s="42"/>
      <c r="AB8004" s="38"/>
    </row>
    <row r="8005">
      <c r="P8005" s="42"/>
      <c r="AB8005" s="38"/>
    </row>
    <row r="8006">
      <c r="P8006" s="42"/>
      <c r="AB8006" s="38"/>
    </row>
    <row r="8007">
      <c r="P8007" s="42"/>
      <c r="AB8007" s="38"/>
    </row>
    <row r="8008">
      <c r="P8008" s="42"/>
      <c r="AB8008" s="38"/>
    </row>
    <row r="8009">
      <c r="P8009" s="42"/>
      <c r="AB8009" s="38"/>
    </row>
    <row r="8010">
      <c r="P8010" s="42"/>
      <c r="AB8010" s="38"/>
    </row>
    <row r="8011">
      <c r="P8011" s="42"/>
      <c r="AB8011" s="38"/>
    </row>
    <row r="8012">
      <c r="P8012" s="42"/>
      <c r="AB8012" s="38"/>
    </row>
    <row r="8013">
      <c r="P8013" s="42"/>
      <c r="AB8013" s="38"/>
    </row>
    <row r="8014">
      <c r="P8014" s="42"/>
      <c r="AB8014" s="38"/>
    </row>
    <row r="8015">
      <c r="P8015" s="42"/>
      <c r="AB8015" s="38"/>
    </row>
    <row r="8016">
      <c r="P8016" s="42"/>
      <c r="AB8016" s="38"/>
    </row>
    <row r="8017">
      <c r="P8017" s="42"/>
      <c r="AB8017" s="38"/>
    </row>
    <row r="8018">
      <c r="P8018" s="42"/>
      <c r="AB8018" s="38"/>
    </row>
    <row r="8019">
      <c r="P8019" s="42"/>
      <c r="AB8019" s="38"/>
    </row>
    <row r="8020">
      <c r="P8020" s="42"/>
      <c r="AB8020" s="38"/>
    </row>
    <row r="8021">
      <c r="P8021" s="42"/>
      <c r="AB8021" s="38"/>
    </row>
    <row r="8022">
      <c r="P8022" s="42"/>
      <c r="AB8022" s="38"/>
    </row>
    <row r="8023">
      <c r="P8023" s="42"/>
      <c r="AB8023" s="38"/>
    </row>
    <row r="8024">
      <c r="P8024" s="42"/>
      <c r="AB8024" s="38"/>
    </row>
    <row r="8025">
      <c r="P8025" s="42"/>
      <c r="AB8025" s="38"/>
    </row>
    <row r="8026">
      <c r="P8026" s="42"/>
      <c r="AB8026" s="38"/>
    </row>
    <row r="8027">
      <c r="P8027" s="42"/>
      <c r="AB8027" s="38"/>
    </row>
    <row r="8028">
      <c r="P8028" s="42"/>
      <c r="AB8028" s="38"/>
    </row>
    <row r="8029">
      <c r="P8029" s="42"/>
      <c r="AB8029" s="38"/>
    </row>
    <row r="8030">
      <c r="P8030" s="42"/>
      <c r="AB8030" s="38"/>
    </row>
    <row r="8031">
      <c r="P8031" s="42"/>
      <c r="AB8031" s="38"/>
    </row>
    <row r="8032">
      <c r="P8032" s="42"/>
      <c r="AB8032" s="38"/>
    </row>
    <row r="8033">
      <c r="P8033" s="42"/>
      <c r="AB8033" s="38"/>
    </row>
    <row r="8034">
      <c r="P8034" s="42"/>
      <c r="AB8034" s="38"/>
    </row>
    <row r="8035">
      <c r="P8035" s="42"/>
      <c r="AB8035" s="38"/>
    </row>
    <row r="8036">
      <c r="P8036" s="42"/>
      <c r="AB8036" s="38"/>
    </row>
    <row r="8037">
      <c r="P8037" s="42"/>
      <c r="AB8037" s="38"/>
    </row>
    <row r="8038">
      <c r="P8038" s="42"/>
      <c r="AB8038" s="38"/>
    </row>
    <row r="8039">
      <c r="P8039" s="42"/>
      <c r="AB8039" s="38"/>
    </row>
    <row r="8040">
      <c r="P8040" s="42"/>
      <c r="AB8040" s="38"/>
    </row>
    <row r="8041">
      <c r="P8041" s="42"/>
      <c r="AB8041" s="38"/>
    </row>
    <row r="8042">
      <c r="P8042" s="42"/>
      <c r="AB8042" s="38"/>
    </row>
    <row r="8043">
      <c r="P8043" s="42"/>
      <c r="AB8043" s="38"/>
    </row>
    <row r="8044">
      <c r="P8044" s="42"/>
      <c r="AB8044" s="38"/>
    </row>
    <row r="8045">
      <c r="P8045" s="42"/>
      <c r="AB8045" s="38"/>
    </row>
    <row r="8046">
      <c r="P8046" s="42"/>
      <c r="AB8046" s="38"/>
    </row>
    <row r="8047">
      <c r="P8047" s="42"/>
      <c r="AB8047" s="38"/>
    </row>
    <row r="8048">
      <c r="P8048" s="42"/>
      <c r="AB8048" s="38"/>
    </row>
    <row r="8049">
      <c r="P8049" s="42"/>
      <c r="AB8049" s="38"/>
    </row>
    <row r="8050">
      <c r="P8050" s="42"/>
      <c r="AB8050" s="38"/>
    </row>
    <row r="8051">
      <c r="P8051" s="42"/>
      <c r="AB8051" s="38"/>
    </row>
    <row r="8052">
      <c r="P8052" s="42"/>
      <c r="AB8052" s="38"/>
    </row>
    <row r="8053">
      <c r="P8053" s="42"/>
      <c r="AB8053" s="38"/>
    </row>
    <row r="8054">
      <c r="P8054" s="42"/>
      <c r="AB8054" s="38"/>
    </row>
    <row r="8055">
      <c r="P8055" s="42"/>
      <c r="AB8055" s="38"/>
    </row>
    <row r="8056">
      <c r="P8056" s="42"/>
      <c r="AB8056" s="38"/>
    </row>
    <row r="8057">
      <c r="P8057" s="42"/>
      <c r="AB8057" s="38"/>
    </row>
    <row r="8058">
      <c r="P8058" s="42"/>
      <c r="AB8058" s="38"/>
    </row>
    <row r="8059">
      <c r="P8059" s="42"/>
      <c r="AB8059" s="38"/>
    </row>
    <row r="8060">
      <c r="P8060" s="42"/>
      <c r="AB8060" s="38"/>
    </row>
    <row r="8061">
      <c r="P8061" s="42"/>
      <c r="AB8061" s="38"/>
    </row>
    <row r="8062">
      <c r="P8062" s="42"/>
      <c r="AB8062" s="38"/>
    </row>
    <row r="8063">
      <c r="P8063" s="42"/>
      <c r="AB8063" s="38"/>
    </row>
    <row r="8064">
      <c r="P8064" s="42"/>
      <c r="AB8064" s="38"/>
    </row>
    <row r="8065">
      <c r="P8065" s="42"/>
      <c r="AB8065" s="38"/>
    </row>
    <row r="8066">
      <c r="P8066" s="42"/>
      <c r="AB8066" s="38"/>
    </row>
    <row r="8067">
      <c r="P8067" s="42"/>
      <c r="AB8067" s="38"/>
    </row>
    <row r="8068">
      <c r="P8068" s="42"/>
      <c r="AB8068" s="38"/>
    </row>
    <row r="8069">
      <c r="P8069" s="42"/>
      <c r="AB8069" s="38"/>
    </row>
    <row r="8070">
      <c r="P8070" s="42"/>
      <c r="AB8070" s="38"/>
    </row>
    <row r="8071">
      <c r="P8071" s="42"/>
      <c r="AB8071" s="38"/>
    </row>
    <row r="8072">
      <c r="P8072" s="42"/>
      <c r="AB8072" s="38"/>
    </row>
    <row r="8073">
      <c r="P8073" s="42"/>
      <c r="AB8073" s="38"/>
    </row>
    <row r="8074">
      <c r="P8074" s="42"/>
      <c r="AB8074" s="38"/>
    </row>
    <row r="8075">
      <c r="P8075" s="42"/>
      <c r="AB8075" s="38"/>
    </row>
    <row r="8076">
      <c r="P8076" s="42"/>
      <c r="AB8076" s="38"/>
    </row>
    <row r="8077">
      <c r="P8077" s="42"/>
      <c r="AB8077" s="38"/>
    </row>
    <row r="8078">
      <c r="P8078" s="42"/>
      <c r="AB8078" s="38"/>
    </row>
    <row r="8079">
      <c r="P8079" s="42"/>
      <c r="AB8079" s="38"/>
    </row>
    <row r="8080">
      <c r="P8080" s="42"/>
      <c r="AB8080" s="38"/>
    </row>
    <row r="8081">
      <c r="P8081" s="42"/>
      <c r="AB8081" s="38"/>
    </row>
    <row r="8082">
      <c r="P8082" s="42"/>
      <c r="AB8082" s="38"/>
    </row>
    <row r="8083">
      <c r="P8083" s="42"/>
      <c r="AB8083" s="38"/>
    </row>
    <row r="8084">
      <c r="P8084" s="42"/>
      <c r="AB8084" s="38"/>
    </row>
    <row r="8085">
      <c r="P8085" s="42"/>
      <c r="AB8085" s="38"/>
    </row>
    <row r="8086">
      <c r="P8086" s="42"/>
      <c r="AB8086" s="38"/>
    </row>
    <row r="8087">
      <c r="P8087" s="42"/>
      <c r="AB8087" s="38"/>
    </row>
    <row r="8088">
      <c r="P8088" s="42"/>
      <c r="AB8088" s="38"/>
    </row>
    <row r="8089">
      <c r="P8089" s="42"/>
      <c r="AB8089" s="38"/>
    </row>
    <row r="8090">
      <c r="P8090" s="42"/>
      <c r="AB8090" s="38"/>
    </row>
    <row r="8091">
      <c r="P8091" s="42"/>
      <c r="AB8091" s="38"/>
    </row>
    <row r="8092">
      <c r="P8092" s="42"/>
      <c r="AB8092" s="38"/>
    </row>
    <row r="8093">
      <c r="P8093" s="42"/>
      <c r="AB8093" s="38"/>
    </row>
    <row r="8094">
      <c r="P8094" s="42"/>
      <c r="AB8094" s="38"/>
    </row>
    <row r="8095">
      <c r="P8095" s="42"/>
      <c r="AB8095" s="38"/>
    </row>
    <row r="8096">
      <c r="P8096" s="42"/>
      <c r="AB8096" s="38"/>
    </row>
    <row r="8097">
      <c r="P8097" s="42"/>
      <c r="AB8097" s="38"/>
    </row>
    <row r="8098">
      <c r="P8098" s="42"/>
      <c r="AB8098" s="38"/>
    </row>
    <row r="8099">
      <c r="P8099" s="42"/>
      <c r="AB8099" s="38"/>
    </row>
    <row r="8100">
      <c r="P8100" s="42"/>
      <c r="AB8100" s="38"/>
    </row>
    <row r="8101">
      <c r="P8101" s="42"/>
      <c r="AB8101" s="38"/>
    </row>
    <row r="8102">
      <c r="P8102" s="42"/>
      <c r="AB8102" s="38"/>
    </row>
    <row r="8103">
      <c r="P8103" s="42"/>
      <c r="AB8103" s="38"/>
    </row>
    <row r="8104">
      <c r="P8104" s="42"/>
      <c r="AB8104" s="38"/>
    </row>
    <row r="8105">
      <c r="P8105" s="42"/>
      <c r="AB8105" s="38"/>
    </row>
    <row r="8106">
      <c r="P8106" s="42"/>
      <c r="AB8106" s="38"/>
    </row>
    <row r="8107">
      <c r="P8107" s="42"/>
      <c r="AB8107" s="38"/>
    </row>
    <row r="8108">
      <c r="P8108" s="42"/>
      <c r="AB8108" s="38"/>
    </row>
    <row r="8109">
      <c r="P8109" s="42"/>
      <c r="AB8109" s="38"/>
    </row>
    <row r="8110">
      <c r="P8110" s="42"/>
      <c r="AB8110" s="38"/>
    </row>
    <row r="8111">
      <c r="P8111" s="42"/>
      <c r="AB8111" s="38"/>
    </row>
    <row r="8112">
      <c r="P8112" s="42"/>
      <c r="AB8112" s="38"/>
    </row>
    <row r="8113">
      <c r="P8113" s="42"/>
      <c r="AB8113" s="38"/>
    </row>
    <row r="8114">
      <c r="P8114" s="42"/>
      <c r="AB8114" s="38"/>
    </row>
    <row r="8115">
      <c r="P8115" s="42"/>
      <c r="AB8115" s="38"/>
    </row>
    <row r="8116">
      <c r="P8116" s="42"/>
      <c r="AB8116" s="38"/>
    </row>
    <row r="8117">
      <c r="P8117" s="42"/>
      <c r="AB8117" s="38"/>
    </row>
    <row r="8118">
      <c r="P8118" s="42"/>
      <c r="AB8118" s="38"/>
    </row>
    <row r="8119">
      <c r="P8119" s="42"/>
      <c r="AB8119" s="38"/>
    </row>
    <row r="8120">
      <c r="P8120" s="42"/>
      <c r="AB8120" s="38"/>
    </row>
    <row r="8121">
      <c r="P8121" s="42"/>
      <c r="AB8121" s="38"/>
    </row>
    <row r="8122">
      <c r="P8122" s="42"/>
      <c r="AB8122" s="38"/>
    </row>
    <row r="8123">
      <c r="P8123" s="42"/>
      <c r="AB8123" s="38"/>
    </row>
    <row r="8124">
      <c r="P8124" s="42"/>
      <c r="AB8124" s="38"/>
    </row>
    <row r="8125">
      <c r="P8125" s="42"/>
      <c r="AB8125" s="38"/>
    </row>
    <row r="8126">
      <c r="P8126" s="42"/>
      <c r="AB8126" s="38"/>
    </row>
    <row r="8127">
      <c r="P8127" s="42"/>
      <c r="AB8127" s="38"/>
    </row>
    <row r="8128">
      <c r="P8128" s="42"/>
      <c r="AB8128" s="38"/>
    </row>
    <row r="8129">
      <c r="P8129" s="42"/>
      <c r="AB8129" s="38"/>
    </row>
    <row r="8130">
      <c r="P8130" s="42"/>
      <c r="AB8130" s="38"/>
    </row>
    <row r="8131">
      <c r="P8131" s="42"/>
      <c r="AB8131" s="38"/>
    </row>
    <row r="8132">
      <c r="P8132" s="42"/>
      <c r="AB8132" s="38"/>
    </row>
    <row r="8133">
      <c r="P8133" s="42"/>
      <c r="AB8133" s="38"/>
    </row>
    <row r="8134">
      <c r="P8134" s="42"/>
      <c r="AB8134" s="38"/>
    </row>
    <row r="8135">
      <c r="P8135" s="42"/>
      <c r="AB8135" s="38"/>
    </row>
    <row r="8136">
      <c r="P8136" s="42"/>
      <c r="AB8136" s="38"/>
    </row>
    <row r="8137">
      <c r="P8137" s="42"/>
      <c r="AB8137" s="38"/>
    </row>
    <row r="8138">
      <c r="P8138" s="42"/>
      <c r="AB8138" s="38"/>
    </row>
    <row r="8139">
      <c r="P8139" s="42"/>
      <c r="AB8139" s="38"/>
    </row>
    <row r="8140">
      <c r="P8140" s="42"/>
      <c r="AB8140" s="38"/>
    </row>
    <row r="8141">
      <c r="P8141" s="42"/>
      <c r="AB8141" s="38"/>
    </row>
    <row r="8142">
      <c r="P8142" s="42"/>
      <c r="AB8142" s="38"/>
    </row>
    <row r="8143">
      <c r="P8143" s="42"/>
      <c r="AB8143" s="38"/>
    </row>
    <row r="8144">
      <c r="P8144" s="42"/>
      <c r="AB8144" s="38"/>
    </row>
    <row r="8145">
      <c r="P8145" s="42"/>
      <c r="AB8145" s="38"/>
    </row>
    <row r="8146">
      <c r="P8146" s="42"/>
      <c r="AB8146" s="38"/>
    </row>
    <row r="8147">
      <c r="P8147" s="42"/>
      <c r="AB8147" s="38"/>
    </row>
    <row r="8148">
      <c r="P8148" s="42"/>
      <c r="AB8148" s="38"/>
    </row>
    <row r="8149">
      <c r="P8149" s="42"/>
      <c r="AB8149" s="38"/>
    </row>
    <row r="8150">
      <c r="P8150" s="42"/>
      <c r="AB8150" s="38"/>
    </row>
    <row r="8151">
      <c r="P8151" s="42"/>
      <c r="AB8151" s="38"/>
    </row>
    <row r="8152">
      <c r="P8152" s="42"/>
      <c r="AB8152" s="38"/>
    </row>
    <row r="8153">
      <c r="P8153" s="42"/>
      <c r="AB8153" s="38"/>
    </row>
    <row r="8154">
      <c r="P8154" s="42"/>
      <c r="AB8154" s="38"/>
    </row>
    <row r="8155">
      <c r="P8155" s="42"/>
      <c r="AB8155" s="38"/>
    </row>
    <row r="8156">
      <c r="P8156" s="42"/>
      <c r="AB8156" s="38"/>
    </row>
    <row r="8157">
      <c r="P8157" s="42"/>
      <c r="AB8157" s="38"/>
    </row>
    <row r="8158">
      <c r="P8158" s="42"/>
      <c r="AB8158" s="38"/>
    </row>
    <row r="8159">
      <c r="P8159" s="42"/>
      <c r="AB8159" s="38"/>
    </row>
    <row r="8160">
      <c r="P8160" s="42"/>
      <c r="AB8160" s="38"/>
    </row>
    <row r="8161">
      <c r="P8161" s="42"/>
      <c r="AB8161" s="38"/>
    </row>
    <row r="8162">
      <c r="P8162" s="42"/>
      <c r="AB8162" s="38"/>
    </row>
    <row r="8163">
      <c r="P8163" s="42"/>
      <c r="AB8163" s="38"/>
    </row>
    <row r="8164">
      <c r="P8164" s="42"/>
      <c r="AB8164" s="38"/>
    </row>
    <row r="8165">
      <c r="P8165" s="42"/>
      <c r="AB8165" s="38"/>
    </row>
    <row r="8166">
      <c r="P8166" s="42"/>
      <c r="AB8166" s="38"/>
    </row>
    <row r="8167">
      <c r="P8167" s="42"/>
      <c r="AB8167" s="38"/>
    </row>
    <row r="8168">
      <c r="P8168" s="42"/>
      <c r="AB8168" s="38"/>
    </row>
    <row r="8169">
      <c r="P8169" s="42"/>
      <c r="AB8169" s="38"/>
    </row>
    <row r="8170">
      <c r="P8170" s="42"/>
      <c r="AB8170" s="38"/>
    </row>
    <row r="8171">
      <c r="P8171" s="42"/>
      <c r="AB8171" s="38"/>
    </row>
    <row r="8172">
      <c r="P8172" s="42"/>
      <c r="AB8172" s="38"/>
    </row>
    <row r="8173">
      <c r="P8173" s="42"/>
      <c r="AB8173" s="38"/>
    </row>
    <row r="8174">
      <c r="P8174" s="42"/>
      <c r="AB8174" s="38"/>
    </row>
    <row r="8175">
      <c r="P8175" s="42"/>
      <c r="AB8175" s="38"/>
    </row>
    <row r="8176">
      <c r="P8176" s="42"/>
      <c r="AB8176" s="38"/>
    </row>
    <row r="8177">
      <c r="P8177" s="42"/>
      <c r="AB8177" s="38"/>
    </row>
    <row r="8178">
      <c r="P8178" s="42"/>
      <c r="AB8178" s="38"/>
    </row>
    <row r="8179">
      <c r="P8179" s="42"/>
      <c r="AB8179" s="38"/>
    </row>
    <row r="8180">
      <c r="P8180" s="42"/>
      <c r="AB8180" s="38"/>
    </row>
    <row r="8181">
      <c r="P8181" s="42"/>
      <c r="AB8181" s="38"/>
    </row>
    <row r="8182">
      <c r="P8182" s="42"/>
      <c r="AB8182" s="38"/>
    </row>
    <row r="8183">
      <c r="P8183" s="42"/>
      <c r="AB8183" s="38"/>
    </row>
    <row r="8184">
      <c r="P8184" s="42"/>
      <c r="AB8184" s="38"/>
    </row>
    <row r="8185">
      <c r="P8185" s="42"/>
      <c r="AB8185" s="38"/>
    </row>
    <row r="8186">
      <c r="P8186" s="42"/>
      <c r="AB8186" s="38"/>
    </row>
    <row r="8187">
      <c r="P8187" s="42"/>
      <c r="AB8187" s="38"/>
    </row>
    <row r="8188">
      <c r="P8188" s="42"/>
      <c r="AB8188" s="38"/>
    </row>
    <row r="8189">
      <c r="P8189" s="42"/>
      <c r="AB8189" s="38"/>
    </row>
    <row r="8190">
      <c r="P8190" s="42"/>
      <c r="AB8190" s="38"/>
    </row>
    <row r="8191">
      <c r="P8191" s="42"/>
      <c r="AB8191" s="38"/>
    </row>
    <row r="8192">
      <c r="P8192" s="42"/>
      <c r="AB8192" s="38"/>
    </row>
    <row r="8193">
      <c r="P8193" s="42"/>
      <c r="AB8193" s="38"/>
    </row>
    <row r="8194">
      <c r="P8194" s="42"/>
      <c r="AB8194" s="38"/>
    </row>
    <row r="8195">
      <c r="P8195" s="42"/>
      <c r="AB8195" s="38"/>
    </row>
    <row r="8196">
      <c r="P8196" s="42"/>
      <c r="AB8196" s="38"/>
    </row>
    <row r="8197">
      <c r="P8197" s="42"/>
      <c r="AB8197" s="38"/>
    </row>
    <row r="8198">
      <c r="P8198" s="42"/>
      <c r="AB8198" s="38"/>
    </row>
    <row r="8199">
      <c r="P8199" s="42"/>
      <c r="AB8199" s="38"/>
    </row>
    <row r="8200">
      <c r="P8200" s="42"/>
      <c r="AB8200" s="38"/>
    </row>
    <row r="8201">
      <c r="P8201" s="42"/>
      <c r="AB8201" s="38"/>
    </row>
    <row r="8202">
      <c r="P8202" s="42"/>
      <c r="AB8202" s="38"/>
    </row>
    <row r="8203">
      <c r="P8203" s="42"/>
      <c r="AB8203" s="38"/>
    </row>
    <row r="8204">
      <c r="P8204" s="42"/>
      <c r="AB8204" s="38"/>
    </row>
    <row r="8205">
      <c r="P8205" s="42"/>
      <c r="AB8205" s="38"/>
    </row>
    <row r="8206">
      <c r="P8206" s="42"/>
      <c r="AB8206" s="38"/>
    </row>
    <row r="8207">
      <c r="P8207" s="42"/>
      <c r="AB8207" s="38"/>
    </row>
    <row r="8208">
      <c r="P8208" s="42"/>
      <c r="AB8208" s="38"/>
    </row>
    <row r="8209">
      <c r="P8209" s="42"/>
      <c r="AB8209" s="38"/>
    </row>
    <row r="8210">
      <c r="P8210" s="42"/>
      <c r="AB8210" s="38"/>
    </row>
    <row r="8211">
      <c r="P8211" s="42"/>
      <c r="AB8211" s="38"/>
    </row>
    <row r="8212">
      <c r="P8212" s="42"/>
      <c r="AB8212" s="38"/>
    </row>
    <row r="8213">
      <c r="P8213" s="42"/>
      <c r="AB8213" s="38"/>
    </row>
    <row r="8214">
      <c r="P8214" s="42"/>
      <c r="AB8214" s="38"/>
    </row>
    <row r="8215">
      <c r="P8215" s="42"/>
      <c r="AB8215" s="38"/>
    </row>
    <row r="8216">
      <c r="P8216" s="42"/>
      <c r="AB8216" s="38"/>
    </row>
    <row r="8217">
      <c r="P8217" s="42"/>
      <c r="AB8217" s="38"/>
    </row>
    <row r="8218">
      <c r="P8218" s="42"/>
      <c r="AB8218" s="38"/>
    </row>
    <row r="8219">
      <c r="P8219" s="42"/>
      <c r="AB8219" s="38"/>
    </row>
    <row r="8220">
      <c r="P8220" s="42"/>
      <c r="AB8220" s="38"/>
    </row>
    <row r="8221">
      <c r="P8221" s="42"/>
      <c r="AB8221" s="38"/>
    </row>
    <row r="8222">
      <c r="P8222" s="42"/>
      <c r="AB8222" s="38"/>
    </row>
    <row r="8223">
      <c r="P8223" s="42"/>
      <c r="AB8223" s="38"/>
    </row>
    <row r="8224">
      <c r="P8224" s="42"/>
      <c r="AB8224" s="38"/>
    </row>
    <row r="8225">
      <c r="P8225" s="42"/>
      <c r="AB8225" s="38"/>
    </row>
    <row r="8226">
      <c r="P8226" s="42"/>
      <c r="AB8226" s="38"/>
    </row>
    <row r="8227">
      <c r="P8227" s="42"/>
      <c r="AB8227" s="38"/>
    </row>
    <row r="8228">
      <c r="P8228" s="42"/>
      <c r="AB8228" s="38"/>
    </row>
    <row r="8229">
      <c r="P8229" s="42"/>
      <c r="AB8229" s="38"/>
    </row>
    <row r="8230">
      <c r="P8230" s="42"/>
      <c r="AB8230" s="38"/>
    </row>
    <row r="8231">
      <c r="P8231" s="42"/>
      <c r="AB8231" s="38"/>
    </row>
    <row r="8232">
      <c r="P8232" s="42"/>
      <c r="AB8232" s="38"/>
    </row>
    <row r="8233">
      <c r="P8233" s="42"/>
      <c r="AB8233" s="38"/>
    </row>
    <row r="8234">
      <c r="P8234" s="42"/>
      <c r="AB8234" s="38"/>
    </row>
    <row r="8235">
      <c r="P8235" s="42"/>
      <c r="AB8235" s="38"/>
    </row>
    <row r="8236">
      <c r="P8236" s="42"/>
      <c r="AB8236" s="38"/>
    </row>
    <row r="8237">
      <c r="P8237" s="42"/>
      <c r="AB8237" s="38"/>
    </row>
    <row r="8238">
      <c r="P8238" s="42"/>
      <c r="AB8238" s="38"/>
    </row>
    <row r="8239">
      <c r="P8239" s="42"/>
      <c r="AB8239" s="38"/>
    </row>
    <row r="8240">
      <c r="P8240" s="42"/>
      <c r="AB8240" s="38"/>
    </row>
    <row r="8241">
      <c r="P8241" s="42"/>
      <c r="AB8241" s="38"/>
    </row>
    <row r="8242">
      <c r="P8242" s="42"/>
      <c r="AB8242" s="38"/>
    </row>
    <row r="8243">
      <c r="P8243" s="42"/>
      <c r="AB8243" s="38"/>
    </row>
    <row r="8244">
      <c r="P8244" s="42"/>
      <c r="AB8244" s="38"/>
    </row>
    <row r="8245">
      <c r="P8245" s="42"/>
      <c r="AB8245" s="38"/>
    </row>
    <row r="8246">
      <c r="P8246" s="42"/>
      <c r="AB8246" s="38"/>
    </row>
    <row r="8247">
      <c r="P8247" s="42"/>
      <c r="AB8247" s="38"/>
    </row>
    <row r="8248">
      <c r="P8248" s="42"/>
      <c r="AB8248" s="38"/>
    </row>
    <row r="8249">
      <c r="P8249" s="42"/>
      <c r="AB8249" s="38"/>
    </row>
    <row r="8250">
      <c r="P8250" s="42"/>
      <c r="AB8250" s="38"/>
    </row>
    <row r="8251">
      <c r="P8251" s="42"/>
      <c r="AB8251" s="38"/>
    </row>
    <row r="8252">
      <c r="P8252" s="42"/>
      <c r="AB8252" s="38"/>
    </row>
    <row r="8253">
      <c r="P8253" s="42"/>
      <c r="AB8253" s="38"/>
    </row>
    <row r="8254">
      <c r="P8254" s="42"/>
      <c r="AB8254" s="38"/>
    </row>
    <row r="8255">
      <c r="P8255" s="42"/>
      <c r="AB8255" s="38"/>
    </row>
    <row r="8256">
      <c r="P8256" s="42"/>
      <c r="AB8256" s="38"/>
    </row>
    <row r="8257">
      <c r="P8257" s="42"/>
      <c r="AB8257" s="38"/>
    </row>
    <row r="8258">
      <c r="P8258" s="42"/>
      <c r="AB8258" s="38"/>
    </row>
    <row r="8259">
      <c r="P8259" s="42"/>
      <c r="AB8259" s="38"/>
    </row>
    <row r="8260">
      <c r="P8260" s="42"/>
      <c r="AB8260" s="38"/>
    </row>
    <row r="8261">
      <c r="P8261" s="42"/>
      <c r="AB8261" s="38"/>
    </row>
    <row r="8262">
      <c r="P8262" s="42"/>
      <c r="AB8262" s="38"/>
    </row>
    <row r="8263">
      <c r="P8263" s="42"/>
      <c r="AB8263" s="38"/>
    </row>
    <row r="8264">
      <c r="P8264" s="42"/>
      <c r="AB8264" s="38"/>
    </row>
    <row r="8265">
      <c r="P8265" s="42"/>
      <c r="AB8265" s="38"/>
    </row>
    <row r="8266">
      <c r="P8266" s="42"/>
      <c r="AB8266" s="38"/>
    </row>
    <row r="8267">
      <c r="P8267" s="42"/>
      <c r="AB8267" s="38"/>
    </row>
    <row r="8268">
      <c r="P8268" s="42"/>
      <c r="AB8268" s="38"/>
    </row>
    <row r="8269">
      <c r="P8269" s="42"/>
      <c r="AB8269" s="38"/>
    </row>
    <row r="8270">
      <c r="P8270" s="42"/>
      <c r="AB8270" s="38"/>
    </row>
    <row r="8271">
      <c r="P8271" s="42"/>
      <c r="AB8271" s="38"/>
    </row>
    <row r="8272">
      <c r="P8272" s="42"/>
      <c r="AB8272" s="38"/>
    </row>
    <row r="8273">
      <c r="P8273" s="42"/>
      <c r="AB8273" s="38"/>
    </row>
    <row r="8274">
      <c r="P8274" s="42"/>
      <c r="AB8274" s="38"/>
    </row>
    <row r="8275">
      <c r="P8275" s="42"/>
      <c r="AB8275" s="38"/>
    </row>
    <row r="8276">
      <c r="P8276" s="42"/>
      <c r="AB8276" s="38"/>
    </row>
    <row r="8277">
      <c r="P8277" s="42"/>
      <c r="AB8277" s="38"/>
    </row>
    <row r="8278">
      <c r="P8278" s="42"/>
      <c r="AB8278" s="38"/>
    </row>
    <row r="8279">
      <c r="P8279" s="42"/>
      <c r="AB8279" s="38"/>
    </row>
    <row r="8280">
      <c r="P8280" s="42"/>
      <c r="AB8280" s="38"/>
    </row>
    <row r="8281">
      <c r="P8281" s="42"/>
      <c r="AB8281" s="38"/>
    </row>
    <row r="8282">
      <c r="P8282" s="42"/>
      <c r="AB8282" s="38"/>
    </row>
    <row r="8283">
      <c r="P8283" s="42"/>
      <c r="AB8283" s="38"/>
    </row>
    <row r="8284">
      <c r="P8284" s="42"/>
      <c r="AB8284" s="38"/>
    </row>
    <row r="8285">
      <c r="P8285" s="42"/>
      <c r="AB8285" s="38"/>
    </row>
    <row r="8286">
      <c r="P8286" s="42"/>
      <c r="AB8286" s="38"/>
    </row>
    <row r="8287">
      <c r="P8287" s="42"/>
      <c r="AB8287" s="38"/>
    </row>
    <row r="8288">
      <c r="P8288" s="42"/>
      <c r="AB8288" s="38"/>
    </row>
    <row r="8289">
      <c r="P8289" s="42"/>
      <c r="AB8289" s="38"/>
    </row>
    <row r="8290">
      <c r="P8290" s="42"/>
      <c r="AB8290" s="38"/>
    </row>
    <row r="8291">
      <c r="P8291" s="42"/>
      <c r="AB8291" s="38"/>
    </row>
    <row r="8292">
      <c r="P8292" s="42"/>
      <c r="AB8292" s="38"/>
    </row>
    <row r="8293">
      <c r="P8293" s="42"/>
      <c r="AB8293" s="38"/>
    </row>
    <row r="8294">
      <c r="P8294" s="42"/>
      <c r="AB8294" s="38"/>
    </row>
    <row r="8295">
      <c r="P8295" s="42"/>
      <c r="AB8295" s="38"/>
    </row>
    <row r="8296">
      <c r="P8296" s="42"/>
      <c r="AB8296" s="38"/>
    </row>
    <row r="8297">
      <c r="P8297" s="42"/>
      <c r="AB8297" s="38"/>
    </row>
    <row r="8298">
      <c r="P8298" s="42"/>
      <c r="AB8298" s="38"/>
    </row>
    <row r="8299">
      <c r="P8299" s="42"/>
      <c r="AB8299" s="38"/>
    </row>
    <row r="8300">
      <c r="P8300" s="42"/>
      <c r="AB8300" s="38"/>
    </row>
    <row r="8301">
      <c r="P8301" s="42"/>
      <c r="AB8301" s="38"/>
    </row>
    <row r="8302">
      <c r="P8302" s="42"/>
      <c r="AB8302" s="38"/>
    </row>
    <row r="8303">
      <c r="P8303" s="42"/>
      <c r="AB8303" s="38"/>
    </row>
    <row r="8304">
      <c r="P8304" s="42"/>
      <c r="AB8304" s="38"/>
    </row>
    <row r="8305">
      <c r="P8305" s="42"/>
      <c r="AB8305" s="38"/>
    </row>
    <row r="8306">
      <c r="P8306" s="42"/>
      <c r="AB8306" s="38"/>
    </row>
    <row r="8307">
      <c r="P8307" s="42"/>
      <c r="AB8307" s="38"/>
    </row>
    <row r="8308">
      <c r="P8308" s="42"/>
      <c r="AB8308" s="38"/>
    </row>
    <row r="8309">
      <c r="P8309" s="42"/>
      <c r="AB8309" s="38"/>
    </row>
    <row r="8310">
      <c r="P8310" s="42"/>
      <c r="AB8310" s="38"/>
    </row>
    <row r="8311">
      <c r="P8311" s="42"/>
      <c r="AB8311" s="38"/>
    </row>
    <row r="8312">
      <c r="P8312" s="42"/>
      <c r="AB8312" s="38"/>
    </row>
    <row r="8313">
      <c r="P8313" s="42"/>
      <c r="AB8313" s="38"/>
    </row>
    <row r="8314">
      <c r="P8314" s="42"/>
      <c r="AB8314" s="38"/>
    </row>
    <row r="8315">
      <c r="P8315" s="42"/>
      <c r="AB8315" s="38"/>
    </row>
    <row r="8316">
      <c r="P8316" s="42"/>
      <c r="AB8316" s="38"/>
    </row>
    <row r="8317">
      <c r="P8317" s="42"/>
      <c r="AB8317" s="38"/>
    </row>
    <row r="8318">
      <c r="P8318" s="42"/>
      <c r="AB8318" s="38"/>
    </row>
    <row r="8319">
      <c r="P8319" s="42"/>
      <c r="AB8319" s="38"/>
    </row>
    <row r="8320">
      <c r="P8320" s="42"/>
      <c r="AB8320" s="38"/>
    </row>
    <row r="8321">
      <c r="P8321" s="42"/>
      <c r="AB8321" s="38"/>
    </row>
    <row r="8322">
      <c r="P8322" s="42"/>
      <c r="AB8322" s="38"/>
    </row>
    <row r="8323">
      <c r="P8323" s="42"/>
      <c r="AB8323" s="38"/>
    </row>
    <row r="8324">
      <c r="P8324" s="42"/>
      <c r="AB8324" s="38"/>
    </row>
    <row r="8325">
      <c r="P8325" s="42"/>
      <c r="AB8325" s="38"/>
    </row>
    <row r="8326">
      <c r="P8326" s="42"/>
      <c r="AB8326" s="38"/>
    </row>
    <row r="8327">
      <c r="P8327" s="42"/>
      <c r="AB8327" s="38"/>
    </row>
    <row r="8328">
      <c r="P8328" s="42"/>
      <c r="AB8328" s="38"/>
    </row>
    <row r="8329">
      <c r="P8329" s="42"/>
      <c r="AB8329" s="38"/>
    </row>
    <row r="8330">
      <c r="P8330" s="42"/>
      <c r="AB8330" s="38"/>
    </row>
    <row r="8331">
      <c r="P8331" s="42"/>
      <c r="AB8331" s="38"/>
    </row>
    <row r="8332">
      <c r="P8332" s="42"/>
      <c r="AB8332" s="38"/>
    </row>
    <row r="8333">
      <c r="P8333" s="42"/>
      <c r="AB8333" s="38"/>
    </row>
    <row r="8334">
      <c r="P8334" s="42"/>
      <c r="AB8334" s="38"/>
    </row>
    <row r="8335">
      <c r="P8335" s="42"/>
      <c r="AB8335" s="38"/>
    </row>
    <row r="8336">
      <c r="P8336" s="42"/>
      <c r="AB8336" s="38"/>
    </row>
    <row r="8337">
      <c r="P8337" s="42"/>
      <c r="AB8337" s="38"/>
    </row>
    <row r="8338">
      <c r="P8338" s="42"/>
      <c r="AB8338" s="38"/>
    </row>
    <row r="8339">
      <c r="P8339" s="42"/>
      <c r="AB8339" s="38"/>
    </row>
    <row r="8340">
      <c r="P8340" s="42"/>
      <c r="AB8340" s="38"/>
    </row>
    <row r="8341">
      <c r="P8341" s="42"/>
      <c r="AB8341" s="38"/>
    </row>
    <row r="8342">
      <c r="P8342" s="42"/>
      <c r="AB8342" s="38"/>
    </row>
    <row r="8343">
      <c r="P8343" s="42"/>
      <c r="AB8343" s="38"/>
    </row>
    <row r="8344">
      <c r="P8344" s="42"/>
      <c r="AB8344" s="38"/>
    </row>
    <row r="8345">
      <c r="P8345" s="42"/>
      <c r="AB8345" s="38"/>
    </row>
    <row r="8346">
      <c r="P8346" s="42"/>
      <c r="AB8346" s="38"/>
    </row>
    <row r="8347">
      <c r="P8347" s="42"/>
      <c r="AB8347" s="38"/>
    </row>
    <row r="8348">
      <c r="P8348" s="42"/>
      <c r="AB8348" s="38"/>
    </row>
    <row r="8349">
      <c r="P8349" s="42"/>
      <c r="AB8349" s="38"/>
    </row>
    <row r="8350">
      <c r="P8350" s="42"/>
      <c r="AB8350" s="38"/>
    </row>
    <row r="8351">
      <c r="P8351" s="42"/>
      <c r="AB8351" s="38"/>
    </row>
    <row r="8352">
      <c r="P8352" s="42"/>
      <c r="AB8352" s="38"/>
    </row>
    <row r="8353">
      <c r="P8353" s="42"/>
      <c r="AB8353" s="38"/>
    </row>
    <row r="8354">
      <c r="P8354" s="42"/>
      <c r="AB8354" s="38"/>
    </row>
    <row r="8355">
      <c r="P8355" s="42"/>
      <c r="AB8355" s="38"/>
    </row>
    <row r="8356">
      <c r="P8356" s="42"/>
      <c r="AB8356" s="38"/>
    </row>
    <row r="8357">
      <c r="P8357" s="42"/>
      <c r="AB8357" s="38"/>
    </row>
    <row r="8358">
      <c r="P8358" s="42"/>
      <c r="AB8358" s="38"/>
    </row>
    <row r="8359">
      <c r="P8359" s="42"/>
      <c r="AB8359" s="38"/>
    </row>
    <row r="8360">
      <c r="P8360" s="42"/>
      <c r="AB8360" s="38"/>
    </row>
    <row r="8361">
      <c r="P8361" s="42"/>
      <c r="AB8361" s="38"/>
    </row>
    <row r="8362">
      <c r="P8362" s="42"/>
      <c r="AB8362" s="38"/>
    </row>
    <row r="8363">
      <c r="P8363" s="42"/>
      <c r="AB8363" s="38"/>
    </row>
    <row r="8364">
      <c r="P8364" s="42"/>
      <c r="AB8364" s="38"/>
    </row>
    <row r="8365">
      <c r="P8365" s="42"/>
      <c r="AB8365" s="38"/>
    </row>
    <row r="8366">
      <c r="P8366" s="42"/>
      <c r="AB8366" s="38"/>
    </row>
    <row r="8367">
      <c r="P8367" s="42"/>
      <c r="AB8367" s="38"/>
    </row>
    <row r="8368">
      <c r="P8368" s="42"/>
      <c r="AB8368" s="38"/>
    </row>
    <row r="8369">
      <c r="P8369" s="42"/>
      <c r="AB8369" s="38"/>
    </row>
    <row r="8370">
      <c r="P8370" s="42"/>
      <c r="AB8370" s="38"/>
    </row>
    <row r="8371">
      <c r="P8371" s="42"/>
      <c r="AB8371" s="38"/>
    </row>
    <row r="8372">
      <c r="P8372" s="42"/>
      <c r="AB8372" s="38"/>
    </row>
    <row r="8373">
      <c r="P8373" s="42"/>
      <c r="AB8373" s="38"/>
    </row>
    <row r="8374">
      <c r="P8374" s="42"/>
      <c r="AB8374" s="38"/>
    </row>
    <row r="8375">
      <c r="P8375" s="42"/>
      <c r="AB8375" s="38"/>
    </row>
    <row r="8376">
      <c r="P8376" s="42"/>
      <c r="AB8376" s="38"/>
    </row>
    <row r="8377">
      <c r="P8377" s="42"/>
      <c r="AB8377" s="38"/>
    </row>
    <row r="8378">
      <c r="P8378" s="42"/>
      <c r="AB8378" s="38"/>
    </row>
    <row r="8379">
      <c r="P8379" s="42"/>
      <c r="AB8379" s="38"/>
    </row>
    <row r="8380">
      <c r="P8380" s="42"/>
      <c r="AB8380" s="38"/>
    </row>
    <row r="8381">
      <c r="P8381" s="42"/>
      <c r="AB8381" s="38"/>
    </row>
    <row r="8382">
      <c r="P8382" s="42"/>
      <c r="AB8382" s="38"/>
    </row>
    <row r="8383">
      <c r="P8383" s="42"/>
      <c r="AB8383" s="38"/>
    </row>
    <row r="8384">
      <c r="P8384" s="42"/>
      <c r="AB8384" s="38"/>
    </row>
    <row r="8385">
      <c r="P8385" s="42"/>
      <c r="AB8385" s="38"/>
    </row>
    <row r="8386">
      <c r="P8386" s="42"/>
      <c r="AB8386" s="38"/>
    </row>
    <row r="8387">
      <c r="P8387" s="42"/>
      <c r="AB8387" s="38"/>
    </row>
    <row r="8388">
      <c r="P8388" s="42"/>
      <c r="AB8388" s="38"/>
    </row>
    <row r="8389">
      <c r="P8389" s="42"/>
      <c r="AB8389" s="38"/>
    </row>
    <row r="8390">
      <c r="P8390" s="42"/>
      <c r="AB8390" s="38"/>
    </row>
    <row r="8391">
      <c r="P8391" s="42"/>
      <c r="AB8391" s="38"/>
    </row>
    <row r="8392">
      <c r="P8392" s="42"/>
      <c r="AB8392" s="38"/>
    </row>
    <row r="8393">
      <c r="P8393" s="42"/>
      <c r="AB8393" s="38"/>
    </row>
    <row r="8394">
      <c r="P8394" s="42"/>
      <c r="AB8394" s="38"/>
    </row>
    <row r="8395">
      <c r="P8395" s="42"/>
      <c r="AB8395" s="38"/>
    </row>
    <row r="8396">
      <c r="P8396" s="42"/>
      <c r="AB8396" s="38"/>
    </row>
    <row r="8397">
      <c r="P8397" s="42"/>
      <c r="AB8397" s="38"/>
    </row>
    <row r="8398">
      <c r="P8398" s="42"/>
      <c r="AB8398" s="38"/>
    </row>
    <row r="8399">
      <c r="P8399" s="42"/>
      <c r="AB8399" s="38"/>
    </row>
    <row r="8400">
      <c r="P8400" s="42"/>
      <c r="AB8400" s="38"/>
    </row>
    <row r="8401">
      <c r="P8401" s="42"/>
      <c r="AB8401" s="38"/>
    </row>
    <row r="8402">
      <c r="P8402" s="42"/>
      <c r="AB8402" s="38"/>
    </row>
    <row r="8403">
      <c r="P8403" s="42"/>
      <c r="AB8403" s="38"/>
    </row>
    <row r="8404">
      <c r="P8404" s="42"/>
      <c r="AB8404" s="38"/>
    </row>
    <row r="8405">
      <c r="P8405" s="42"/>
      <c r="AB8405" s="38"/>
    </row>
    <row r="8406">
      <c r="P8406" s="42"/>
      <c r="AB8406" s="38"/>
    </row>
    <row r="8407">
      <c r="P8407" s="42"/>
      <c r="AB8407" s="38"/>
    </row>
    <row r="8408">
      <c r="P8408" s="42"/>
      <c r="AB8408" s="38"/>
    </row>
    <row r="8409">
      <c r="P8409" s="42"/>
      <c r="AB8409" s="38"/>
    </row>
    <row r="8410">
      <c r="P8410" s="42"/>
      <c r="AB8410" s="38"/>
    </row>
    <row r="8411">
      <c r="P8411" s="42"/>
      <c r="AB8411" s="38"/>
    </row>
    <row r="8412">
      <c r="P8412" s="42"/>
      <c r="AB8412" s="38"/>
    </row>
    <row r="8413">
      <c r="P8413" s="42"/>
      <c r="AB8413" s="38"/>
    </row>
    <row r="8414">
      <c r="P8414" s="42"/>
      <c r="AB8414" s="38"/>
    </row>
    <row r="8415">
      <c r="P8415" s="42"/>
      <c r="AB8415" s="38"/>
    </row>
    <row r="8416">
      <c r="P8416" s="42"/>
      <c r="AB8416" s="38"/>
    </row>
    <row r="8417">
      <c r="P8417" s="42"/>
      <c r="AB8417" s="38"/>
    </row>
    <row r="8418">
      <c r="P8418" s="42"/>
      <c r="AB8418" s="38"/>
    </row>
    <row r="8419">
      <c r="P8419" s="42"/>
      <c r="AB8419" s="38"/>
    </row>
    <row r="8420">
      <c r="P8420" s="42"/>
      <c r="AB8420" s="38"/>
    </row>
    <row r="8421">
      <c r="P8421" s="42"/>
      <c r="AB8421" s="38"/>
    </row>
    <row r="8422">
      <c r="P8422" s="42"/>
      <c r="AB8422" s="38"/>
    </row>
    <row r="8423">
      <c r="P8423" s="42"/>
      <c r="AB8423" s="38"/>
    </row>
    <row r="8424">
      <c r="P8424" s="42"/>
      <c r="AB8424" s="38"/>
    </row>
    <row r="8425">
      <c r="P8425" s="42"/>
      <c r="AB8425" s="38"/>
    </row>
    <row r="8426">
      <c r="P8426" s="42"/>
      <c r="AB8426" s="38"/>
    </row>
    <row r="8427">
      <c r="P8427" s="42"/>
      <c r="AB8427" s="38"/>
    </row>
    <row r="8428">
      <c r="P8428" s="42"/>
      <c r="AB8428" s="38"/>
    </row>
    <row r="8429">
      <c r="P8429" s="42"/>
      <c r="AB8429" s="38"/>
    </row>
    <row r="8430">
      <c r="P8430" s="42"/>
      <c r="AB8430" s="38"/>
    </row>
    <row r="8431">
      <c r="P8431" s="42"/>
      <c r="AB8431" s="38"/>
    </row>
    <row r="8432">
      <c r="P8432" s="42"/>
      <c r="AB8432" s="38"/>
    </row>
    <row r="8433">
      <c r="P8433" s="42"/>
      <c r="AB8433" s="38"/>
    </row>
    <row r="8434">
      <c r="P8434" s="42"/>
      <c r="AB8434" s="38"/>
    </row>
    <row r="8435">
      <c r="P8435" s="42"/>
      <c r="AB8435" s="38"/>
    </row>
    <row r="8436">
      <c r="P8436" s="42"/>
      <c r="AB8436" s="38"/>
    </row>
    <row r="8437">
      <c r="P8437" s="42"/>
      <c r="AB8437" s="38"/>
    </row>
    <row r="8438">
      <c r="P8438" s="42"/>
      <c r="AB8438" s="38"/>
    </row>
    <row r="8439">
      <c r="P8439" s="42"/>
      <c r="AB8439" s="38"/>
    </row>
    <row r="8440">
      <c r="P8440" s="42"/>
      <c r="AB8440" s="38"/>
    </row>
    <row r="8441">
      <c r="P8441" s="42"/>
      <c r="AB8441" s="38"/>
    </row>
    <row r="8442">
      <c r="P8442" s="42"/>
      <c r="AB8442" s="38"/>
    </row>
    <row r="8443">
      <c r="P8443" s="42"/>
      <c r="AB8443" s="38"/>
    </row>
    <row r="8444">
      <c r="P8444" s="42"/>
      <c r="AB8444" s="38"/>
    </row>
    <row r="8445">
      <c r="P8445" s="42"/>
      <c r="AB8445" s="38"/>
    </row>
    <row r="8446">
      <c r="P8446" s="42"/>
      <c r="AB8446" s="38"/>
    </row>
    <row r="8447">
      <c r="P8447" s="42"/>
      <c r="AB8447" s="38"/>
    </row>
    <row r="8448">
      <c r="P8448" s="42"/>
      <c r="AB8448" s="38"/>
    </row>
    <row r="8449">
      <c r="P8449" s="42"/>
      <c r="AB8449" s="38"/>
    </row>
    <row r="8450">
      <c r="P8450" s="42"/>
      <c r="AB8450" s="38"/>
    </row>
    <row r="8451">
      <c r="P8451" s="42"/>
      <c r="AB8451" s="38"/>
    </row>
    <row r="8452">
      <c r="P8452" s="42"/>
      <c r="AB8452" s="38"/>
    </row>
    <row r="8453">
      <c r="P8453" s="42"/>
      <c r="AB8453" s="38"/>
    </row>
    <row r="8454">
      <c r="P8454" s="42"/>
      <c r="AB8454" s="38"/>
    </row>
    <row r="8455">
      <c r="P8455" s="42"/>
      <c r="AB8455" s="38"/>
    </row>
    <row r="8456">
      <c r="P8456" s="42"/>
      <c r="AB8456" s="38"/>
    </row>
    <row r="8457">
      <c r="P8457" s="42"/>
      <c r="AB8457" s="38"/>
    </row>
    <row r="8458">
      <c r="P8458" s="42"/>
      <c r="AB8458" s="38"/>
    </row>
    <row r="8459">
      <c r="P8459" s="42"/>
      <c r="AB8459" s="38"/>
    </row>
    <row r="8460">
      <c r="P8460" s="42"/>
      <c r="AB8460" s="38"/>
    </row>
    <row r="8461">
      <c r="P8461" s="42"/>
      <c r="AB8461" s="38"/>
    </row>
    <row r="8462">
      <c r="P8462" s="42"/>
      <c r="AB8462" s="38"/>
    </row>
    <row r="8463">
      <c r="P8463" s="42"/>
      <c r="AB8463" s="38"/>
    </row>
    <row r="8464">
      <c r="P8464" s="42"/>
      <c r="AB8464" s="38"/>
    </row>
    <row r="8465">
      <c r="P8465" s="42"/>
      <c r="AB8465" s="38"/>
    </row>
    <row r="8466">
      <c r="P8466" s="42"/>
      <c r="AB8466" s="38"/>
    </row>
    <row r="8467">
      <c r="P8467" s="42"/>
      <c r="AB8467" s="38"/>
    </row>
    <row r="8468">
      <c r="P8468" s="42"/>
      <c r="AB8468" s="38"/>
    </row>
    <row r="8469">
      <c r="P8469" s="42"/>
      <c r="AB8469" s="38"/>
    </row>
    <row r="8470">
      <c r="P8470" s="42"/>
      <c r="AB8470" s="38"/>
    </row>
    <row r="8471">
      <c r="P8471" s="42"/>
      <c r="AB8471" s="38"/>
    </row>
    <row r="8472">
      <c r="P8472" s="42"/>
      <c r="AB8472" s="38"/>
    </row>
    <row r="8473">
      <c r="P8473" s="42"/>
      <c r="AB8473" s="38"/>
    </row>
    <row r="8474">
      <c r="P8474" s="42"/>
      <c r="AB8474" s="38"/>
    </row>
    <row r="8475">
      <c r="P8475" s="42"/>
      <c r="AB8475" s="38"/>
    </row>
    <row r="8476">
      <c r="P8476" s="42"/>
      <c r="AB8476" s="38"/>
    </row>
    <row r="8477">
      <c r="P8477" s="42"/>
      <c r="AB8477" s="38"/>
    </row>
    <row r="8478">
      <c r="P8478" s="42"/>
      <c r="AB8478" s="38"/>
    </row>
    <row r="8479">
      <c r="P8479" s="42"/>
      <c r="AB8479" s="38"/>
    </row>
    <row r="8480">
      <c r="P8480" s="42"/>
      <c r="AB8480" s="38"/>
    </row>
    <row r="8481">
      <c r="P8481" s="42"/>
      <c r="AB8481" s="38"/>
    </row>
    <row r="8482">
      <c r="P8482" s="42"/>
      <c r="AB8482" s="38"/>
    </row>
    <row r="8483">
      <c r="P8483" s="42"/>
      <c r="AB8483" s="38"/>
    </row>
    <row r="8484">
      <c r="P8484" s="42"/>
      <c r="AB8484" s="38"/>
    </row>
    <row r="8485">
      <c r="P8485" s="42"/>
      <c r="AB8485" s="38"/>
    </row>
    <row r="8486">
      <c r="P8486" s="42"/>
      <c r="AB8486" s="38"/>
    </row>
    <row r="8487">
      <c r="P8487" s="42"/>
      <c r="AB8487" s="38"/>
    </row>
    <row r="8488">
      <c r="P8488" s="42"/>
      <c r="AB8488" s="38"/>
    </row>
    <row r="8489">
      <c r="P8489" s="42"/>
      <c r="AB8489" s="38"/>
    </row>
    <row r="8490">
      <c r="P8490" s="42"/>
      <c r="AB8490" s="38"/>
    </row>
    <row r="8491">
      <c r="P8491" s="42"/>
      <c r="AB8491" s="38"/>
    </row>
    <row r="8492">
      <c r="P8492" s="42"/>
      <c r="AB8492" s="38"/>
    </row>
    <row r="8493">
      <c r="P8493" s="42"/>
      <c r="AB8493" s="38"/>
    </row>
    <row r="8494">
      <c r="P8494" s="42"/>
      <c r="AB8494" s="38"/>
    </row>
    <row r="8495">
      <c r="P8495" s="42"/>
      <c r="AB8495" s="38"/>
    </row>
    <row r="8496">
      <c r="P8496" s="42"/>
      <c r="AB8496" s="38"/>
    </row>
    <row r="8497">
      <c r="P8497" s="42"/>
      <c r="AB8497" s="38"/>
    </row>
    <row r="8498">
      <c r="P8498" s="42"/>
      <c r="AB8498" s="38"/>
    </row>
    <row r="8499">
      <c r="P8499" s="42"/>
      <c r="AB8499" s="38"/>
    </row>
    <row r="8500">
      <c r="P8500" s="42"/>
      <c r="AB8500" s="38"/>
    </row>
    <row r="8501">
      <c r="P8501" s="42"/>
      <c r="AB8501" s="38"/>
    </row>
    <row r="8502">
      <c r="P8502" s="42"/>
      <c r="AB8502" s="38"/>
    </row>
    <row r="8503">
      <c r="P8503" s="42"/>
      <c r="AB8503" s="38"/>
    </row>
    <row r="8504">
      <c r="P8504" s="42"/>
      <c r="AB8504" s="38"/>
    </row>
    <row r="8505">
      <c r="P8505" s="42"/>
      <c r="AB8505" s="38"/>
    </row>
    <row r="8506">
      <c r="P8506" s="42"/>
      <c r="AB8506" s="38"/>
    </row>
    <row r="8507">
      <c r="P8507" s="42"/>
      <c r="AB8507" s="38"/>
    </row>
    <row r="8508">
      <c r="P8508" s="42"/>
      <c r="AB8508" s="38"/>
    </row>
    <row r="8509">
      <c r="P8509" s="42"/>
      <c r="AB8509" s="38"/>
    </row>
    <row r="8510">
      <c r="P8510" s="42"/>
      <c r="AB8510" s="38"/>
    </row>
    <row r="8511">
      <c r="P8511" s="42"/>
      <c r="AB8511" s="38"/>
    </row>
    <row r="8512">
      <c r="P8512" s="42"/>
      <c r="AB8512" s="38"/>
    </row>
    <row r="8513">
      <c r="P8513" s="42"/>
      <c r="AB8513" s="38"/>
    </row>
    <row r="8514">
      <c r="P8514" s="42"/>
      <c r="AB8514" s="38"/>
    </row>
    <row r="8515">
      <c r="P8515" s="42"/>
      <c r="AB8515" s="38"/>
    </row>
    <row r="8516">
      <c r="P8516" s="42"/>
      <c r="AB8516" s="38"/>
    </row>
    <row r="8517">
      <c r="P8517" s="42"/>
      <c r="AB8517" s="38"/>
    </row>
    <row r="8518">
      <c r="P8518" s="42"/>
      <c r="AB8518" s="38"/>
    </row>
    <row r="8519">
      <c r="P8519" s="42"/>
      <c r="AB8519" s="38"/>
    </row>
    <row r="8520">
      <c r="P8520" s="42"/>
      <c r="AB8520" s="38"/>
    </row>
    <row r="8521">
      <c r="P8521" s="42"/>
      <c r="AB8521" s="38"/>
    </row>
    <row r="8522">
      <c r="P8522" s="42"/>
      <c r="AB8522" s="38"/>
    </row>
    <row r="8523">
      <c r="P8523" s="42"/>
      <c r="AB8523" s="38"/>
    </row>
    <row r="8524">
      <c r="P8524" s="42"/>
      <c r="AB8524" s="38"/>
    </row>
    <row r="8525">
      <c r="P8525" s="42"/>
      <c r="AB8525" s="38"/>
    </row>
    <row r="8526">
      <c r="P8526" s="42"/>
      <c r="AB8526" s="38"/>
    </row>
    <row r="8527">
      <c r="P8527" s="42"/>
      <c r="AB8527" s="38"/>
    </row>
    <row r="8528">
      <c r="P8528" s="42"/>
      <c r="AB8528" s="38"/>
    </row>
    <row r="8529">
      <c r="P8529" s="42"/>
      <c r="AB8529" s="38"/>
    </row>
    <row r="8530">
      <c r="P8530" s="42"/>
      <c r="AB8530" s="38"/>
    </row>
    <row r="8531">
      <c r="P8531" s="42"/>
      <c r="AB8531" s="38"/>
    </row>
    <row r="8532">
      <c r="P8532" s="42"/>
      <c r="AB8532" s="38"/>
    </row>
    <row r="8533">
      <c r="P8533" s="42"/>
      <c r="AB8533" s="38"/>
    </row>
    <row r="8534">
      <c r="P8534" s="42"/>
      <c r="AB8534" s="38"/>
    </row>
    <row r="8535">
      <c r="P8535" s="42"/>
      <c r="AB8535" s="38"/>
    </row>
    <row r="8536">
      <c r="P8536" s="42"/>
      <c r="AB8536" s="38"/>
    </row>
    <row r="8537">
      <c r="P8537" s="42"/>
      <c r="AB8537" s="38"/>
    </row>
    <row r="8538">
      <c r="P8538" s="42"/>
      <c r="AB8538" s="38"/>
    </row>
    <row r="8539">
      <c r="P8539" s="42"/>
      <c r="AB8539" s="38"/>
    </row>
    <row r="8540">
      <c r="P8540" s="42"/>
      <c r="AB8540" s="38"/>
    </row>
    <row r="8541">
      <c r="P8541" s="42"/>
      <c r="AB8541" s="38"/>
    </row>
    <row r="8542">
      <c r="P8542" s="42"/>
      <c r="AB8542" s="38"/>
    </row>
    <row r="8543">
      <c r="P8543" s="42"/>
      <c r="AB8543" s="38"/>
    </row>
    <row r="8544">
      <c r="P8544" s="42"/>
      <c r="AB8544" s="38"/>
    </row>
    <row r="8545">
      <c r="P8545" s="42"/>
      <c r="AB8545" s="38"/>
    </row>
    <row r="8546">
      <c r="P8546" s="42"/>
      <c r="AB8546" s="38"/>
    </row>
    <row r="8547">
      <c r="P8547" s="42"/>
      <c r="AB8547" s="38"/>
    </row>
    <row r="8548">
      <c r="P8548" s="42"/>
      <c r="AB8548" s="38"/>
    </row>
    <row r="8549">
      <c r="P8549" s="42"/>
      <c r="AB8549" s="38"/>
    </row>
    <row r="8550">
      <c r="P8550" s="42"/>
      <c r="AB8550" s="38"/>
    </row>
    <row r="8551">
      <c r="P8551" s="42"/>
      <c r="AB8551" s="38"/>
    </row>
    <row r="8552">
      <c r="P8552" s="42"/>
      <c r="AB8552" s="38"/>
    </row>
    <row r="8553">
      <c r="P8553" s="42"/>
      <c r="AB8553" s="38"/>
    </row>
    <row r="8554">
      <c r="P8554" s="42"/>
      <c r="AB8554" s="38"/>
    </row>
    <row r="8555">
      <c r="P8555" s="42"/>
      <c r="AB8555" s="38"/>
    </row>
    <row r="8556">
      <c r="P8556" s="42"/>
      <c r="AB8556" s="38"/>
    </row>
    <row r="8557">
      <c r="P8557" s="42"/>
      <c r="AB8557" s="38"/>
    </row>
    <row r="8558">
      <c r="P8558" s="42"/>
      <c r="AB8558" s="38"/>
    </row>
    <row r="8559">
      <c r="P8559" s="42"/>
      <c r="AB8559" s="38"/>
    </row>
    <row r="8560">
      <c r="P8560" s="42"/>
      <c r="AB8560" s="38"/>
    </row>
    <row r="8561">
      <c r="P8561" s="42"/>
      <c r="AB8561" s="38"/>
    </row>
    <row r="8562">
      <c r="P8562" s="42"/>
      <c r="AB8562" s="38"/>
    </row>
    <row r="8563">
      <c r="P8563" s="42"/>
      <c r="AB8563" s="38"/>
    </row>
    <row r="8564">
      <c r="P8564" s="42"/>
      <c r="AB8564" s="38"/>
    </row>
    <row r="8565">
      <c r="P8565" s="42"/>
      <c r="AB8565" s="38"/>
    </row>
    <row r="8566">
      <c r="P8566" s="42"/>
      <c r="AB8566" s="38"/>
    </row>
    <row r="8567">
      <c r="P8567" s="42"/>
      <c r="AB8567" s="38"/>
    </row>
    <row r="8568">
      <c r="P8568" s="42"/>
      <c r="AB8568" s="38"/>
    </row>
    <row r="8569">
      <c r="P8569" s="42"/>
      <c r="AB8569" s="38"/>
    </row>
    <row r="8570">
      <c r="P8570" s="42"/>
      <c r="AB8570" s="38"/>
    </row>
    <row r="8571">
      <c r="P8571" s="42"/>
      <c r="AB8571" s="38"/>
    </row>
    <row r="8572">
      <c r="P8572" s="42"/>
      <c r="AB8572" s="38"/>
    </row>
    <row r="8573">
      <c r="P8573" s="42"/>
      <c r="AB8573" s="38"/>
    </row>
    <row r="8574">
      <c r="P8574" s="42"/>
      <c r="AB8574" s="38"/>
    </row>
    <row r="8575">
      <c r="P8575" s="42"/>
      <c r="AB8575" s="38"/>
    </row>
    <row r="8576">
      <c r="P8576" s="42"/>
      <c r="AB8576" s="38"/>
    </row>
    <row r="8577">
      <c r="P8577" s="42"/>
      <c r="AB8577" s="38"/>
    </row>
    <row r="8578">
      <c r="P8578" s="42"/>
      <c r="AB8578" s="38"/>
    </row>
    <row r="8579">
      <c r="P8579" s="42"/>
      <c r="AB8579" s="38"/>
    </row>
    <row r="8580">
      <c r="P8580" s="42"/>
      <c r="AB8580" s="38"/>
    </row>
    <row r="8581">
      <c r="P8581" s="42"/>
      <c r="AB8581" s="38"/>
    </row>
    <row r="8582">
      <c r="P8582" s="42"/>
      <c r="AB8582" s="38"/>
    </row>
    <row r="8583">
      <c r="P8583" s="42"/>
      <c r="AB8583" s="38"/>
    </row>
    <row r="8584">
      <c r="P8584" s="42"/>
      <c r="AB8584" s="38"/>
    </row>
    <row r="8585">
      <c r="P8585" s="42"/>
      <c r="AB8585" s="38"/>
    </row>
    <row r="8586">
      <c r="P8586" s="42"/>
      <c r="AB8586" s="38"/>
    </row>
    <row r="8587">
      <c r="P8587" s="42"/>
      <c r="AB8587" s="38"/>
    </row>
    <row r="8588">
      <c r="P8588" s="42"/>
      <c r="AB8588" s="38"/>
    </row>
    <row r="8589">
      <c r="P8589" s="42"/>
      <c r="AB8589" s="38"/>
    </row>
    <row r="8590">
      <c r="P8590" s="42"/>
      <c r="AB8590" s="38"/>
    </row>
    <row r="8591">
      <c r="P8591" s="42"/>
      <c r="AB8591" s="38"/>
    </row>
    <row r="8592">
      <c r="P8592" s="42"/>
      <c r="AB8592" s="38"/>
    </row>
    <row r="8593">
      <c r="P8593" s="42"/>
      <c r="AB8593" s="38"/>
    </row>
    <row r="8594">
      <c r="P8594" s="42"/>
      <c r="AB8594" s="38"/>
    </row>
    <row r="8595">
      <c r="P8595" s="42"/>
      <c r="AB8595" s="38"/>
    </row>
    <row r="8596">
      <c r="P8596" s="42"/>
      <c r="AB8596" s="38"/>
    </row>
    <row r="8597">
      <c r="P8597" s="42"/>
      <c r="AB8597" s="38"/>
    </row>
    <row r="8598">
      <c r="P8598" s="42"/>
      <c r="AB8598" s="38"/>
    </row>
    <row r="8599">
      <c r="P8599" s="42"/>
      <c r="AB8599" s="38"/>
    </row>
    <row r="8600">
      <c r="P8600" s="42"/>
      <c r="AB8600" s="38"/>
    </row>
    <row r="8601">
      <c r="P8601" s="42"/>
      <c r="AB8601" s="38"/>
    </row>
    <row r="8602">
      <c r="P8602" s="42"/>
      <c r="AB8602" s="38"/>
    </row>
    <row r="8603">
      <c r="P8603" s="42"/>
      <c r="AB8603" s="38"/>
    </row>
    <row r="8604">
      <c r="P8604" s="42"/>
      <c r="AB8604" s="38"/>
    </row>
    <row r="8605">
      <c r="P8605" s="42"/>
      <c r="AB8605" s="38"/>
    </row>
    <row r="8606">
      <c r="P8606" s="42"/>
      <c r="AB8606" s="38"/>
    </row>
    <row r="8607">
      <c r="P8607" s="42"/>
      <c r="AB8607" s="38"/>
    </row>
    <row r="8608">
      <c r="P8608" s="42"/>
      <c r="AB8608" s="38"/>
    </row>
    <row r="8609">
      <c r="P8609" s="42"/>
      <c r="AB8609" s="38"/>
    </row>
    <row r="8610">
      <c r="P8610" s="42"/>
      <c r="AB8610" s="38"/>
    </row>
    <row r="8611">
      <c r="P8611" s="42"/>
      <c r="AB8611" s="38"/>
    </row>
    <row r="8612">
      <c r="P8612" s="42"/>
      <c r="AB8612" s="38"/>
    </row>
    <row r="8613">
      <c r="P8613" s="42"/>
      <c r="AB8613" s="38"/>
    </row>
    <row r="8614">
      <c r="P8614" s="42"/>
      <c r="AB8614" s="38"/>
    </row>
    <row r="8615">
      <c r="P8615" s="42"/>
      <c r="AB8615" s="38"/>
    </row>
    <row r="8616">
      <c r="P8616" s="42"/>
      <c r="AB8616" s="38"/>
    </row>
    <row r="8617">
      <c r="P8617" s="42"/>
      <c r="AB8617" s="38"/>
    </row>
    <row r="8618">
      <c r="P8618" s="42"/>
      <c r="AB8618" s="38"/>
    </row>
    <row r="8619">
      <c r="P8619" s="42"/>
      <c r="AB8619" s="38"/>
    </row>
    <row r="8620">
      <c r="P8620" s="42"/>
      <c r="AB8620" s="38"/>
    </row>
    <row r="8621">
      <c r="P8621" s="42"/>
      <c r="AB8621" s="38"/>
    </row>
    <row r="8622">
      <c r="P8622" s="42"/>
      <c r="AB8622" s="38"/>
    </row>
    <row r="8623">
      <c r="P8623" s="42"/>
      <c r="AB8623" s="38"/>
    </row>
    <row r="8624">
      <c r="P8624" s="42"/>
      <c r="AB8624" s="38"/>
    </row>
    <row r="8625">
      <c r="P8625" s="42"/>
      <c r="AB8625" s="38"/>
    </row>
    <row r="8626">
      <c r="P8626" s="42"/>
      <c r="AB8626" s="38"/>
    </row>
    <row r="8627">
      <c r="P8627" s="42"/>
      <c r="AB8627" s="38"/>
    </row>
    <row r="8628">
      <c r="P8628" s="42"/>
      <c r="AB8628" s="38"/>
    </row>
    <row r="8629">
      <c r="P8629" s="42"/>
      <c r="AB8629" s="38"/>
    </row>
    <row r="8630">
      <c r="P8630" s="42"/>
      <c r="AB8630" s="38"/>
    </row>
    <row r="8631">
      <c r="P8631" s="42"/>
      <c r="AB8631" s="38"/>
    </row>
    <row r="8632">
      <c r="P8632" s="42"/>
      <c r="AB8632" s="38"/>
    </row>
    <row r="8633">
      <c r="P8633" s="42"/>
      <c r="AB8633" s="38"/>
    </row>
    <row r="8634">
      <c r="P8634" s="42"/>
      <c r="AB8634" s="38"/>
    </row>
    <row r="8635">
      <c r="P8635" s="42"/>
      <c r="AB8635" s="38"/>
    </row>
    <row r="8636">
      <c r="P8636" s="42"/>
      <c r="AB8636" s="38"/>
    </row>
    <row r="8637">
      <c r="P8637" s="42"/>
      <c r="AB8637" s="38"/>
    </row>
    <row r="8638">
      <c r="P8638" s="42"/>
      <c r="AB8638" s="38"/>
    </row>
    <row r="8639">
      <c r="P8639" s="42"/>
      <c r="AB8639" s="38"/>
    </row>
    <row r="8640">
      <c r="P8640" s="42"/>
      <c r="AB8640" s="38"/>
    </row>
    <row r="8641">
      <c r="P8641" s="42"/>
      <c r="AB8641" s="38"/>
    </row>
    <row r="8642">
      <c r="P8642" s="42"/>
      <c r="AB8642" s="38"/>
    </row>
    <row r="8643">
      <c r="P8643" s="42"/>
      <c r="AB8643" s="38"/>
    </row>
    <row r="8644">
      <c r="P8644" s="42"/>
      <c r="AB8644" s="38"/>
    </row>
    <row r="8645">
      <c r="P8645" s="42"/>
      <c r="AB8645" s="38"/>
    </row>
    <row r="8646">
      <c r="P8646" s="42"/>
      <c r="AB8646" s="38"/>
    </row>
    <row r="8647">
      <c r="P8647" s="42"/>
      <c r="AB8647" s="38"/>
    </row>
    <row r="8648">
      <c r="P8648" s="42"/>
      <c r="AB8648" s="38"/>
    </row>
    <row r="8649">
      <c r="P8649" s="42"/>
      <c r="AB8649" s="38"/>
    </row>
    <row r="8650">
      <c r="P8650" s="42"/>
      <c r="AB8650" s="38"/>
    </row>
    <row r="8651">
      <c r="P8651" s="42"/>
      <c r="AB8651" s="38"/>
    </row>
    <row r="8652">
      <c r="P8652" s="42"/>
      <c r="AB8652" s="38"/>
    </row>
    <row r="8653">
      <c r="P8653" s="42"/>
      <c r="AB8653" s="38"/>
    </row>
    <row r="8654">
      <c r="P8654" s="42"/>
      <c r="AB8654" s="38"/>
    </row>
    <row r="8655">
      <c r="P8655" s="42"/>
      <c r="AB8655" s="38"/>
    </row>
    <row r="8656">
      <c r="P8656" s="42"/>
      <c r="AB8656" s="38"/>
    </row>
    <row r="8657">
      <c r="P8657" s="42"/>
      <c r="AB8657" s="38"/>
    </row>
    <row r="8658">
      <c r="P8658" s="42"/>
      <c r="AB8658" s="38"/>
    </row>
    <row r="8659">
      <c r="P8659" s="42"/>
      <c r="AB8659" s="38"/>
    </row>
    <row r="8660">
      <c r="P8660" s="42"/>
      <c r="AB8660" s="38"/>
    </row>
    <row r="8661">
      <c r="P8661" s="42"/>
      <c r="AB8661" s="38"/>
    </row>
    <row r="8662">
      <c r="P8662" s="42"/>
      <c r="AB8662" s="38"/>
    </row>
    <row r="8663">
      <c r="P8663" s="42"/>
      <c r="AB8663" s="38"/>
    </row>
    <row r="8664">
      <c r="P8664" s="42"/>
      <c r="AB8664" s="38"/>
    </row>
    <row r="8665">
      <c r="P8665" s="42"/>
      <c r="AB8665" s="38"/>
    </row>
    <row r="8666">
      <c r="P8666" s="42"/>
      <c r="AB8666" s="38"/>
    </row>
    <row r="8667">
      <c r="P8667" s="42"/>
      <c r="AB8667" s="38"/>
    </row>
    <row r="8668">
      <c r="P8668" s="42"/>
      <c r="AB8668" s="38"/>
    </row>
    <row r="8669">
      <c r="P8669" s="42"/>
      <c r="AB8669" s="38"/>
    </row>
    <row r="8670">
      <c r="P8670" s="42"/>
      <c r="AB8670" s="38"/>
    </row>
    <row r="8671">
      <c r="P8671" s="42"/>
      <c r="AB8671" s="38"/>
    </row>
    <row r="8672">
      <c r="P8672" s="42"/>
      <c r="AB8672" s="38"/>
    </row>
    <row r="8673">
      <c r="P8673" s="42"/>
      <c r="AB8673" s="38"/>
    </row>
    <row r="8674">
      <c r="P8674" s="42"/>
      <c r="AB8674" s="38"/>
    </row>
    <row r="8675">
      <c r="P8675" s="42"/>
      <c r="AB8675" s="38"/>
    </row>
    <row r="8676">
      <c r="P8676" s="42"/>
      <c r="AB8676" s="38"/>
    </row>
    <row r="8677">
      <c r="P8677" s="42"/>
      <c r="AB8677" s="38"/>
    </row>
    <row r="8678">
      <c r="P8678" s="42"/>
      <c r="AB8678" s="38"/>
    </row>
    <row r="8679">
      <c r="P8679" s="42"/>
      <c r="AB8679" s="38"/>
    </row>
    <row r="8680">
      <c r="P8680" s="42"/>
      <c r="AB8680" s="38"/>
    </row>
    <row r="8681">
      <c r="P8681" s="42"/>
      <c r="AB8681" s="38"/>
    </row>
    <row r="8682">
      <c r="P8682" s="42"/>
      <c r="AB8682" s="38"/>
    </row>
    <row r="8683">
      <c r="P8683" s="42"/>
      <c r="AB8683" s="38"/>
    </row>
    <row r="8684">
      <c r="P8684" s="42"/>
      <c r="AB8684" s="38"/>
    </row>
    <row r="8685">
      <c r="P8685" s="42"/>
      <c r="AB8685" s="38"/>
    </row>
    <row r="8686">
      <c r="P8686" s="42"/>
      <c r="AB8686" s="38"/>
    </row>
    <row r="8687">
      <c r="P8687" s="42"/>
      <c r="AB8687" s="38"/>
    </row>
    <row r="8688">
      <c r="P8688" s="42"/>
      <c r="AB8688" s="38"/>
    </row>
    <row r="8689">
      <c r="P8689" s="42"/>
      <c r="AB8689" s="38"/>
    </row>
    <row r="8690">
      <c r="P8690" s="42"/>
      <c r="AB8690" s="38"/>
    </row>
    <row r="8691">
      <c r="P8691" s="42"/>
      <c r="AB8691" s="38"/>
    </row>
    <row r="8692">
      <c r="P8692" s="42"/>
      <c r="AB8692" s="38"/>
    </row>
    <row r="8693">
      <c r="P8693" s="42"/>
      <c r="AB8693" s="38"/>
    </row>
    <row r="8694">
      <c r="P8694" s="42"/>
      <c r="AB8694" s="38"/>
    </row>
    <row r="8695">
      <c r="P8695" s="42"/>
      <c r="AB8695" s="38"/>
    </row>
    <row r="8696">
      <c r="P8696" s="42"/>
      <c r="AB8696" s="38"/>
    </row>
    <row r="8697">
      <c r="P8697" s="42"/>
      <c r="AB8697" s="38"/>
    </row>
    <row r="8698">
      <c r="P8698" s="42"/>
      <c r="AB8698" s="38"/>
    </row>
    <row r="8699">
      <c r="P8699" s="42"/>
      <c r="AB8699" s="38"/>
    </row>
    <row r="8700">
      <c r="P8700" s="42"/>
      <c r="AB8700" s="38"/>
    </row>
    <row r="8701">
      <c r="P8701" s="42"/>
      <c r="AB8701" s="38"/>
    </row>
    <row r="8702">
      <c r="P8702" s="42"/>
      <c r="AB8702" s="38"/>
    </row>
    <row r="8703">
      <c r="P8703" s="42"/>
      <c r="AB8703" s="38"/>
    </row>
    <row r="8704">
      <c r="P8704" s="42"/>
      <c r="AB8704" s="38"/>
    </row>
    <row r="8705">
      <c r="P8705" s="42"/>
      <c r="AB8705" s="38"/>
    </row>
    <row r="8706">
      <c r="P8706" s="42"/>
      <c r="AB8706" s="38"/>
    </row>
    <row r="8707">
      <c r="P8707" s="42"/>
      <c r="AB8707" s="38"/>
    </row>
    <row r="8708">
      <c r="P8708" s="42"/>
      <c r="AB8708" s="38"/>
    </row>
    <row r="8709">
      <c r="P8709" s="42"/>
      <c r="AB8709" s="38"/>
    </row>
    <row r="8710">
      <c r="P8710" s="42"/>
      <c r="AB8710" s="38"/>
    </row>
    <row r="8711">
      <c r="P8711" s="42"/>
      <c r="AB8711" s="38"/>
    </row>
    <row r="8712">
      <c r="P8712" s="42"/>
      <c r="AB8712" s="38"/>
    </row>
    <row r="8713">
      <c r="P8713" s="42"/>
      <c r="AB8713" s="38"/>
    </row>
    <row r="8714">
      <c r="P8714" s="42"/>
      <c r="AB8714" s="38"/>
    </row>
    <row r="8715">
      <c r="P8715" s="42"/>
      <c r="AB8715" s="38"/>
    </row>
    <row r="8716">
      <c r="P8716" s="42"/>
      <c r="AB8716" s="38"/>
    </row>
    <row r="8717">
      <c r="P8717" s="42"/>
      <c r="AB8717" s="38"/>
    </row>
    <row r="8718">
      <c r="P8718" s="42"/>
      <c r="AB8718" s="38"/>
    </row>
    <row r="8719">
      <c r="P8719" s="42"/>
      <c r="AB8719" s="38"/>
    </row>
    <row r="8720">
      <c r="P8720" s="42"/>
      <c r="AB8720" s="38"/>
    </row>
    <row r="8721">
      <c r="P8721" s="42"/>
      <c r="AB8721" s="38"/>
    </row>
    <row r="8722">
      <c r="P8722" s="42"/>
      <c r="AB8722" s="38"/>
    </row>
    <row r="8723">
      <c r="P8723" s="42"/>
      <c r="AB8723" s="38"/>
    </row>
    <row r="8724">
      <c r="P8724" s="42"/>
      <c r="AB8724" s="38"/>
    </row>
    <row r="8725">
      <c r="P8725" s="42"/>
      <c r="AB8725" s="38"/>
    </row>
    <row r="8726">
      <c r="P8726" s="42"/>
      <c r="AB8726" s="38"/>
    </row>
    <row r="8727">
      <c r="P8727" s="42"/>
      <c r="AB8727" s="38"/>
    </row>
    <row r="8728">
      <c r="P8728" s="42"/>
      <c r="AB8728" s="38"/>
    </row>
    <row r="8729">
      <c r="P8729" s="42"/>
      <c r="AB8729" s="38"/>
    </row>
    <row r="8730">
      <c r="P8730" s="42"/>
      <c r="AB8730" s="38"/>
    </row>
    <row r="8731">
      <c r="P8731" s="42"/>
      <c r="AB8731" s="38"/>
    </row>
    <row r="8732">
      <c r="P8732" s="42"/>
      <c r="AB8732" s="38"/>
    </row>
    <row r="8733">
      <c r="P8733" s="42"/>
      <c r="AB8733" s="38"/>
    </row>
    <row r="8734">
      <c r="P8734" s="42"/>
      <c r="AB8734" s="38"/>
    </row>
    <row r="8735">
      <c r="P8735" s="42"/>
      <c r="AB8735" s="38"/>
    </row>
    <row r="8736">
      <c r="P8736" s="42"/>
      <c r="AB8736" s="38"/>
    </row>
    <row r="8737">
      <c r="P8737" s="42"/>
      <c r="AB8737" s="38"/>
    </row>
    <row r="8738">
      <c r="P8738" s="42"/>
      <c r="AB8738" s="38"/>
    </row>
    <row r="8739">
      <c r="P8739" s="42"/>
      <c r="AB8739" s="38"/>
    </row>
    <row r="8740">
      <c r="P8740" s="42"/>
      <c r="AB8740" s="38"/>
    </row>
    <row r="8741">
      <c r="P8741" s="42"/>
      <c r="AB8741" s="38"/>
    </row>
    <row r="8742">
      <c r="P8742" s="42"/>
      <c r="AB8742" s="38"/>
    </row>
    <row r="8743">
      <c r="P8743" s="42"/>
      <c r="AB8743" s="38"/>
    </row>
    <row r="8744">
      <c r="P8744" s="42"/>
      <c r="AB8744" s="38"/>
    </row>
    <row r="8745">
      <c r="P8745" s="42"/>
      <c r="AB8745" s="38"/>
    </row>
    <row r="8746">
      <c r="P8746" s="42"/>
      <c r="AB8746" s="38"/>
    </row>
    <row r="8747">
      <c r="P8747" s="42"/>
      <c r="AB8747" s="38"/>
    </row>
    <row r="8748">
      <c r="P8748" s="42"/>
      <c r="AB8748" s="38"/>
    </row>
    <row r="8749">
      <c r="P8749" s="42"/>
      <c r="AB8749" s="38"/>
    </row>
    <row r="8750">
      <c r="P8750" s="42"/>
      <c r="AB8750" s="38"/>
    </row>
    <row r="8751">
      <c r="P8751" s="42"/>
      <c r="AB8751" s="38"/>
    </row>
    <row r="8752">
      <c r="P8752" s="42"/>
      <c r="AB8752" s="38"/>
    </row>
    <row r="8753">
      <c r="P8753" s="42"/>
      <c r="AB8753" s="38"/>
    </row>
    <row r="8754">
      <c r="P8754" s="42"/>
      <c r="AB8754" s="38"/>
    </row>
    <row r="8755">
      <c r="P8755" s="42"/>
      <c r="AB8755" s="38"/>
    </row>
    <row r="8756">
      <c r="P8756" s="42"/>
      <c r="AB8756" s="38"/>
    </row>
    <row r="8757">
      <c r="P8757" s="42"/>
      <c r="AB8757" s="38"/>
    </row>
    <row r="8758">
      <c r="P8758" s="42"/>
      <c r="AB8758" s="38"/>
    </row>
    <row r="8759">
      <c r="P8759" s="42"/>
      <c r="AB8759" s="38"/>
    </row>
    <row r="8760">
      <c r="P8760" s="42"/>
      <c r="AB8760" s="38"/>
    </row>
    <row r="8761">
      <c r="P8761" s="42"/>
      <c r="AB8761" s="38"/>
    </row>
    <row r="8762">
      <c r="P8762" s="42"/>
      <c r="AB8762" s="38"/>
    </row>
    <row r="8763">
      <c r="P8763" s="42"/>
      <c r="AB8763" s="38"/>
    </row>
    <row r="8764">
      <c r="P8764" s="42"/>
      <c r="AB8764" s="38"/>
    </row>
    <row r="8765">
      <c r="P8765" s="42"/>
      <c r="AB8765" s="38"/>
    </row>
    <row r="8766">
      <c r="P8766" s="42"/>
      <c r="AB8766" s="38"/>
    </row>
    <row r="8767">
      <c r="P8767" s="42"/>
      <c r="AB8767" s="38"/>
    </row>
    <row r="8768">
      <c r="P8768" s="42"/>
      <c r="AB8768" s="38"/>
    </row>
    <row r="8769">
      <c r="P8769" s="42"/>
      <c r="AB8769" s="38"/>
    </row>
    <row r="8770">
      <c r="P8770" s="42"/>
      <c r="AB8770" s="38"/>
    </row>
    <row r="8771">
      <c r="P8771" s="42"/>
      <c r="AB8771" s="38"/>
    </row>
    <row r="8772">
      <c r="P8772" s="42"/>
      <c r="AB8772" s="38"/>
    </row>
    <row r="8773">
      <c r="P8773" s="42"/>
      <c r="AB8773" s="38"/>
    </row>
    <row r="8774">
      <c r="P8774" s="42"/>
      <c r="AB8774" s="38"/>
    </row>
    <row r="8775">
      <c r="P8775" s="42"/>
      <c r="AB8775" s="38"/>
    </row>
    <row r="8776">
      <c r="P8776" s="42"/>
      <c r="AB8776" s="38"/>
    </row>
    <row r="8777">
      <c r="P8777" s="42"/>
      <c r="AB8777" s="38"/>
    </row>
    <row r="8778">
      <c r="P8778" s="42"/>
      <c r="AB8778" s="38"/>
    </row>
    <row r="8779">
      <c r="P8779" s="42"/>
      <c r="AB8779" s="38"/>
    </row>
    <row r="8780">
      <c r="P8780" s="42"/>
      <c r="AB8780" s="38"/>
    </row>
    <row r="8781">
      <c r="P8781" s="42"/>
      <c r="AB8781" s="38"/>
    </row>
    <row r="8782">
      <c r="P8782" s="42"/>
      <c r="AB8782" s="38"/>
    </row>
    <row r="8783">
      <c r="P8783" s="42"/>
      <c r="AB8783" s="38"/>
    </row>
    <row r="8784">
      <c r="P8784" s="42"/>
      <c r="AB8784" s="38"/>
    </row>
    <row r="8785">
      <c r="P8785" s="42"/>
      <c r="AB8785" s="38"/>
    </row>
    <row r="8786">
      <c r="P8786" s="42"/>
      <c r="AB8786" s="38"/>
    </row>
    <row r="8787">
      <c r="P8787" s="42"/>
      <c r="AB8787" s="38"/>
    </row>
    <row r="8788">
      <c r="P8788" s="42"/>
      <c r="AB8788" s="38"/>
    </row>
    <row r="8789">
      <c r="P8789" s="42"/>
      <c r="AB8789" s="38"/>
    </row>
    <row r="8790">
      <c r="P8790" s="42"/>
      <c r="AB8790" s="38"/>
    </row>
    <row r="8791">
      <c r="P8791" s="42"/>
      <c r="AB8791" s="38"/>
    </row>
    <row r="8792">
      <c r="P8792" s="42"/>
      <c r="AB8792" s="38"/>
    </row>
    <row r="8793">
      <c r="P8793" s="42"/>
      <c r="AB8793" s="38"/>
    </row>
    <row r="8794">
      <c r="P8794" s="42"/>
      <c r="AB8794" s="38"/>
    </row>
    <row r="8795">
      <c r="P8795" s="42"/>
      <c r="AB8795" s="38"/>
    </row>
    <row r="8796">
      <c r="P8796" s="42"/>
      <c r="AB8796" s="38"/>
    </row>
    <row r="8797">
      <c r="P8797" s="42"/>
      <c r="AB8797" s="38"/>
    </row>
    <row r="8798">
      <c r="P8798" s="42"/>
      <c r="AB8798" s="38"/>
    </row>
    <row r="8799">
      <c r="P8799" s="42"/>
      <c r="AB8799" s="38"/>
    </row>
    <row r="8800">
      <c r="P8800" s="42"/>
      <c r="AB8800" s="38"/>
    </row>
    <row r="8801">
      <c r="P8801" s="42"/>
      <c r="AB8801" s="38"/>
    </row>
    <row r="8802">
      <c r="P8802" s="42"/>
      <c r="AB8802" s="38"/>
    </row>
    <row r="8803">
      <c r="P8803" s="42"/>
      <c r="AB8803" s="38"/>
    </row>
    <row r="8804">
      <c r="P8804" s="42"/>
      <c r="AB8804" s="38"/>
    </row>
    <row r="8805">
      <c r="P8805" s="42"/>
      <c r="AB8805" s="38"/>
    </row>
    <row r="8806">
      <c r="P8806" s="42"/>
      <c r="AB8806" s="38"/>
    </row>
    <row r="8807">
      <c r="P8807" s="42"/>
      <c r="AB8807" s="38"/>
    </row>
    <row r="8808">
      <c r="P8808" s="42"/>
      <c r="AB8808" s="38"/>
    </row>
    <row r="8809">
      <c r="P8809" s="42"/>
      <c r="AB8809" s="38"/>
    </row>
    <row r="8810">
      <c r="P8810" s="42"/>
      <c r="AB8810" s="38"/>
    </row>
    <row r="8811">
      <c r="P8811" s="42"/>
      <c r="AB8811" s="38"/>
    </row>
    <row r="8812">
      <c r="P8812" s="42"/>
      <c r="AB8812" s="38"/>
    </row>
    <row r="8813">
      <c r="P8813" s="42"/>
      <c r="AB8813" s="38"/>
    </row>
    <row r="8814">
      <c r="P8814" s="42"/>
      <c r="AB8814" s="38"/>
    </row>
    <row r="8815">
      <c r="P8815" s="42"/>
      <c r="AB8815" s="38"/>
    </row>
    <row r="8816">
      <c r="P8816" s="42"/>
      <c r="AB8816" s="38"/>
    </row>
    <row r="8817">
      <c r="P8817" s="42"/>
      <c r="AB8817" s="38"/>
    </row>
    <row r="8818">
      <c r="P8818" s="42"/>
      <c r="AB8818" s="38"/>
    </row>
    <row r="8819">
      <c r="P8819" s="42"/>
      <c r="AB8819" s="38"/>
    </row>
    <row r="8820">
      <c r="P8820" s="42"/>
      <c r="AB8820" s="38"/>
    </row>
    <row r="8821">
      <c r="P8821" s="42"/>
      <c r="AB8821" s="38"/>
    </row>
    <row r="8822">
      <c r="P8822" s="42"/>
      <c r="AB8822" s="38"/>
    </row>
    <row r="8823">
      <c r="P8823" s="42"/>
      <c r="AB8823" s="38"/>
    </row>
    <row r="8824">
      <c r="P8824" s="42"/>
      <c r="AB8824" s="38"/>
    </row>
    <row r="8825">
      <c r="P8825" s="42"/>
      <c r="AB8825" s="38"/>
    </row>
    <row r="8826">
      <c r="P8826" s="42"/>
      <c r="AB8826" s="38"/>
    </row>
    <row r="8827">
      <c r="P8827" s="42"/>
      <c r="AB8827" s="38"/>
    </row>
    <row r="8828">
      <c r="P8828" s="42"/>
      <c r="AB8828" s="38"/>
    </row>
    <row r="8829">
      <c r="P8829" s="42"/>
      <c r="AB8829" s="38"/>
    </row>
    <row r="8830">
      <c r="P8830" s="42"/>
      <c r="AB8830" s="38"/>
    </row>
    <row r="8831">
      <c r="P8831" s="42"/>
      <c r="AB8831" s="38"/>
    </row>
    <row r="8832">
      <c r="P8832" s="42"/>
      <c r="AB8832" s="38"/>
    </row>
    <row r="8833">
      <c r="P8833" s="42"/>
      <c r="AB8833" s="38"/>
    </row>
    <row r="8834">
      <c r="P8834" s="42"/>
      <c r="AB8834" s="38"/>
    </row>
    <row r="8835">
      <c r="P8835" s="42"/>
      <c r="AB8835" s="38"/>
    </row>
    <row r="8836">
      <c r="P8836" s="42"/>
      <c r="AB8836" s="38"/>
    </row>
    <row r="8837">
      <c r="P8837" s="42"/>
      <c r="AB8837" s="38"/>
    </row>
    <row r="8838">
      <c r="P8838" s="42"/>
      <c r="AB8838" s="38"/>
    </row>
    <row r="8839">
      <c r="P8839" s="42"/>
      <c r="AB8839" s="38"/>
    </row>
    <row r="8840">
      <c r="P8840" s="42"/>
      <c r="AB8840" s="38"/>
    </row>
    <row r="8841">
      <c r="P8841" s="42"/>
      <c r="AB8841" s="38"/>
    </row>
    <row r="8842">
      <c r="P8842" s="42"/>
      <c r="AB8842" s="38"/>
    </row>
    <row r="8843">
      <c r="P8843" s="42"/>
      <c r="AB8843" s="38"/>
    </row>
    <row r="8844">
      <c r="P8844" s="42"/>
      <c r="AB8844" s="38"/>
    </row>
    <row r="8845">
      <c r="P8845" s="42"/>
      <c r="AB8845" s="38"/>
    </row>
    <row r="8846">
      <c r="P8846" s="42"/>
      <c r="AB8846" s="38"/>
    </row>
    <row r="8847">
      <c r="P8847" s="42"/>
      <c r="AB8847" s="38"/>
    </row>
    <row r="8848">
      <c r="P8848" s="42"/>
      <c r="AB8848" s="38"/>
    </row>
    <row r="8849">
      <c r="P8849" s="42"/>
      <c r="AB8849" s="38"/>
    </row>
    <row r="8850">
      <c r="P8850" s="42"/>
      <c r="AB8850" s="38"/>
    </row>
    <row r="8851">
      <c r="P8851" s="42"/>
      <c r="AB8851" s="38"/>
    </row>
    <row r="8852">
      <c r="P8852" s="42"/>
      <c r="AB8852" s="38"/>
    </row>
    <row r="8853">
      <c r="P8853" s="42"/>
      <c r="AB8853" s="38"/>
    </row>
    <row r="8854">
      <c r="P8854" s="42"/>
      <c r="AB8854" s="38"/>
    </row>
    <row r="8855">
      <c r="P8855" s="42"/>
      <c r="AB8855" s="38"/>
    </row>
    <row r="8856">
      <c r="P8856" s="42"/>
      <c r="AB8856" s="38"/>
    </row>
    <row r="8857">
      <c r="P8857" s="42"/>
      <c r="AB8857" s="38"/>
    </row>
    <row r="8858">
      <c r="P8858" s="42"/>
      <c r="AB8858" s="38"/>
    </row>
    <row r="8859">
      <c r="P8859" s="42"/>
      <c r="AB8859" s="38"/>
    </row>
    <row r="8860">
      <c r="P8860" s="42"/>
      <c r="AB8860" s="38"/>
    </row>
    <row r="8861">
      <c r="P8861" s="42"/>
      <c r="AB8861" s="38"/>
    </row>
    <row r="8862">
      <c r="P8862" s="42"/>
      <c r="AB8862" s="38"/>
    </row>
    <row r="8863">
      <c r="P8863" s="42"/>
      <c r="AB8863" s="38"/>
    </row>
    <row r="8864">
      <c r="P8864" s="42"/>
      <c r="AB8864" s="38"/>
    </row>
    <row r="8865">
      <c r="P8865" s="42"/>
      <c r="AB8865" s="38"/>
    </row>
    <row r="8866">
      <c r="P8866" s="42"/>
      <c r="AB8866" s="38"/>
    </row>
    <row r="8867">
      <c r="P8867" s="42"/>
      <c r="AB8867" s="38"/>
    </row>
    <row r="8868">
      <c r="P8868" s="42"/>
      <c r="AB8868" s="38"/>
    </row>
    <row r="8869">
      <c r="P8869" s="42"/>
      <c r="AB8869" s="38"/>
    </row>
    <row r="8870">
      <c r="P8870" s="42"/>
      <c r="AB8870" s="38"/>
    </row>
    <row r="8871">
      <c r="P8871" s="42"/>
      <c r="AB8871" s="38"/>
    </row>
    <row r="8872">
      <c r="P8872" s="42"/>
      <c r="AB8872" s="38"/>
    </row>
    <row r="8873">
      <c r="P8873" s="42"/>
      <c r="AB8873" s="38"/>
    </row>
    <row r="8874">
      <c r="P8874" s="42"/>
      <c r="AB8874" s="38"/>
    </row>
    <row r="8875">
      <c r="P8875" s="42"/>
      <c r="AB8875" s="38"/>
    </row>
    <row r="8876">
      <c r="P8876" s="42"/>
      <c r="AB8876" s="38"/>
    </row>
    <row r="8877">
      <c r="P8877" s="42"/>
      <c r="AB8877" s="38"/>
    </row>
    <row r="8878">
      <c r="P8878" s="42"/>
      <c r="AB8878" s="38"/>
    </row>
    <row r="8879">
      <c r="P8879" s="42"/>
      <c r="AB8879" s="38"/>
    </row>
    <row r="8880">
      <c r="P8880" s="42"/>
      <c r="AB8880" s="38"/>
    </row>
    <row r="8881">
      <c r="P8881" s="42"/>
      <c r="AB8881" s="38"/>
    </row>
    <row r="8882">
      <c r="P8882" s="42"/>
      <c r="AB8882" s="38"/>
    </row>
    <row r="8883">
      <c r="P8883" s="42"/>
      <c r="AB8883" s="38"/>
    </row>
    <row r="8884">
      <c r="P8884" s="42"/>
      <c r="AB8884" s="38"/>
    </row>
    <row r="8885">
      <c r="P8885" s="42"/>
      <c r="AB8885" s="38"/>
    </row>
    <row r="8886">
      <c r="P8886" s="42"/>
      <c r="AB8886" s="38"/>
    </row>
    <row r="8887">
      <c r="P8887" s="42"/>
      <c r="AB8887" s="38"/>
    </row>
    <row r="8888">
      <c r="P8888" s="42"/>
      <c r="AB8888" s="38"/>
    </row>
    <row r="8889">
      <c r="P8889" s="42"/>
      <c r="AB8889" s="38"/>
    </row>
    <row r="8890">
      <c r="P8890" s="42"/>
      <c r="AB8890" s="38"/>
    </row>
    <row r="8891">
      <c r="P8891" s="42"/>
      <c r="AB8891" s="38"/>
    </row>
    <row r="8892">
      <c r="P8892" s="42"/>
      <c r="AB8892" s="38"/>
    </row>
    <row r="8893">
      <c r="P8893" s="42"/>
      <c r="AB8893" s="38"/>
    </row>
    <row r="8894">
      <c r="P8894" s="42"/>
      <c r="AB8894" s="38"/>
    </row>
    <row r="8895">
      <c r="P8895" s="42"/>
      <c r="AB8895" s="38"/>
    </row>
    <row r="8896">
      <c r="P8896" s="42"/>
      <c r="AB8896" s="38"/>
    </row>
    <row r="8897">
      <c r="P8897" s="42"/>
      <c r="AB8897" s="38"/>
    </row>
    <row r="8898">
      <c r="P8898" s="42"/>
      <c r="AB8898" s="38"/>
    </row>
    <row r="8899">
      <c r="P8899" s="42"/>
      <c r="AB8899" s="38"/>
    </row>
    <row r="8900">
      <c r="P8900" s="42"/>
      <c r="AB8900" s="38"/>
    </row>
    <row r="8901">
      <c r="P8901" s="42"/>
      <c r="AB8901" s="38"/>
    </row>
    <row r="8902">
      <c r="P8902" s="42"/>
      <c r="AB8902" s="38"/>
    </row>
    <row r="8903">
      <c r="P8903" s="42"/>
      <c r="AB8903" s="38"/>
    </row>
    <row r="8904">
      <c r="P8904" s="42"/>
      <c r="AB8904" s="38"/>
    </row>
    <row r="8905">
      <c r="P8905" s="42"/>
      <c r="AB8905" s="38"/>
    </row>
    <row r="8906">
      <c r="P8906" s="42"/>
      <c r="AB8906" s="38"/>
    </row>
    <row r="8907">
      <c r="P8907" s="42"/>
      <c r="AB8907" s="38"/>
    </row>
    <row r="8908">
      <c r="P8908" s="42"/>
      <c r="AB8908" s="38"/>
    </row>
    <row r="8909">
      <c r="P8909" s="42"/>
      <c r="AB8909" s="38"/>
    </row>
    <row r="8910">
      <c r="P8910" s="42"/>
      <c r="AB8910" s="38"/>
    </row>
    <row r="8911">
      <c r="P8911" s="42"/>
      <c r="AB8911" s="38"/>
    </row>
    <row r="8912">
      <c r="P8912" s="42"/>
      <c r="AB8912" s="38"/>
    </row>
    <row r="8913">
      <c r="P8913" s="42"/>
      <c r="AB8913" s="38"/>
    </row>
    <row r="8914">
      <c r="P8914" s="42"/>
      <c r="AB8914" s="38"/>
    </row>
    <row r="8915">
      <c r="P8915" s="42"/>
      <c r="AB8915" s="38"/>
    </row>
    <row r="8916">
      <c r="P8916" s="42"/>
      <c r="AB8916" s="38"/>
    </row>
    <row r="8917">
      <c r="P8917" s="42"/>
      <c r="AB8917" s="38"/>
    </row>
    <row r="8918">
      <c r="P8918" s="42"/>
      <c r="AB8918" s="38"/>
    </row>
    <row r="8919">
      <c r="P8919" s="42"/>
      <c r="AB8919" s="38"/>
    </row>
    <row r="8920">
      <c r="P8920" s="42"/>
      <c r="AB8920" s="38"/>
    </row>
    <row r="8921">
      <c r="P8921" s="42"/>
      <c r="AB8921" s="38"/>
    </row>
    <row r="8922">
      <c r="P8922" s="42"/>
      <c r="AB8922" s="38"/>
    </row>
    <row r="8923">
      <c r="P8923" s="42"/>
      <c r="AB8923" s="38"/>
    </row>
    <row r="8924">
      <c r="P8924" s="42"/>
      <c r="AB8924" s="38"/>
    </row>
    <row r="8925">
      <c r="P8925" s="42"/>
      <c r="AB8925" s="38"/>
    </row>
    <row r="8926">
      <c r="P8926" s="42"/>
      <c r="AB8926" s="38"/>
    </row>
    <row r="8927">
      <c r="P8927" s="42"/>
      <c r="AB8927" s="38"/>
    </row>
    <row r="8928">
      <c r="P8928" s="42"/>
      <c r="AB8928" s="38"/>
    </row>
    <row r="8929">
      <c r="P8929" s="42"/>
      <c r="AB8929" s="38"/>
    </row>
    <row r="8930">
      <c r="P8930" s="42"/>
      <c r="AB8930" s="38"/>
    </row>
    <row r="8931">
      <c r="P8931" s="42"/>
      <c r="AB8931" s="38"/>
    </row>
    <row r="8932">
      <c r="P8932" s="42"/>
      <c r="AB8932" s="38"/>
    </row>
    <row r="8933">
      <c r="P8933" s="42"/>
      <c r="AB8933" s="38"/>
    </row>
    <row r="8934">
      <c r="P8934" s="42"/>
      <c r="AB8934" s="38"/>
    </row>
    <row r="8935">
      <c r="P8935" s="42"/>
      <c r="AB8935" s="38"/>
    </row>
    <row r="8936">
      <c r="P8936" s="42"/>
      <c r="AB8936" s="38"/>
    </row>
    <row r="8937">
      <c r="P8937" s="42"/>
      <c r="AB8937" s="38"/>
    </row>
    <row r="8938">
      <c r="P8938" s="42"/>
      <c r="AB8938" s="38"/>
    </row>
    <row r="8939">
      <c r="P8939" s="42"/>
      <c r="AB8939" s="38"/>
    </row>
    <row r="8940">
      <c r="P8940" s="42"/>
      <c r="AB8940" s="38"/>
    </row>
    <row r="8941">
      <c r="P8941" s="42"/>
      <c r="AB8941" s="38"/>
    </row>
    <row r="8942">
      <c r="P8942" s="42"/>
      <c r="AB8942" s="38"/>
    </row>
    <row r="8943">
      <c r="P8943" s="42"/>
      <c r="AB8943" s="38"/>
    </row>
    <row r="8944">
      <c r="P8944" s="42"/>
      <c r="AB8944" s="38"/>
    </row>
    <row r="8945">
      <c r="P8945" s="42"/>
      <c r="AB8945" s="38"/>
    </row>
    <row r="8946">
      <c r="P8946" s="42"/>
      <c r="AB8946" s="38"/>
    </row>
    <row r="8947">
      <c r="P8947" s="42"/>
      <c r="AB8947" s="38"/>
    </row>
    <row r="8948">
      <c r="P8948" s="42"/>
      <c r="AB8948" s="38"/>
    </row>
    <row r="8949">
      <c r="P8949" s="42"/>
      <c r="AB8949" s="38"/>
    </row>
    <row r="8950">
      <c r="P8950" s="42"/>
      <c r="AB8950" s="38"/>
    </row>
    <row r="8951">
      <c r="P8951" s="42"/>
      <c r="AB8951" s="38"/>
    </row>
    <row r="8952">
      <c r="P8952" s="42"/>
      <c r="AB8952" s="38"/>
    </row>
    <row r="8953">
      <c r="P8953" s="42"/>
      <c r="AB8953" s="38"/>
    </row>
    <row r="8954">
      <c r="P8954" s="42"/>
      <c r="AB8954" s="38"/>
    </row>
    <row r="8955">
      <c r="P8955" s="42"/>
      <c r="AB8955" s="38"/>
    </row>
    <row r="8956">
      <c r="P8956" s="42"/>
      <c r="AB8956" s="38"/>
    </row>
    <row r="8957">
      <c r="P8957" s="42"/>
      <c r="AB8957" s="38"/>
    </row>
    <row r="8958">
      <c r="P8958" s="42"/>
      <c r="AB8958" s="38"/>
    </row>
    <row r="8959">
      <c r="P8959" s="42"/>
      <c r="AB8959" s="38"/>
    </row>
    <row r="8960">
      <c r="P8960" s="42"/>
      <c r="AB8960" s="38"/>
    </row>
    <row r="8961">
      <c r="P8961" s="42"/>
      <c r="AB8961" s="38"/>
    </row>
    <row r="8962">
      <c r="P8962" s="42"/>
      <c r="AB8962" s="38"/>
    </row>
    <row r="8963">
      <c r="P8963" s="42"/>
      <c r="AB8963" s="38"/>
    </row>
    <row r="8964">
      <c r="P8964" s="42"/>
      <c r="AB8964" s="38"/>
    </row>
    <row r="8965">
      <c r="P8965" s="42"/>
      <c r="AB8965" s="38"/>
    </row>
    <row r="8966">
      <c r="P8966" s="42"/>
      <c r="AB8966" s="38"/>
    </row>
    <row r="8967">
      <c r="P8967" s="42"/>
      <c r="AB8967" s="38"/>
    </row>
    <row r="8968">
      <c r="P8968" s="42"/>
      <c r="AB8968" s="38"/>
    </row>
    <row r="8969">
      <c r="P8969" s="42"/>
      <c r="AB8969" s="38"/>
    </row>
    <row r="8970">
      <c r="P8970" s="42"/>
      <c r="AB8970" s="38"/>
    </row>
    <row r="8971">
      <c r="P8971" s="42"/>
      <c r="AB8971" s="38"/>
    </row>
    <row r="8972">
      <c r="P8972" s="42"/>
      <c r="AB8972" s="38"/>
    </row>
    <row r="8973">
      <c r="P8973" s="42"/>
      <c r="AB8973" s="38"/>
    </row>
    <row r="8974">
      <c r="P8974" s="42"/>
      <c r="AB8974" s="38"/>
    </row>
    <row r="8975">
      <c r="P8975" s="42"/>
      <c r="AB8975" s="38"/>
    </row>
    <row r="8976">
      <c r="P8976" s="42"/>
      <c r="AB8976" s="38"/>
    </row>
    <row r="8977">
      <c r="P8977" s="42"/>
      <c r="AB8977" s="38"/>
    </row>
    <row r="8978">
      <c r="P8978" s="42"/>
      <c r="AB8978" s="38"/>
    </row>
    <row r="8979">
      <c r="P8979" s="42"/>
      <c r="AB8979" s="38"/>
    </row>
    <row r="8980">
      <c r="P8980" s="42"/>
      <c r="AB8980" s="38"/>
    </row>
    <row r="8981">
      <c r="P8981" s="42"/>
      <c r="AB8981" s="38"/>
    </row>
    <row r="8982">
      <c r="P8982" s="42"/>
      <c r="AB8982" s="38"/>
    </row>
    <row r="8983">
      <c r="P8983" s="42"/>
      <c r="AB8983" s="38"/>
    </row>
    <row r="8984">
      <c r="P8984" s="42"/>
      <c r="AB8984" s="38"/>
    </row>
    <row r="8985">
      <c r="P8985" s="42"/>
      <c r="AB8985" s="38"/>
    </row>
    <row r="8986">
      <c r="P8986" s="42"/>
      <c r="AB8986" s="38"/>
    </row>
    <row r="8987">
      <c r="P8987" s="42"/>
      <c r="AB8987" s="38"/>
    </row>
    <row r="8988">
      <c r="P8988" s="42"/>
      <c r="AB8988" s="38"/>
    </row>
    <row r="8989">
      <c r="P8989" s="42"/>
      <c r="AB8989" s="38"/>
    </row>
    <row r="8990">
      <c r="P8990" s="42"/>
      <c r="AB8990" s="38"/>
    </row>
    <row r="8991">
      <c r="P8991" s="42"/>
      <c r="AB8991" s="38"/>
    </row>
    <row r="8992">
      <c r="P8992" s="42"/>
      <c r="AB8992" s="38"/>
    </row>
    <row r="8993">
      <c r="P8993" s="42"/>
      <c r="AB8993" s="38"/>
    </row>
    <row r="8994">
      <c r="P8994" s="42"/>
      <c r="AB8994" s="38"/>
    </row>
    <row r="8995">
      <c r="P8995" s="42"/>
      <c r="AB8995" s="38"/>
    </row>
    <row r="8996">
      <c r="P8996" s="42"/>
      <c r="AB8996" s="38"/>
    </row>
    <row r="8997">
      <c r="P8997" s="42"/>
      <c r="AB8997" s="38"/>
    </row>
    <row r="8998">
      <c r="P8998" s="42"/>
      <c r="AB8998" s="38"/>
    </row>
    <row r="8999">
      <c r="P8999" s="42"/>
      <c r="AB8999" s="38"/>
    </row>
    <row r="9000">
      <c r="P9000" s="42"/>
      <c r="AB9000" s="38"/>
    </row>
    <row r="9001">
      <c r="P9001" s="42"/>
      <c r="AB9001" s="38"/>
    </row>
    <row r="9002">
      <c r="P9002" s="42"/>
      <c r="AB9002" s="38"/>
    </row>
    <row r="9003">
      <c r="P9003" s="42"/>
      <c r="AB9003" s="38"/>
    </row>
    <row r="9004">
      <c r="P9004" s="42"/>
      <c r="AB9004" s="38"/>
    </row>
    <row r="9005">
      <c r="P9005" s="42"/>
      <c r="AB9005" s="38"/>
    </row>
    <row r="9006">
      <c r="P9006" s="42"/>
      <c r="AB9006" s="38"/>
    </row>
    <row r="9007">
      <c r="P9007" s="42"/>
      <c r="AB9007" s="38"/>
    </row>
    <row r="9008">
      <c r="P9008" s="42"/>
      <c r="AB9008" s="38"/>
    </row>
    <row r="9009">
      <c r="P9009" s="42"/>
      <c r="AB9009" s="38"/>
    </row>
    <row r="9010">
      <c r="P9010" s="42"/>
      <c r="AB9010" s="38"/>
    </row>
    <row r="9011">
      <c r="P9011" s="42"/>
      <c r="AB9011" s="38"/>
    </row>
    <row r="9012">
      <c r="P9012" s="42"/>
      <c r="AB9012" s="38"/>
    </row>
    <row r="9013">
      <c r="P9013" s="42"/>
      <c r="AB9013" s="38"/>
    </row>
    <row r="9014">
      <c r="P9014" s="42"/>
      <c r="AB9014" s="38"/>
    </row>
    <row r="9015">
      <c r="P9015" s="42"/>
      <c r="AB9015" s="38"/>
    </row>
    <row r="9016">
      <c r="P9016" s="42"/>
      <c r="AB9016" s="38"/>
    </row>
    <row r="9017">
      <c r="P9017" s="42"/>
      <c r="AB9017" s="38"/>
    </row>
    <row r="9018">
      <c r="P9018" s="42"/>
      <c r="AB9018" s="38"/>
    </row>
    <row r="9019">
      <c r="P9019" s="42"/>
      <c r="AB9019" s="38"/>
    </row>
    <row r="9020">
      <c r="P9020" s="42"/>
      <c r="AB9020" s="38"/>
    </row>
    <row r="9021">
      <c r="P9021" s="42"/>
      <c r="AB9021" s="38"/>
    </row>
    <row r="9022">
      <c r="P9022" s="42"/>
      <c r="AB9022" s="38"/>
    </row>
    <row r="9023">
      <c r="P9023" s="42"/>
      <c r="AB9023" s="38"/>
    </row>
    <row r="9024">
      <c r="P9024" s="42"/>
      <c r="AB9024" s="38"/>
    </row>
    <row r="9025">
      <c r="P9025" s="42"/>
      <c r="AB9025" s="38"/>
    </row>
    <row r="9026">
      <c r="P9026" s="42"/>
      <c r="AB9026" s="38"/>
    </row>
    <row r="9027">
      <c r="P9027" s="42"/>
      <c r="AB9027" s="38"/>
    </row>
    <row r="9028">
      <c r="P9028" s="42"/>
      <c r="AB9028" s="38"/>
    </row>
    <row r="9029">
      <c r="P9029" s="42"/>
      <c r="AB9029" s="38"/>
    </row>
    <row r="9030">
      <c r="P9030" s="42"/>
      <c r="AB9030" s="38"/>
    </row>
    <row r="9031">
      <c r="P9031" s="42"/>
      <c r="AB9031" s="38"/>
    </row>
    <row r="9032">
      <c r="P9032" s="42"/>
      <c r="AB9032" s="38"/>
    </row>
    <row r="9033">
      <c r="P9033" s="42"/>
      <c r="AB9033" s="38"/>
    </row>
    <row r="9034">
      <c r="P9034" s="42"/>
      <c r="AB9034" s="38"/>
    </row>
    <row r="9035">
      <c r="P9035" s="42"/>
      <c r="AB9035" s="38"/>
    </row>
    <row r="9036">
      <c r="P9036" s="42"/>
      <c r="AB9036" s="38"/>
    </row>
    <row r="9037">
      <c r="P9037" s="42"/>
      <c r="AB9037" s="38"/>
    </row>
    <row r="9038">
      <c r="P9038" s="42"/>
      <c r="AB9038" s="38"/>
    </row>
    <row r="9039">
      <c r="P9039" s="42"/>
      <c r="AB9039" s="38"/>
    </row>
    <row r="9040">
      <c r="P9040" s="42"/>
      <c r="AB9040" s="38"/>
    </row>
    <row r="9041">
      <c r="P9041" s="42"/>
      <c r="AB9041" s="38"/>
    </row>
    <row r="9042">
      <c r="P9042" s="42"/>
      <c r="AB9042" s="38"/>
    </row>
    <row r="9043">
      <c r="P9043" s="42"/>
      <c r="AB9043" s="38"/>
    </row>
    <row r="9044">
      <c r="P9044" s="42"/>
      <c r="AB9044" s="38"/>
    </row>
    <row r="9045">
      <c r="P9045" s="42"/>
      <c r="AB9045" s="38"/>
    </row>
    <row r="9046">
      <c r="P9046" s="42"/>
      <c r="AB9046" s="38"/>
    </row>
    <row r="9047">
      <c r="P9047" s="42"/>
      <c r="AB9047" s="38"/>
    </row>
    <row r="9048">
      <c r="P9048" s="42"/>
      <c r="AB9048" s="38"/>
    </row>
    <row r="9049">
      <c r="P9049" s="42"/>
      <c r="AB9049" s="38"/>
    </row>
    <row r="9050">
      <c r="P9050" s="42"/>
      <c r="AB9050" s="38"/>
    </row>
    <row r="9051">
      <c r="P9051" s="42"/>
      <c r="AB9051" s="38"/>
    </row>
    <row r="9052">
      <c r="P9052" s="42"/>
      <c r="AB9052" s="38"/>
    </row>
    <row r="9053">
      <c r="P9053" s="42"/>
      <c r="AB9053" s="38"/>
    </row>
    <row r="9054">
      <c r="P9054" s="42"/>
      <c r="AB9054" s="38"/>
    </row>
    <row r="9055">
      <c r="P9055" s="42"/>
      <c r="AB9055" s="38"/>
    </row>
    <row r="9056">
      <c r="P9056" s="42"/>
      <c r="AB9056" s="38"/>
    </row>
    <row r="9057">
      <c r="P9057" s="42"/>
      <c r="AB9057" s="38"/>
    </row>
    <row r="9058">
      <c r="P9058" s="42"/>
      <c r="AB9058" s="38"/>
    </row>
    <row r="9059">
      <c r="P9059" s="42"/>
      <c r="AB9059" s="38"/>
    </row>
    <row r="9060">
      <c r="P9060" s="42"/>
      <c r="AB9060" s="38"/>
    </row>
    <row r="9061">
      <c r="P9061" s="42"/>
      <c r="AB9061" s="38"/>
    </row>
    <row r="9062">
      <c r="P9062" s="42"/>
      <c r="AB9062" s="38"/>
    </row>
    <row r="9063">
      <c r="P9063" s="42"/>
      <c r="AB9063" s="38"/>
    </row>
    <row r="9064">
      <c r="P9064" s="42"/>
      <c r="AB9064" s="38"/>
    </row>
    <row r="9065">
      <c r="P9065" s="42"/>
      <c r="AB9065" s="38"/>
    </row>
    <row r="9066">
      <c r="P9066" s="42"/>
      <c r="AB9066" s="38"/>
    </row>
    <row r="9067">
      <c r="P9067" s="42"/>
      <c r="AB9067" s="38"/>
    </row>
    <row r="9068">
      <c r="P9068" s="42"/>
      <c r="AB9068" s="38"/>
    </row>
    <row r="9069">
      <c r="P9069" s="42"/>
      <c r="AB9069" s="38"/>
    </row>
    <row r="9070">
      <c r="P9070" s="42"/>
      <c r="AB9070" s="38"/>
    </row>
    <row r="9071">
      <c r="P9071" s="42"/>
      <c r="AB9071" s="38"/>
    </row>
    <row r="9072">
      <c r="P9072" s="42"/>
      <c r="AB9072" s="38"/>
    </row>
    <row r="9073">
      <c r="P9073" s="42"/>
      <c r="AB9073" s="38"/>
    </row>
    <row r="9074">
      <c r="P9074" s="42"/>
      <c r="AB9074" s="38"/>
    </row>
    <row r="9075">
      <c r="P9075" s="42"/>
      <c r="AB9075" s="38"/>
    </row>
    <row r="9076">
      <c r="P9076" s="42"/>
      <c r="AB9076" s="38"/>
    </row>
    <row r="9077">
      <c r="P9077" s="42"/>
      <c r="AB9077" s="38"/>
    </row>
    <row r="9078">
      <c r="P9078" s="42"/>
      <c r="AB9078" s="38"/>
    </row>
    <row r="9079">
      <c r="P9079" s="42"/>
      <c r="AB9079" s="38"/>
    </row>
    <row r="9080">
      <c r="P9080" s="42"/>
      <c r="AB9080" s="38"/>
    </row>
    <row r="9081">
      <c r="P9081" s="42"/>
      <c r="AB9081" s="38"/>
    </row>
    <row r="9082">
      <c r="P9082" s="42"/>
      <c r="AB9082" s="38"/>
    </row>
    <row r="9083">
      <c r="P9083" s="42"/>
      <c r="AB9083" s="38"/>
    </row>
    <row r="9084">
      <c r="P9084" s="42"/>
      <c r="AB9084" s="38"/>
    </row>
    <row r="9085">
      <c r="P9085" s="42"/>
      <c r="AB9085" s="38"/>
    </row>
    <row r="9086">
      <c r="P9086" s="42"/>
      <c r="AB9086" s="38"/>
    </row>
    <row r="9087">
      <c r="P9087" s="42"/>
      <c r="AB9087" s="38"/>
    </row>
    <row r="9088">
      <c r="P9088" s="42"/>
      <c r="AB9088" s="38"/>
    </row>
    <row r="9089">
      <c r="P9089" s="42"/>
      <c r="AB9089" s="38"/>
    </row>
    <row r="9090">
      <c r="P9090" s="42"/>
      <c r="AB9090" s="38"/>
    </row>
    <row r="9091">
      <c r="P9091" s="42"/>
      <c r="AB9091" s="38"/>
    </row>
    <row r="9092">
      <c r="P9092" s="42"/>
      <c r="AB9092" s="38"/>
    </row>
    <row r="9093">
      <c r="P9093" s="42"/>
      <c r="AB9093" s="38"/>
    </row>
    <row r="9094">
      <c r="P9094" s="42"/>
      <c r="AB9094" s="38"/>
    </row>
    <row r="9095">
      <c r="P9095" s="42"/>
      <c r="AB9095" s="38"/>
    </row>
    <row r="9096">
      <c r="P9096" s="42"/>
      <c r="AB9096" s="38"/>
    </row>
    <row r="9097">
      <c r="P9097" s="42"/>
      <c r="AB9097" s="38"/>
    </row>
    <row r="9098">
      <c r="P9098" s="42"/>
      <c r="AB9098" s="38"/>
    </row>
    <row r="9099">
      <c r="P9099" s="42"/>
      <c r="AB9099" s="38"/>
    </row>
    <row r="9100">
      <c r="P9100" s="42"/>
      <c r="AB9100" s="38"/>
    </row>
    <row r="9101">
      <c r="P9101" s="42"/>
      <c r="AB9101" s="38"/>
    </row>
    <row r="9102">
      <c r="P9102" s="42"/>
      <c r="AB9102" s="38"/>
    </row>
    <row r="9103">
      <c r="P9103" s="42"/>
      <c r="AB9103" s="38"/>
    </row>
    <row r="9104">
      <c r="P9104" s="42"/>
      <c r="AB9104" s="38"/>
    </row>
    <row r="9105">
      <c r="P9105" s="42"/>
      <c r="AB9105" s="38"/>
    </row>
    <row r="9106">
      <c r="P9106" s="42"/>
      <c r="AB9106" s="38"/>
    </row>
    <row r="9107">
      <c r="P9107" s="42"/>
      <c r="AB9107" s="38"/>
    </row>
    <row r="9108">
      <c r="P9108" s="42"/>
      <c r="AB9108" s="38"/>
    </row>
    <row r="9109">
      <c r="P9109" s="42"/>
      <c r="AB9109" s="38"/>
    </row>
    <row r="9110">
      <c r="P9110" s="42"/>
      <c r="AB9110" s="38"/>
    </row>
    <row r="9111">
      <c r="P9111" s="42"/>
      <c r="AB9111" s="38"/>
    </row>
    <row r="9112">
      <c r="P9112" s="42"/>
      <c r="AB9112" s="38"/>
    </row>
    <row r="9113">
      <c r="P9113" s="42"/>
      <c r="AB9113" s="38"/>
    </row>
    <row r="9114">
      <c r="P9114" s="42"/>
      <c r="AB9114" s="38"/>
    </row>
    <row r="9115">
      <c r="P9115" s="42"/>
      <c r="AB9115" s="38"/>
    </row>
    <row r="9116">
      <c r="P9116" s="42"/>
      <c r="AB9116" s="38"/>
    </row>
    <row r="9117">
      <c r="P9117" s="42"/>
      <c r="AB9117" s="38"/>
    </row>
    <row r="9118">
      <c r="P9118" s="42"/>
      <c r="AB9118" s="38"/>
    </row>
    <row r="9119">
      <c r="P9119" s="42"/>
      <c r="AB9119" s="38"/>
    </row>
    <row r="9120">
      <c r="P9120" s="42"/>
      <c r="AB9120" s="38"/>
    </row>
    <row r="9121">
      <c r="P9121" s="42"/>
      <c r="AB9121" s="38"/>
    </row>
    <row r="9122">
      <c r="P9122" s="42"/>
      <c r="AB9122" s="38"/>
    </row>
    <row r="9123">
      <c r="P9123" s="42"/>
      <c r="AB9123" s="38"/>
    </row>
    <row r="9124">
      <c r="P9124" s="42"/>
      <c r="AB9124" s="38"/>
    </row>
    <row r="9125">
      <c r="P9125" s="42"/>
      <c r="AB9125" s="38"/>
    </row>
    <row r="9126">
      <c r="P9126" s="42"/>
      <c r="AB9126" s="38"/>
    </row>
    <row r="9127">
      <c r="P9127" s="42"/>
      <c r="AB9127" s="38"/>
    </row>
    <row r="9128">
      <c r="P9128" s="42"/>
      <c r="AB9128" s="38"/>
    </row>
    <row r="9129">
      <c r="P9129" s="42"/>
      <c r="AB9129" s="38"/>
    </row>
    <row r="9130">
      <c r="P9130" s="42"/>
      <c r="AB9130" s="38"/>
    </row>
    <row r="9131">
      <c r="P9131" s="42"/>
      <c r="AB9131" s="38"/>
    </row>
    <row r="9132">
      <c r="P9132" s="42"/>
      <c r="AB9132" s="38"/>
    </row>
    <row r="9133">
      <c r="P9133" s="42"/>
      <c r="AB9133" s="38"/>
    </row>
    <row r="9134">
      <c r="P9134" s="42"/>
      <c r="AB9134" s="38"/>
    </row>
    <row r="9135">
      <c r="P9135" s="42"/>
      <c r="AB9135" s="38"/>
    </row>
    <row r="9136">
      <c r="P9136" s="42"/>
      <c r="AB9136" s="38"/>
    </row>
    <row r="9137">
      <c r="P9137" s="42"/>
      <c r="AB9137" s="38"/>
    </row>
    <row r="9138">
      <c r="P9138" s="42"/>
      <c r="AB9138" s="38"/>
    </row>
    <row r="9139">
      <c r="P9139" s="42"/>
      <c r="AB9139" s="38"/>
    </row>
    <row r="9140">
      <c r="P9140" s="42"/>
      <c r="AB9140" s="38"/>
    </row>
    <row r="9141">
      <c r="P9141" s="42"/>
      <c r="AB9141" s="38"/>
    </row>
    <row r="9142">
      <c r="P9142" s="42"/>
      <c r="AB9142" s="38"/>
    </row>
    <row r="9143">
      <c r="P9143" s="42"/>
      <c r="AB9143" s="38"/>
    </row>
    <row r="9144">
      <c r="P9144" s="42"/>
      <c r="AB9144" s="38"/>
    </row>
    <row r="9145">
      <c r="P9145" s="42"/>
      <c r="AB9145" s="38"/>
    </row>
    <row r="9146">
      <c r="P9146" s="42"/>
      <c r="AB9146" s="38"/>
    </row>
    <row r="9147">
      <c r="P9147" s="42"/>
      <c r="AB9147" s="38"/>
    </row>
    <row r="9148">
      <c r="P9148" s="42"/>
      <c r="AB9148" s="38"/>
    </row>
    <row r="9149">
      <c r="P9149" s="42"/>
      <c r="AB9149" s="38"/>
    </row>
    <row r="9150">
      <c r="P9150" s="42"/>
      <c r="AB9150" s="38"/>
    </row>
    <row r="9151">
      <c r="P9151" s="42"/>
      <c r="AB9151" s="38"/>
    </row>
    <row r="9152">
      <c r="P9152" s="42"/>
      <c r="AB9152" s="38"/>
    </row>
    <row r="9153">
      <c r="P9153" s="42"/>
      <c r="AB9153" s="38"/>
    </row>
    <row r="9154">
      <c r="P9154" s="42"/>
      <c r="AB9154" s="38"/>
    </row>
    <row r="9155">
      <c r="P9155" s="42"/>
      <c r="AB9155" s="38"/>
    </row>
    <row r="9156">
      <c r="P9156" s="42"/>
      <c r="AB9156" s="38"/>
    </row>
    <row r="9157">
      <c r="P9157" s="42"/>
      <c r="AB9157" s="38"/>
    </row>
    <row r="9158">
      <c r="P9158" s="42"/>
      <c r="AB9158" s="38"/>
    </row>
    <row r="9159">
      <c r="P9159" s="42"/>
      <c r="AB9159" s="38"/>
    </row>
    <row r="9160">
      <c r="P9160" s="42"/>
      <c r="AB9160" s="38"/>
    </row>
    <row r="9161">
      <c r="P9161" s="42"/>
      <c r="AB9161" s="38"/>
    </row>
    <row r="9162">
      <c r="P9162" s="42"/>
      <c r="AB9162" s="38"/>
    </row>
    <row r="9163">
      <c r="P9163" s="42"/>
      <c r="AB9163" s="38"/>
    </row>
    <row r="9164">
      <c r="P9164" s="42"/>
      <c r="AB9164" s="38"/>
    </row>
    <row r="9165">
      <c r="P9165" s="42"/>
      <c r="AB9165" s="38"/>
    </row>
    <row r="9166">
      <c r="P9166" s="42"/>
      <c r="AB9166" s="38"/>
    </row>
    <row r="9167">
      <c r="P9167" s="42"/>
      <c r="AB9167" s="38"/>
    </row>
    <row r="9168">
      <c r="P9168" s="42"/>
      <c r="AB9168" s="38"/>
    </row>
    <row r="9169">
      <c r="P9169" s="42"/>
      <c r="AB9169" s="38"/>
    </row>
    <row r="9170">
      <c r="P9170" s="42"/>
      <c r="AB9170" s="38"/>
    </row>
    <row r="9171">
      <c r="P9171" s="42"/>
      <c r="AB9171" s="38"/>
    </row>
    <row r="9172">
      <c r="P9172" s="42"/>
      <c r="AB9172" s="38"/>
    </row>
    <row r="9173">
      <c r="P9173" s="42"/>
      <c r="AB9173" s="38"/>
    </row>
    <row r="9174">
      <c r="P9174" s="42"/>
      <c r="AB9174" s="38"/>
    </row>
    <row r="9175">
      <c r="P9175" s="42"/>
      <c r="AB9175" s="38"/>
    </row>
    <row r="9176">
      <c r="P9176" s="42"/>
      <c r="AB9176" s="38"/>
    </row>
    <row r="9177">
      <c r="P9177" s="42"/>
      <c r="AB9177" s="38"/>
    </row>
    <row r="9178">
      <c r="P9178" s="42"/>
      <c r="AB9178" s="38"/>
    </row>
    <row r="9179">
      <c r="P9179" s="42"/>
      <c r="AB9179" s="38"/>
    </row>
    <row r="9180">
      <c r="P9180" s="42"/>
      <c r="AB9180" s="38"/>
    </row>
    <row r="9181">
      <c r="P9181" s="42"/>
      <c r="AB9181" s="38"/>
    </row>
    <row r="9182">
      <c r="P9182" s="42"/>
      <c r="AB9182" s="38"/>
    </row>
    <row r="9183">
      <c r="P9183" s="42"/>
      <c r="AB9183" s="38"/>
    </row>
    <row r="9184">
      <c r="P9184" s="42"/>
      <c r="AB9184" s="38"/>
    </row>
    <row r="9185">
      <c r="P9185" s="42"/>
      <c r="AB9185" s="38"/>
    </row>
    <row r="9186">
      <c r="P9186" s="42"/>
      <c r="AB9186" s="38"/>
    </row>
    <row r="9187">
      <c r="P9187" s="42"/>
      <c r="AB9187" s="38"/>
    </row>
    <row r="9188">
      <c r="P9188" s="42"/>
      <c r="AB9188" s="38"/>
    </row>
    <row r="9189">
      <c r="P9189" s="42"/>
      <c r="AB9189" s="38"/>
    </row>
    <row r="9190">
      <c r="P9190" s="42"/>
      <c r="AB9190" s="38"/>
    </row>
    <row r="9191">
      <c r="P9191" s="42"/>
      <c r="AB9191" s="38"/>
    </row>
    <row r="9192">
      <c r="P9192" s="42"/>
      <c r="AB9192" s="38"/>
    </row>
    <row r="9193">
      <c r="P9193" s="42"/>
      <c r="AB9193" s="38"/>
    </row>
    <row r="9194">
      <c r="P9194" s="42"/>
      <c r="AB9194" s="38"/>
    </row>
    <row r="9195">
      <c r="P9195" s="42"/>
      <c r="AB9195" s="38"/>
    </row>
    <row r="9196">
      <c r="P9196" s="42"/>
      <c r="AB9196" s="38"/>
    </row>
    <row r="9197">
      <c r="P9197" s="42"/>
      <c r="AB9197" s="38"/>
    </row>
    <row r="9198">
      <c r="P9198" s="42"/>
      <c r="AB9198" s="38"/>
    </row>
    <row r="9199">
      <c r="P9199" s="42"/>
      <c r="AB9199" s="38"/>
    </row>
    <row r="9200">
      <c r="P9200" s="42"/>
      <c r="AB9200" s="38"/>
    </row>
    <row r="9201">
      <c r="P9201" s="42"/>
      <c r="AB9201" s="38"/>
    </row>
    <row r="9202">
      <c r="P9202" s="42"/>
      <c r="AB9202" s="38"/>
    </row>
    <row r="9203">
      <c r="P9203" s="42"/>
      <c r="AB9203" s="38"/>
    </row>
    <row r="9204">
      <c r="P9204" s="42"/>
      <c r="AB9204" s="38"/>
    </row>
    <row r="9205">
      <c r="P9205" s="42"/>
      <c r="AB9205" s="38"/>
    </row>
    <row r="9206">
      <c r="P9206" s="42"/>
      <c r="AB9206" s="38"/>
    </row>
    <row r="9207">
      <c r="P9207" s="42"/>
      <c r="AB9207" s="38"/>
    </row>
    <row r="9208">
      <c r="P9208" s="42"/>
      <c r="AB9208" s="38"/>
    </row>
    <row r="9209">
      <c r="P9209" s="42"/>
      <c r="AB9209" s="38"/>
    </row>
    <row r="9210">
      <c r="P9210" s="42"/>
      <c r="AB9210" s="38"/>
    </row>
    <row r="9211">
      <c r="P9211" s="42"/>
      <c r="AB9211" s="38"/>
    </row>
    <row r="9212">
      <c r="P9212" s="42"/>
      <c r="AB9212" s="38"/>
    </row>
    <row r="9213">
      <c r="P9213" s="42"/>
      <c r="AB9213" s="38"/>
    </row>
    <row r="9214">
      <c r="P9214" s="42"/>
      <c r="AB9214" s="38"/>
    </row>
    <row r="9215">
      <c r="P9215" s="42"/>
      <c r="AB9215" s="38"/>
    </row>
    <row r="9216">
      <c r="P9216" s="42"/>
      <c r="AB9216" s="38"/>
    </row>
    <row r="9217">
      <c r="P9217" s="42"/>
      <c r="AB9217" s="38"/>
    </row>
    <row r="9218">
      <c r="P9218" s="42"/>
      <c r="AB9218" s="38"/>
    </row>
    <row r="9219">
      <c r="P9219" s="42"/>
      <c r="AB9219" s="38"/>
    </row>
    <row r="9220">
      <c r="P9220" s="42"/>
      <c r="AB9220" s="38"/>
    </row>
    <row r="9221">
      <c r="P9221" s="42"/>
      <c r="AB9221" s="38"/>
    </row>
    <row r="9222">
      <c r="P9222" s="42"/>
      <c r="AB9222" s="38"/>
    </row>
    <row r="9223">
      <c r="P9223" s="42"/>
      <c r="AB9223" s="38"/>
    </row>
    <row r="9224">
      <c r="P9224" s="42"/>
      <c r="AB9224" s="38"/>
    </row>
    <row r="9225">
      <c r="P9225" s="42"/>
      <c r="AB9225" s="38"/>
    </row>
    <row r="9226">
      <c r="P9226" s="42"/>
      <c r="AB9226" s="38"/>
    </row>
    <row r="9227">
      <c r="P9227" s="42"/>
      <c r="AB9227" s="38"/>
    </row>
    <row r="9228">
      <c r="P9228" s="42"/>
      <c r="AB9228" s="38"/>
    </row>
    <row r="9229">
      <c r="P9229" s="42"/>
      <c r="AB9229" s="38"/>
    </row>
    <row r="9230">
      <c r="P9230" s="42"/>
      <c r="AB9230" s="38"/>
    </row>
    <row r="9231">
      <c r="P9231" s="42"/>
      <c r="AB9231" s="38"/>
    </row>
    <row r="9232">
      <c r="P9232" s="42"/>
      <c r="AB9232" s="38"/>
    </row>
    <row r="9233">
      <c r="P9233" s="42"/>
      <c r="AB9233" s="38"/>
    </row>
    <row r="9234">
      <c r="P9234" s="42"/>
      <c r="AB9234" s="38"/>
    </row>
    <row r="9235">
      <c r="P9235" s="42"/>
      <c r="AB9235" s="38"/>
    </row>
    <row r="9236">
      <c r="P9236" s="42"/>
      <c r="AB9236" s="38"/>
    </row>
    <row r="9237">
      <c r="P9237" s="42"/>
      <c r="AB9237" s="38"/>
    </row>
    <row r="9238">
      <c r="P9238" s="42"/>
      <c r="AB9238" s="38"/>
    </row>
    <row r="9239">
      <c r="P9239" s="42"/>
      <c r="AB9239" s="38"/>
    </row>
    <row r="9240">
      <c r="P9240" s="42"/>
      <c r="AB9240" s="38"/>
    </row>
    <row r="9241">
      <c r="P9241" s="42"/>
      <c r="AB9241" s="38"/>
    </row>
    <row r="9242">
      <c r="P9242" s="42"/>
      <c r="AB9242" s="38"/>
    </row>
    <row r="9243">
      <c r="P9243" s="42"/>
      <c r="AB9243" s="38"/>
    </row>
    <row r="9244">
      <c r="P9244" s="42"/>
      <c r="AB9244" s="38"/>
    </row>
    <row r="9245">
      <c r="P9245" s="42"/>
      <c r="AB9245" s="38"/>
    </row>
    <row r="9246">
      <c r="P9246" s="42"/>
      <c r="AB9246" s="38"/>
    </row>
    <row r="9247">
      <c r="P9247" s="42"/>
      <c r="AB9247" s="38"/>
    </row>
    <row r="9248">
      <c r="P9248" s="42"/>
      <c r="AB9248" s="38"/>
    </row>
    <row r="9249">
      <c r="P9249" s="42"/>
      <c r="AB9249" s="38"/>
    </row>
    <row r="9250">
      <c r="P9250" s="42"/>
      <c r="AB9250" s="38"/>
    </row>
    <row r="9251">
      <c r="P9251" s="42"/>
      <c r="AB9251" s="38"/>
    </row>
    <row r="9252">
      <c r="P9252" s="42"/>
      <c r="AB9252" s="38"/>
    </row>
    <row r="9253">
      <c r="P9253" s="42"/>
      <c r="AB9253" s="38"/>
    </row>
    <row r="9254">
      <c r="P9254" s="42"/>
      <c r="AB9254" s="38"/>
    </row>
    <row r="9255">
      <c r="P9255" s="42"/>
      <c r="AB9255" s="38"/>
    </row>
    <row r="9256">
      <c r="P9256" s="42"/>
      <c r="AB9256" s="38"/>
    </row>
    <row r="9257">
      <c r="P9257" s="42"/>
      <c r="AB9257" s="38"/>
    </row>
    <row r="9258">
      <c r="P9258" s="42"/>
      <c r="AB9258" s="38"/>
    </row>
    <row r="9259">
      <c r="P9259" s="42"/>
      <c r="AB9259" s="38"/>
    </row>
    <row r="9260">
      <c r="P9260" s="42"/>
      <c r="AB9260" s="38"/>
    </row>
    <row r="9261">
      <c r="P9261" s="42"/>
      <c r="AB9261" s="38"/>
    </row>
    <row r="9262">
      <c r="P9262" s="42"/>
      <c r="AB9262" s="38"/>
    </row>
    <row r="9263">
      <c r="P9263" s="42"/>
      <c r="AB9263" s="38"/>
    </row>
    <row r="9264">
      <c r="P9264" s="42"/>
      <c r="AB9264" s="38"/>
    </row>
    <row r="9265">
      <c r="P9265" s="42"/>
      <c r="AB9265" s="38"/>
    </row>
    <row r="9266">
      <c r="P9266" s="42"/>
      <c r="AB9266" s="38"/>
    </row>
    <row r="9267">
      <c r="P9267" s="42"/>
      <c r="AB9267" s="38"/>
    </row>
    <row r="9268">
      <c r="P9268" s="42"/>
      <c r="AB9268" s="38"/>
    </row>
    <row r="9269">
      <c r="P9269" s="42"/>
      <c r="AB9269" s="38"/>
    </row>
    <row r="9270">
      <c r="P9270" s="42"/>
      <c r="AB9270" s="38"/>
    </row>
    <row r="9271">
      <c r="P9271" s="42"/>
      <c r="AB9271" s="38"/>
    </row>
    <row r="9272">
      <c r="P9272" s="42"/>
      <c r="AB9272" s="38"/>
    </row>
    <row r="9273">
      <c r="P9273" s="42"/>
      <c r="AB9273" s="38"/>
    </row>
    <row r="9274">
      <c r="P9274" s="42"/>
      <c r="AB9274" s="38"/>
    </row>
    <row r="9275">
      <c r="P9275" s="42"/>
      <c r="AB9275" s="38"/>
    </row>
    <row r="9276">
      <c r="P9276" s="42"/>
      <c r="AB9276" s="38"/>
    </row>
    <row r="9277">
      <c r="P9277" s="42"/>
      <c r="AB9277" s="38"/>
    </row>
    <row r="9278">
      <c r="P9278" s="42"/>
      <c r="AB9278" s="38"/>
    </row>
    <row r="9279">
      <c r="P9279" s="42"/>
      <c r="AB9279" s="38"/>
    </row>
    <row r="9280">
      <c r="P9280" s="42"/>
      <c r="AB9280" s="38"/>
    </row>
    <row r="9281">
      <c r="P9281" s="42"/>
      <c r="AB9281" s="38"/>
    </row>
    <row r="9282">
      <c r="P9282" s="42"/>
      <c r="AB9282" s="38"/>
    </row>
    <row r="9283">
      <c r="P9283" s="42"/>
      <c r="AB9283" s="38"/>
    </row>
    <row r="9284">
      <c r="P9284" s="42"/>
      <c r="AB9284" s="38"/>
    </row>
    <row r="9285">
      <c r="P9285" s="42"/>
      <c r="AB9285" s="38"/>
    </row>
    <row r="9286">
      <c r="P9286" s="42"/>
      <c r="AB9286" s="38"/>
    </row>
    <row r="9287">
      <c r="P9287" s="42"/>
      <c r="AB9287" s="38"/>
    </row>
    <row r="9288">
      <c r="P9288" s="42"/>
      <c r="AB9288" s="38"/>
    </row>
    <row r="9289">
      <c r="P9289" s="42"/>
      <c r="AB9289" s="38"/>
    </row>
    <row r="9290">
      <c r="P9290" s="42"/>
      <c r="AB9290" s="38"/>
    </row>
    <row r="9291">
      <c r="P9291" s="42"/>
      <c r="AB9291" s="38"/>
    </row>
    <row r="9292">
      <c r="P9292" s="42"/>
      <c r="AB9292" s="38"/>
    </row>
    <row r="9293">
      <c r="P9293" s="42"/>
      <c r="AB9293" s="38"/>
    </row>
    <row r="9294">
      <c r="P9294" s="42"/>
      <c r="AB9294" s="38"/>
    </row>
    <row r="9295">
      <c r="P9295" s="42"/>
      <c r="AB9295" s="38"/>
    </row>
    <row r="9296">
      <c r="P9296" s="42"/>
      <c r="AB9296" s="38"/>
    </row>
    <row r="9297">
      <c r="P9297" s="42"/>
      <c r="AB9297" s="38"/>
    </row>
    <row r="9298">
      <c r="P9298" s="42"/>
      <c r="AB9298" s="38"/>
    </row>
    <row r="9299">
      <c r="P9299" s="42"/>
      <c r="AB9299" s="38"/>
    </row>
    <row r="9300">
      <c r="P9300" s="42"/>
      <c r="AB9300" s="38"/>
    </row>
    <row r="9301">
      <c r="P9301" s="42"/>
      <c r="AB9301" s="38"/>
    </row>
    <row r="9302">
      <c r="P9302" s="42"/>
      <c r="AB9302" s="38"/>
    </row>
    <row r="9303">
      <c r="P9303" s="42"/>
      <c r="AB9303" s="38"/>
    </row>
    <row r="9304">
      <c r="P9304" s="42"/>
      <c r="AB9304" s="38"/>
    </row>
    <row r="9305">
      <c r="P9305" s="42"/>
      <c r="AB9305" s="38"/>
    </row>
    <row r="9306">
      <c r="P9306" s="42"/>
      <c r="AB9306" s="38"/>
    </row>
    <row r="9307">
      <c r="P9307" s="42"/>
      <c r="AB9307" s="38"/>
    </row>
    <row r="9308">
      <c r="P9308" s="42"/>
      <c r="AB9308" s="38"/>
    </row>
    <row r="9309">
      <c r="P9309" s="42"/>
      <c r="AB9309" s="38"/>
    </row>
    <row r="9310">
      <c r="P9310" s="42"/>
      <c r="AB9310" s="38"/>
    </row>
    <row r="9311">
      <c r="P9311" s="42"/>
      <c r="AB9311" s="38"/>
    </row>
    <row r="9312">
      <c r="P9312" s="42"/>
      <c r="AB9312" s="38"/>
    </row>
    <row r="9313">
      <c r="P9313" s="42"/>
      <c r="AB9313" s="38"/>
    </row>
    <row r="9314">
      <c r="P9314" s="42"/>
      <c r="AB9314" s="38"/>
    </row>
    <row r="9315">
      <c r="P9315" s="42"/>
      <c r="AB9315" s="38"/>
    </row>
    <row r="9316">
      <c r="P9316" s="42"/>
      <c r="AB9316" s="38"/>
    </row>
    <row r="9317">
      <c r="P9317" s="42"/>
      <c r="AB9317" s="38"/>
    </row>
    <row r="9318">
      <c r="P9318" s="42"/>
      <c r="AB9318" s="38"/>
    </row>
    <row r="9319">
      <c r="P9319" s="42"/>
      <c r="AB9319" s="38"/>
    </row>
    <row r="9320">
      <c r="P9320" s="42"/>
      <c r="AB9320" s="38"/>
    </row>
    <row r="9321">
      <c r="P9321" s="42"/>
      <c r="AB9321" s="38"/>
    </row>
    <row r="9322">
      <c r="P9322" s="42"/>
      <c r="AB9322" s="38"/>
    </row>
    <row r="9323">
      <c r="P9323" s="42"/>
      <c r="AB9323" s="38"/>
    </row>
    <row r="9324">
      <c r="P9324" s="42"/>
      <c r="AB9324" s="38"/>
    </row>
    <row r="9325">
      <c r="P9325" s="42"/>
      <c r="AB9325" s="38"/>
    </row>
    <row r="9326">
      <c r="P9326" s="42"/>
      <c r="AB9326" s="38"/>
    </row>
    <row r="9327">
      <c r="P9327" s="42"/>
      <c r="AB9327" s="38"/>
    </row>
    <row r="9328">
      <c r="P9328" s="42"/>
      <c r="AB9328" s="38"/>
    </row>
    <row r="9329">
      <c r="P9329" s="42"/>
      <c r="AB9329" s="38"/>
    </row>
    <row r="9330">
      <c r="P9330" s="42"/>
      <c r="AB9330" s="38"/>
    </row>
    <row r="9331">
      <c r="P9331" s="42"/>
      <c r="AB9331" s="38"/>
    </row>
    <row r="9332">
      <c r="P9332" s="42"/>
      <c r="AB9332" s="38"/>
    </row>
    <row r="9333">
      <c r="P9333" s="42"/>
      <c r="AB9333" s="38"/>
    </row>
    <row r="9334">
      <c r="P9334" s="42"/>
      <c r="AB9334" s="38"/>
    </row>
    <row r="9335">
      <c r="P9335" s="42"/>
      <c r="AB9335" s="38"/>
    </row>
    <row r="9336">
      <c r="P9336" s="42"/>
      <c r="AB9336" s="38"/>
    </row>
    <row r="9337">
      <c r="P9337" s="42"/>
      <c r="AB9337" s="38"/>
    </row>
    <row r="9338">
      <c r="P9338" s="42"/>
      <c r="AB9338" s="38"/>
    </row>
    <row r="9339">
      <c r="P9339" s="42"/>
      <c r="AB9339" s="38"/>
    </row>
    <row r="9340">
      <c r="P9340" s="42"/>
      <c r="AB9340" s="38"/>
    </row>
    <row r="9341">
      <c r="P9341" s="42"/>
      <c r="AB9341" s="38"/>
    </row>
    <row r="9342">
      <c r="P9342" s="42"/>
      <c r="AB9342" s="38"/>
    </row>
    <row r="9343">
      <c r="P9343" s="42"/>
      <c r="AB9343" s="38"/>
    </row>
    <row r="9344">
      <c r="P9344" s="42"/>
      <c r="AB9344" s="38"/>
    </row>
    <row r="9345">
      <c r="P9345" s="42"/>
      <c r="AB9345" s="38"/>
    </row>
    <row r="9346">
      <c r="P9346" s="42"/>
      <c r="AB9346" s="38"/>
    </row>
    <row r="9347">
      <c r="P9347" s="42"/>
      <c r="AB9347" s="38"/>
    </row>
    <row r="9348">
      <c r="P9348" s="42"/>
      <c r="AB9348" s="38"/>
    </row>
    <row r="9349">
      <c r="P9349" s="42"/>
      <c r="AB9349" s="38"/>
    </row>
    <row r="9350">
      <c r="P9350" s="42"/>
      <c r="AB9350" s="38"/>
    </row>
    <row r="9351">
      <c r="P9351" s="42"/>
      <c r="AB9351" s="38"/>
    </row>
    <row r="9352">
      <c r="P9352" s="42"/>
      <c r="AB9352" s="38"/>
    </row>
    <row r="9353">
      <c r="P9353" s="42"/>
      <c r="AB9353" s="38"/>
    </row>
    <row r="9354">
      <c r="P9354" s="42"/>
      <c r="AB9354" s="38"/>
    </row>
    <row r="9355">
      <c r="P9355" s="42"/>
      <c r="AB9355" s="38"/>
    </row>
    <row r="9356">
      <c r="P9356" s="42"/>
      <c r="AB9356" s="38"/>
    </row>
    <row r="9357">
      <c r="P9357" s="42"/>
      <c r="AB9357" s="38"/>
    </row>
    <row r="9358">
      <c r="P9358" s="42"/>
      <c r="AB9358" s="38"/>
    </row>
    <row r="9359">
      <c r="P9359" s="42"/>
      <c r="AB9359" s="38"/>
    </row>
    <row r="9360">
      <c r="P9360" s="42"/>
      <c r="AB9360" s="38"/>
    </row>
    <row r="9361">
      <c r="P9361" s="42"/>
      <c r="AB9361" s="38"/>
    </row>
    <row r="9362">
      <c r="P9362" s="42"/>
      <c r="AB9362" s="38"/>
    </row>
    <row r="9363">
      <c r="P9363" s="42"/>
      <c r="AB9363" s="38"/>
    </row>
    <row r="9364">
      <c r="P9364" s="42"/>
      <c r="AB9364" s="38"/>
    </row>
    <row r="9365">
      <c r="P9365" s="42"/>
      <c r="AB9365" s="38"/>
    </row>
    <row r="9366">
      <c r="P9366" s="42"/>
      <c r="AB9366" s="38"/>
    </row>
    <row r="9367">
      <c r="P9367" s="42"/>
      <c r="AB9367" s="38"/>
    </row>
    <row r="9368">
      <c r="P9368" s="42"/>
      <c r="AB9368" s="38"/>
    </row>
    <row r="9369">
      <c r="P9369" s="42"/>
      <c r="AB9369" s="38"/>
    </row>
    <row r="9370">
      <c r="P9370" s="42"/>
      <c r="AB9370" s="38"/>
    </row>
    <row r="9371">
      <c r="P9371" s="42"/>
      <c r="AB9371" s="38"/>
    </row>
    <row r="9372">
      <c r="P9372" s="42"/>
      <c r="AB9372" s="38"/>
    </row>
    <row r="9373">
      <c r="P9373" s="42"/>
      <c r="AB9373" s="38"/>
    </row>
    <row r="9374">
      <c r="P9374" s="42"/>
      <c r="AB9374" s="38"/>
    </row>
    <row r="9375">
      <c r="P9375" s="42"/>
      <c r="AB9375" s="38"/>
    </row>
    <row r="9376">
      <c r="P9376" s="42"/>
      <c r="AB9376" s="38"/>
    </row>
    <row r="9377">
      <c r="P9377" s="42"/>
      <c r="AB9377" s="38"/>
    </row>
    <row r="9378">
      <c r="P9378" s="42"/>
      <c r="AB9378" s="38"/>
    </row>
    <row r="9379">
      <c r="P9379" s="42"/>
      <c r="AB9379" s="38"/>
    </row>
    <row r="9380">
      <c r="P9380" s="42"/>
      <c r="AB9380" s="38"/>
    </row>
    <row r="9381">
      <c r="P9381" s="42"/>
      <c r="AB9381" s="38"/>
    </row>
    <row r="9382">
      <c r="P9382" s="42"/>
      <c r="AB9382" s="38"/>
    </row>
    <row r="9383">
      <c r="P9383" s="42"/>
      <c r="AB9383" s="38"/>
    </row>
    <row r="9384">
      <c r="P9384" s="42"/>
      <c r="AB9384" s="38"/>
    </row>
    <row r="9385">
      <c r="P9385" s="42"/>
      <c r="AB9385" s="38"/>
    </row>
    <row r="9386">
      <c r="P9386" s="42"/>
      <c r="AB9386" s="38"/>
    </row>
    <row r="9387">
      <c r="P9387" s="42"/>
      <c r="AB9387" s="38"/>
    </row>
    <row r="9388">
      <c r="P9388" s="42"/>
      <c r="AB9388" s="38"/>
    </row>
    <row r="9389">
      <c r="P9389" s="42"/>
      <c r="AB9389" s="38"/>
    </row>
    <row r="9390">
      <c r="P9390" s="42"/>
      <c r="AB9390" s="38"/>
    </row>
    <row r="9391">
      <c r="P9391" s="42"/>
      <c r="AB9391" s="38"/>
    </row>
    <row r="9392">
      <c r="P9392" s="42"/>
      <c r="AB9392" s="38"/>
    </row>
    <row r="9393">
      <c r="P9393" s="42"/>
      <c r="AB9393" s="38"/>
    </row>
    <row r="9394">
      <c r="P9394" s="42"/>
      <c r="AB9394" s="38"/>
    </row>
    <row r="9395">
      <c r="P9395" s="42"/>
      <c r="AB9395" s="38"/>
    </row>
    <row r="9396">
      <c r="P9396" s="42"/>
      <c r="AB9396" s="38"/>
    </row>
    <row r="9397">
      <c r="P9397" s="42"/>
      <c r="AB9397" s="38"/>
    </row>
    <row r="9398">
      <c r="P9398" s="42"/>
      <c r="AB9398" s="38"/>
    </row>
    <row r="9399">
      <c r="P9399" s="42"/>
      <c r="AB9399" s="38"/>
    </row>
    <row r="9400">
      <c r="P9400" s="42"/>
      <c r="AB9400" s="38"/>
    </row>
    <row r="9401">
      <c r="P9401" s="42"/>
      <c r="AB9401" s="38"/>
    </row>
    <row r="9402">
      <c r="P9402" s="42"/>
      <c r="AB9402" s="38"/>
    </row>
    <row r="9403">
      <c r="P9403" s="42"/>
      <c r="AB9403" s="38"/>
    </row>
    <row r="9404">
      <c r="P9404" s="42"/>
      <c r="AB9404" s="38"/>
    </row>
    <row r="9405">
      <c r="P9405" s="42"/>
      <c r="AB9405" s="38"/>
    </row>
    <row r="9406">
      <c r="P9406" s="42"/>
      <c r="AB9406" s="38"/>
    </row>
    <row r="9407">
      <c r="P9407" s="42"/>
      <c r="AB9407" s="38"/>
    </row>
    <row r="9408">
      <c r="P9408" s="42"/>
      <c r="AB9408" s="38"/>
    </row>
    <row r="9409">
      <c r="P9409" s="42"/>
      <c r="AB9409" s="38"/>
    </row>
    <row r="9410">
      <c r="P9410" s="42"/>
      <c r="AB9410" s="38"/>
    </row>
    <row r="9411">
      <c r="P9411" s="42"/>
      <c r="AB9411" s="38"/>
    </row>
    <row r="9412">
      <c r="P9412" s="42"/>
      <c r="AB9412" s="38"/>
    </row>
    <row r="9413">
      <c r="P9413" s="42"/>
      <c r="AB9413" s="38"/>
    </row>
    <row r="9414">
      <c r="P9414" s="42"/>
      <c r="AB9414" s="38"/>
    </row>
    <row r="9415">
      <c r="P9415" s="42"/>
      <c r="AB9415" s="38"/>
    </row>
    <row r="9416">
      <c r="P9416" s="42"/>
      <c r="AB9416" s="38"/>
    </row>
    <row r="9417">
      <c r="P9417" s="42"/>
      <c r="AB9417" s="38"/>
    </row>
    <row r="9418">
      <c r="P9418" s="42"/>
      <c r="AB9418" s="38"/>
    </row>
    <row r="9419">
      <c r="P9419" s="42"/>
      <c r="AB9419" s="38"/>
    </row>
    <row r="9420">
      <c r="P9420" s="42"/>
      <c r="AB9420" s="38"/>
    </row>
    <row r="9421">
      <c r="P9421" s="42"/>
      <c r="AB9421" s="38"/>
    </row>
    <row r="9422">
      <c r="P9422" s="42"/>
      <c r="AB9422" s="38"/>
    </row>
    <row r="9423">
      <c r="P9423" s="42"/>
      <c r="AB9423" s="38"/>
    </row>
    <row r="9424">
      <c r="P9424" s="42"/>
      <c r="AB9424" s="38"/>
    </row>
    <row r="9425">
      <c r="P9425" s="42"/>
      <c r="AB9425" s="38"/>
    </row>
    <row r="9426">
      <c r="P9426" s="42"/>
      <c r="AB9426" s="38"/>
    </row>
    <row r="9427">
      <c r="P9427" s="42"/>
      <c r="AB9427" s="38"/>
    </row>
    <row r="9428">
      <c r="P9428" s="42"/>
      <c r="AB9428" s="38"/>
    </row>
    <row r="9429">
      <c r="P9429" s="42"/>
      <c r="AB9429" s="38"/>
    </row>
    <row r="9430">
      <c r="P9430" s="42"/>
      <c r="AB9430" s="38"/>
    </row>
    <row r="9431">
      <c r="P9431" s="42"/>
      <c r="AB9431" s="38"/>
    </row>
    <row r="9432">
      <c r="P9432" s="42"/>
      <c r="AB9432" s="38"/>
    </row>
    <row r="9433">
      <c r="P9433" s="42"/>
      <c r="AB9433" s="38"/>
    </row>
    <row r="9434">
      <c r="P9434" s="42"/>
      <c r="AB9434" s="38"/>
    </row>
    <row r="9435">
      <c r="P9435" s="42"/>
      <c r="AB9435" s="38"/>
    </row>
    <row r="9436">
      <c r="P9436" s="42"/>
      <c r="AB9436" s="38"/>
    </row>
    <row r="9437">
      <c r="P9437" s="42"/>
      <c r="AB9437" s="38"/>
    </row>
    <row r="9438">
      <c r="P9438" s="42"/>
      <c r="AB9438" s="38"/>
    </row>
    <row r="9439">
      <c r="P9439" s="42"/>
      <c r="AB9439" s="38"/>
    </row>
    <row r="9440">
      <c r="P9440" s="42"/>
      <c r="AB9440" s="38"/>
    </row>
    <row r="9441">
      <c r="P9441" s="42"/>
      <c r="AB9441" s="38"/>
    </row>
    <row r="9442">
      <c r="P9442" s="42"/>
      <c r="AB9442" s="38"/>
    </row>
    <row r="9443">
      <c r="P9443" s="42"/>
      <c r="AB9443" s="38"/>
    </row>
    <row r="9444">
      <c r="P9444" s="42"/>
      <c r="AB9444" s="38"/>
    </row>
    <row r="9445">
      <c r="P9445" s="42"/>
      <c r="AB9445" s="38"/>
    </row>
    <row r="9446">
      <c r="P9446" s="42"/>
      <c r="AB9446" s="38"/>
    </row>
    <row r="9447">
      <c r="P9447" s="42"/>
      <c r="AB9447" s="38"/>
    </row>
    <row r="9448">
      <c r="P9448" s="42"/>
      <c r="AB9448" s="38"/>
    </row>
    <row r="9449">
      <c r="P9449" s="42"/>
      <c r="AB9449" s="38"/>
    </row>
    <row r="9450">
      <c r="P9450" s="42"/>
      <c r="AB9450" s="38"/>
    </row>
    <row r="9451">
      <c r="P9451" s="42"/>
      <c r="AB9451" s="38"/>
    </row>
    <row r="9452">
      <c r="P9452" s="42"/>
      <c r="AB9452" s="38"/>
    </row>
    <row r="9453">
      <c r="P9453" s="42"/>
      <c r="AB9453" s="38"/>
    </row>
    <row r="9454">
      <c r="P9454" s="42"/>
      <c r="AB9454" s="38"/>
    </row>
    <row r="9455">
      <c r="P9455" s="42"/>
      <c r="AB9455" s="38"/>
    </row>
    <row r="9456">
      <c r="P9456" s="42"/>
      <c r="AB9456" s="38"/>
    </row>
    <row r="9457">
      <c r="P9457" s="42"/>
      <c r="AB9457" s="38"/>
    </row>
    <row r="9458">
      <c r="P9458" s="42"/>
      <c r="AB9458" s="38"/>
    </row>
    <row r="9459">
      <c r="P9459" s="42"/>
      <c r="AB9459" s="38"/>
    </row>
    <row r="9460">
      <c r="P9460" s="42"/>
      <c r="AB9460" s="38"/>
    </row>
    <row r="9461">
      <c r="P9461" s="42"/>
      <c r="AB9461" s="38"/>
    </row>
    <row r="9462">
      <c r="P9462" s="42"/>
      <c r="AB9462" s="38"/>
    </row>
    <row r="9463">
      <c r="P9463" s="42"/>
      <c r="AB9463" s="38"/>
    </row>
    <row r="9464">
      <c r="P9464" s="42"/>
      <c r="AB9464" s="38"/>
    </row>
    <row r="9465">
      <c r="P9465" s="42"/>
      <c r="AB9465" s="38"/>
    </row>
    <row r="9466">
      <c r="P9466" s="42"/>
      <c r="AB9466" s="38"/>
    </row>
    <row r="9467">
      <c r="P9467" s="42"/>
      <c r="AB9467" s="38"/>
    </row>
    <row r="9468">
      <c r="P9468" s="42"/>
      <c r="AB9468" s="38"/>
    </row>
    <row r="9469">
      <c r="P9469" s="42"/>
      <c r="AB9469" s="38"/>
    </row>
    <row r="9470">
      <c r="P9470" s="42"/>
      <c r="AB9470" s="38"/>
    </row>
    <row r="9471">
      <c r="P9471" s="42"/>
      <c r="AB9471" s="38"/>
    </row>
    <row r="9472">
      <c r="P9472" s="42"/>
      <c r="AB9472" s="38"/>
    </row>
    <row r="9473">
      <c r="P9473" s="42"/>
      <c r="AB9473" s="38"/>
    </row>
    <row r="9474">
      <c r="P9474" s="42"/>
      <c r="AB9474" s="38"/>
    </row>
    <row r="9475">
      <c r="P9475" s="42"/>
      <c r="AB9475" s="38"/>
    </row>
    <row r="9476">
      <c r="P9476" s="42"/>
      <c r="AB9476" s="38"/>
    </row>
    <row r="9477">
      <c r="P9477" s="42"/>
      <c r="AB9477" s="38"/>
    </row>
    <row r="9478">
      <c r="P9478" s="42"/>
      <c r="AB9478" s="38"/>
    </row>
    <row r="9479">
      <c r="P9479" s="42"/>
      <c r="AB9479" s="38"/>
    </row>
    <row r="9480">
      <c r="P9480" s="42"/>
      <c r="AB9480" s="38"/>
    </row>
    <row r="9481">
      <c r="P9481" s="42"/>
      <c r="AB9481" s="38"/>
    </row>
    <row r="9482">
      <c r="P9482" s="42"/>
      <c r="AB9482" s="38"/>
    </row>
    <row r="9483">
      <c r="P9483" s="42"/>
      <c r="AB9483" s="38"/>
    </row>
    <row r="9484">
      <c r="P9484" s="42"/>
      <c r="AB9484" s="38"/>
    </row>
    <row r="9485">
      <c r="P9485" s="42"/>
      <c r="AB9485" s="38"/>
    </row>
    <row r="9486">
      <c r="P9486" s="42"/>
      <c r="AB9486" s="38"/>
    </row>
    <row r="9487">
      <c r="P9487" s="42"/>
      <c r="AB9487" s="38"/>
    </row>
    <row r="9488">
      <c r="P9488" s="42"/>
      <c r="AB9488" s="38"/>
    </row>
    <row r="9489">
      <c r="P9489" s="42"/>
      <c r="AB9489" s="38"/>
    </row>
    <row r="9490">
      <c r="P9490" s="42"/>
      <c r="AB9490" s="38"/>
    </row>
    <row r="9491">
      <c r="P9491" s="42"/>
      <c r="AB9491" s="38"/>
    </row>
    <row r="9492">
      <c r="P9492" s="42"/>
      <c r="AB9492" s="38"/>
    </row>
    <row r="9493">
      <c r="P9493" s="42"/>
      <c r="AB9493" s="38"/>
    </row>
    <row r="9494">
      <c r="P9494" s="42"/>
      <c r="AB9494" s="38"/>
    </row>
    <row r="9495">
      <c r="P9495" s="42"/>
      <c r="AB9495" s="38"/>
    </row>
    <row r="9496">
      <c r="P9496" s="42"/>
      <c r="AB9496" s="38"/>
    </row>
    <row r="9497">
      <c r="P9497" s="42"/>
      <c r="AB9497" s="38"/>
    </row>
    <row r="9498">
      <c r="P9498" s="42"/>
      <c r="AB9498" s="38"/>
    </row>
    <row r="9499">
      <c r="P9499" s="42"/>
      <c r="AB9499" s="38"/>
    </row>
    <row r="9500">
      <c r="P9500" s="42"/>
      <c r="AB9500" s="38"/>
    </row>
    <row r="9501">
      <c r="P9501" s="42"/>
      <c r="AB9501" s="38"/>
    </row>
    <row r="9502">
      <c r="P9502" s="42"/>
      <c r="AB9502" s="38"/>
    </row>
    <row r="9503">
      <c r="P9503" s="42"/>
      <c r="AB9503" s="38"/>
    </row>
    <row r="9504">
      <c r="P9504" s="42"/>
      <c r="AB9504" s="38"/>
    </row>
    <row r="9505">
      <c r="P9505" s="42"/>
      <c r="AB9505" s="38"/>
    </row>
    <row r="9506">
      <c r="P9506" s="42"/>
      <c r="AB9506" s="38"/>
    </row>
    <row r="9507">
      <c r="P9507" s="42"/>
      <c r="AB9507" s="38"/>
    </row>
    <row r="9508">
      <c r="P9508" s="42"/>
      <c r="AB9508" s="38"/>
    </row>
    <row r="9509">
      <c r="P9509" s="42"/>
      <c r="AB9509" s="38"/>
    </row>
    <row r="9510">
      <c r="P9510" s="42"/>
      <c r="AB9510" s="38"/>
    </row>
    <row r="9511">
      <c r="P9511" s="42"/>
      <c r="AB9511" s="38"/>
    </row>
    <row r="9512">
      <c r="P9512" s="42"/>
      <c r="AB9512" s="38"/>
    </row>
    <row r="9513">
      <c r="P9513" s="42"/>
      <c r="AB9513" s="38"/>
    </row>
    <row r="9514">
      <c r="P9514" s="42"/>
      <c r="AB9514" s="38"/>
    </row>
    <row r="9515">
      <c r="P9515" s="42"/>
      <c r="AB9515" s="38"/>
    </row>
    <row r="9516">
      <c r="P9516" s="42"/>
      <c r="AB9516" s="38"/>
    </row>
    <row r="9517">
      <c r="P9517" s="42"/>
      <c r="AB9517" s="38"/>
    </row>
    <row r="9518">
      <c r="P9518" s="42"/>
      <c r="AB9518" s="38"/>
    </row>
    <row r="9519">
      <c r="P9519" s="42"/>
      <c r="AB9519" s="38"/>
    </row>
    <row r="9520">
      <c r="P9520" s="42"/>
      <c r="AB9520" s="38"/>
    </row>
    <row r="9521">
      <c r="P9521" s="42"/>
      <c r="AB9521" s="38"/>
    </row>
    <row r="9522">
      <c r="P9522" s="42"/>
      <c r="AB9522" s="38"/>
    </row>
    <row r="9523">
      <c r="P9523" s="42"/>
      <c r="AB9523" s="38"/>
    </row>
    <row r="9524">
      <c r="P9524" s="42"/>
      <c r="AB9524" s="38"/>
    </row>
    <row r="9525">
      <c r="P9525" s="42"/>
      <c r="AB9525" s="38"/>
    </row>
    <row r="9526">
      <c r="P9526" s="42"/>
      <c r="AB9526" s="38"/>
    </row>
    <row r="9527">
      <c r="P9527" s="42"/>
      <c r="AB9527" s="38"/>
    </row>
    <row r="9528">
      <c r="P9528" s="42"/>
      <c r="AB9528" s="38"/>
    </row>
    <row r="9529">
      <c r="P9529" s="42"/>
      <c r="AB9529" s="38"/>
    </row>
    <row r="9530">
      <c r="P9530" s="42"/>
      <c r="AB9530" s="38"/>
    </row>
    <row r="9531">
      <c r="P9531" s="42"/>
      <c r="AB9531" s="38"/>
    </row>
    <row r="9532">
      <c r="P9532" s="42"/>
      <c r="AB9532" s="38"/>
    </row>
    <row r="9533">
      <c r="P9533" s="42"/>
      <c r="AB9533" s="38"/>
    </row>
    <row r="9534">
      <c r="P9534" s="42"/>
      <c r="AB9534" s="38"/>
    </row>
    <row r="9535">
      <c r="P9535" s="42"/>
      <c r="AB9535" s="38"/>
    </row>
    <row r="9536">
      <c r="P9536" s="42"/>
      <c r="AB9536" s="38"/>
    </row>
    <row r="9537">
      <c r="P9537" s="42"/>
      <c r="AB9537" s="38"/>
    </row>
    <row r="9538">
      <c r="P9538" s="42"/>
      <c r="AB9538" s="38"/>
    </row>
    <row r="9539">
      <c r="P9539" s="42"/>
      <c r="AB9539" s="38"/>
    </row>
    <row r="9540">
      <c r="P9540" s="42"/>
      <c r="AB9540" s="38"/>
    </row>
    <row r="9541">
      <c r="P9541" s="42"/>
      <c r="AB9541" s="38"/>
    </row>
    <row r="9542">
      <c r="P9542" s="42"/>
      <c r="AB9542" s="38"/>
    </row>
    <row r="9543">
      <c r="P9543" s="42"/>
      <c r="AB9543" s="38"/>
    </row>
    <row r="9544">
      <c r="P9544" s="42"/>
      <c r="AB9544" s="38"/>
    </row>
    <row r="9545">
      <c r="P9545" s="42"/>
      <c r="AB9545" s="38"/>
    </row>
    <row r="9546">
      <c r="P9546" s="42"/>
      <c r="AB9546" s="38"/>
    </row>
    <row r="9547">
      <c r="P9547" s="42"/>
      <c r="AB9547" s="38"/>
    </row>
    <row r="9548">
      <c r="P9548" s="42"/>
      <c r="AB9548" s="38"/>
    </row>
    <row r="9549">
      <c r="P9549" s="42"/>
      <c r="AB9549" s="38"/>
    </row>
    <row r="9550">
      <c r="P9550" s="42"/>
      <c r="AB9550" s="38"/>
    </row>
    <row r="9551">
      <c r="P9551" s="42"/>
      <c r="AB9551" s="38"/>
    </row>
    <row r="9552">
      <c r="P9552" s="42"/>
      <c r="AB9552" s="38"/>
    </row>
    <row r="9553">
      <c r="P9553" s="42"/>
      <c r="AB9553" s="38"/>
    </row>
    <row r="9554">
      <c r="P9554" s="42"/>
      <c r="AB9554" s="38"/>
    </row>
    <row r="9555">
      <c r="P9555" s="42"/>
      <c r="AB9555" s="38"/>
    </row>
    <row r="9556">
      <c r="P9556" s="42"/>
      <c r="AB9556" s="38"/>
    </row>
    <row r="9557">
      <c r="P9557" s="42"/>
      <c r="AB9557" s="38"/>
    </row>
    <row r="9558">
      <c r="P9558" s="42"/>
      <c r="AB9558" s="38"/>
    </row>
    <row r="9559">
      <c r="P9559" s="42"/>
      <c r="AB9559" s="38"/>
    </row>
    <row r="9560">
      <c r="P9560" s="42"/>
      <c r="AB9560" s="38"/>
    </row>
    <row r="9561">
      <c r="P9561" s="42"/>
      <c r="AB9561" s="38"/>
    </row>
    <row r="9562">
      <c r="P9562" s="42"/>
      <c r="AB9562" s="38"/>
    </row>
    <row r="9563">
      <c r="P9563" s="42"/>
      <c r="AB9563" s="38"/>
    </row>
    <row r="9564">
      <c r="P9564" s="42"/>
      <c r="AB9564" s="38"/>
    </row>
    <row r="9565">
      <c r="P9565" s="42"/>
      <c r="AB9565" s="38"/>
    </row>
    <row r="9566">
      <c r="P9566" s="42"/>
      <c r="AB9566" s="38"/>
    </row>
    <row r="9567">
      <c r="P9567" s="42"/>
      <c r="AB9567" s="38"/>
    </row>
    <row r="9568">
      <c r="P9568" s="42"/>
      <c r="AB9568" s="38"/>
    </row>
    <row r="9569">
      <c r="P9569" s="42"/>
      <c r="AB9569" s="38"/>
    </row>
    <row r="9570">
      <c r="P9570" s="42"/>
      <c r="AB9570" s="38"/>
    </row>
    <row r="9571">
      <c r="P9571" s="42"/>
      <c r="AB9571" s="38"/>
    </row>
    <row r="9572">
      <c r="P9572" s="42"/>
      <c r="AB9572" s="38"/>
    </row>
    <row r="9573">
      <c r="P9573" s="42"/>
      <c r="AB9573" s="38"/>
    </row>
    <row r="9574">
      <c r="P9574" s="42"/>
      <c r="AB9574" s="38"/>
    </row>
    <row r="9575">
      <c r="P9575" s="42"/>
      <c r="AB9575" s="38"/>
    </row>
    <row r="9576">
      <c r="P9576" s="42"/>
      <c r="AB9576" s="38"/>
    </row>
    <row r="9577">
      <c r="P9577" s="42"/>
      <c r="AB9577" s="38"/>
    </row>
    <row r="9578">
      <c r="P9578" s="42"/>
      <c r="AB9578" s="38"/>
    </row>
    <row r="9579">
      <c r="P9579" s="42"/>
      <c r="AB9579" s="38"/>
    </row>
    <row r="9580">
      <c r="P9580" s="42"/>
      <c r="AB9580" s="38"/>
    </row>
    <row r="9581">
      <c r="P9581" s="42"/>
      <c r="AB9581" s="38"/>
    </row>
    <row r="9582">
      <c r="P9582" s="42"/>
      <c r="AB9582" s="38"/>
    </row>
    <row r="9583">
      <c r="P9583" s="42"/>
      <c r="AB9583" s="38"/>
    </row>
    <row r="9584">
      <c r="P9584" s="42"/>
      <c r="AB9584" s="38"/>
    </row>
    <row r="9585">
      <c r="P9585" s="42"/>
      <c r="AB9585" s="38"/>
    </row>
    <row r="9586">
      <c r="P9586" s="42"/>
      <c r="AB9586" s="38"/>
    </row>
    <row r="9587">
      <c r="P9587" s="42"/>
      <c r="AB9587" s="38"/>
    </row>
    <row r="9588">
      <c r="P9588" s="42"/>
      <c r="AB9588" s="38"/>
    </row>
    <row r="9589">
      <c r="P9589" s="42"/>
      <c r="AB9589" s="38"/>
    </row>
    <row r="9590">
      <c r="P9590" s="42"/>
      <c r="AB9590" s="38"/>
    </row>
    <row r="9591">
      <c r="P9591" s="42"/>
      <c r="AB9591" s="38"/>
    </row>
    <row r="9592">
      <c r="P9592" s="42"/>
      <c r="AB9592" s="38"/>
    </row>
    <row r="9593">
      <c r="P9593" s="42"/>
      <c r="AB9593" s="38"/>
    </row>
    <row r="9594">
      <c r="P9594" s="42"/>
      <c r="AB9594" s="38"/>
    </row>
    <row r="9595">
      <c r="P9595" s="42"/>
      <c r="AB9595" s="38"/>
    </row>
    <row r="9596">
      <c r="P9596" s="42"/>
      <c r="AB9596" s="38"/>
    </row>
    <row r="9597">
      <c r="P9597" s="42"/>
      <c r="AB9597" s="38"/>
    </row>
    <row r="9598">
      <c r="P9598" s="42"/>
      <c r="AB9598" s="38"/>
    </row>
    <row r="9599">
      <c r="P9599" s="42"/>
      <c r="AB9599" s="38"/>
    </row>
    <row r="9600">
      <c r="P9600" s="42"/>
      <c r="AB9600" s="38"/>
    </row>
    <row r="9601">
      <c r="P9601" s="42"/>
      <c r="AB9601" s="38"/>
    </row>
    <row r="9602">
      <c r="P9602" s="42"/>
      <c r="AB9602" s="38"/>
    </row>
    <row r="9603">
      <c r="P9603" s="42"/>
      <c r="AB9603" s="38"/>
    </row>
    <row r="9604">
      <c r="P9604" s="42"/>
      <c r="AB9604" s="38"/>
    </row>
    <row r="9605">
      <c r="P9605" s="42"/>
      <c r="AB9605" s="38"/>
    </row>
    <row r="9606">
      <c r="P9606" s="42"/>
      <c r="AB9606" s="38"/>
    </row>
    <row r="9607">
      <c r="P9607" s="42"/>
      <c r="AB9607" s="38"/>
    </row>
    <row r="9608">
      <c r="P9608" s="42"/>
      <c r="AB9608" s="38"/>
    </row>
    <row r="9609">
      <c r="P9609" s="42"/>
      <c r="AB9609" s="38"/>
    </row>
    <row r="9610">
      <c r="P9610" s="42"/>
      <c r="AB9610" s="38"/>
    </row>
    <row r="9611">
      <c r="P9611" s="42"/>
      <c r="AB9611" s="38"/>
    </row>
    <row r="9612">
      <c r="P9612" s="42"/>
      <c r="AB9612" s="38"/>
    </row>
    <row r="9613">
      <c r="P9613" s="42"/>
      <c r="AB9613" s="38"/>
    </row>
    <row r="9614">
      <c r="P9614" s="42"/>
      <c r="AB9614" s="38"/>
    </row>
    <row r="9615">
      <c r="P9615" s="42"/>
      <c r="AB9615" s="38"/>
    </row>
    <row r="9616">
      <c r="P9616" s="42"/>
      <c r="AB9616" s="38"/>
    </row>
    <row r="9617">
      <c r="P9617" s="42"/>
      <c r="AB9617" s="38"/>
    </row>
    <row r="9618">
      <c r="P9618" s="42"/>
      <c r="AB9618" s="38"/>
    </row>
    <row r="9619">
      <c r="P9619" s="42"/>
      <c r="AB9619" s="38"/>
    </row>
    <row r="9620">
      <c r="P9620" s="42"/>
      <c r="AB9620" s="38"/>
    </row>
    <row r="9621">
      <c r="P9621" s="42"/>
      <c r="AB9621" s="38"/>
    </row>
    <row r="9622">
      <c r="P9622" s="42"/>
      <c r="AB9622" s="38"/>
    </row>
    <row r="9623">
      <c r="P9623" s="42"/>
      <c r="AB9623" s="38"/>
    </row>
    <row r="9624">
      <c r="P9624" s="42"/>
      <c r="AB9624" s="38"/>
    </row>
    <row r="9625">
      <c r="P9625" s="42"/>
      <c r="AB9625" s="38"/>
    </row>
    <row r="9626">
      <c r="P9626" s="42"/>
      <c r="AB9626" s="38"/>
    </row>
    <row r="9627">
      <c r="P9627" s="42"/>
      <c r="AB9627" s="38"/>
    </row>
    <row r="9628">
      <c r="P9628" s="42"/>
      <c r="AB9628" s="38"/>
    </row>
    <row r="9629">
      <c r="P9629" s="42"/>
      <c r="AB9629" s="38"/>
    </row>
    <row r="9630">
      <c r="P9630" s="42"/>
      <c r="AB9630" s="38"/>
    </row>
    <row r="9631">
      <c r="P9631" s="42"/>
      <c r="AB9631" s="38"/>
    </row>
    <row r="9632">
      <c r="P9632" s="42"/>
      <c r="AB9632" s="38"/>
    </row>
    <row r="9633">
      <c r="P9633" s="42"/>
      <c r="AB9633" s="38"/>
    </row>
    <row r="9634">
      <c r="P9634" s="42"/>
      <c r="AB9634" s="38"/>
    </row>
    <row r="9635">
      <c r="P9635" s="42"/>
      <c r="AB9635" s="38"/>
    </row>
    <row r="9636">
      <c r="P9636" s="42"/>
      <c r="AB9636" s="38"/>
    </row>
    <row r="9637">
      <c r="P9637" s="42"/>
      <c r="AB9637" s="38"/>
    </row>
    <row r="9638">
      <c r="P9638" s="42"/>
      <c r="AB9638" s="38"/>
    </row>
    <row r="9639">
      <c r="P9639" s="42"/>
      <c r="AB9639" s="38"/>
    </row>
    <row r="9640">
      <c r="P9640" s="42"/>
      <c r="AB9640" s="38"/>
    </row>
    <row r="9641">
      <c r="P9641" s="42"/>
      <c r="AB9641" s="38"/>
    </row>
    <row r="9642">
      <c r="P9642" s="42"/>
      <c r="AB9642" s="38"/>
    </row>
    <row r="9643">
      <c r="P9643" s="42"/>
      <c r="AB9643" s="38"/>
    </row>
    <row r="9644">
      <c r="P9644" s="42"/>
      <c r="AB9644" s="38"/>
    </row>
    <row r="9645">
      <c r="P9645" s="42"/>
      <c r="AB9645" s="38"/>
    </row>
    <row r="9646">
      <c r="P9646" s="42"/>
      <c r="AB9646" s="38"/>
    </row>
    <row r="9647">
      <c r="P9647" s="42"/>
      <c r="AB9647" s="38"/>
    </row>
    <row r="9648">
      <c r="P9648" s="42"/>
      <c r="AB9648" s="38"/>
    </row>
    <row r="9649">
      <c r="P9649" s="42"/>
      <c r="AB9649" s="38"/>
    </row>
    <row r="9650">
      <c r="P9650" s="42"/>
      <c r="AB9650" s="38"/>
    </row>
    <row r="9651">
      <c r="P9651" s="42"/>
      <c r="AB9651" s="38"/>
    </row>
    <row r="9652">
      <c r="P9652" s="42"/>
      <c r="AB9652" s="38"/>
    </row>
    <row r="9653">
      <c r="P9653" s="42"/>
      <c r="AB9653" s="38"/>
    </row>
    <row r="9654">
      <c r="P9654" s="42"/>
      <c r="AB9654" s="38"/>
    </row>
    <row r="9655">
      <c r="P9655" s="42"/>
      <c r="AB9655" s="38"/>
    </row>
    <row r="9656">
      <c r="P9656" s="42"/>
      <c r="AB9656" s="38"/>
    </row>
    <row r="9657">
      <c r="P9657" s="42"/>
      <c r="AB9657" s="38"/>
    </row>
    <row r="9658">
      <c r="P9658" s="42"/>
      <c r="AB9658" s="38"/>
    </row>
    <row r="9659">
      <c r="P9659" s="42"/>
      <c r="AB9659" s="38"/>
    </row>
    <row r="9660">
      <c r="P9660" s="42"/>
      <c r="AB9660" s="38"/>
    </row>
    <row r="9661">
      <c r="P9661" s="42"/>
      <c r="AB9661" s="38"/>
    </row>
    <row r="9662">
      <c r="P9662" s="42"/>
      <c r="AB9662" s="38"/>
    </row>
    <row r="9663">
      <c r="P9663" s="42"/>
      <c r="AB9663" s="38"/>
    </row>
    <row r="9664">
      <c r="P9664" s="42"/>
      <c r="AB9664" s="38"/>
    </row>
    <row r="9665">
      <c r="P9665" s="42"/>
      <c r="AB9665" s="38"/>
    </row>
    <row r="9666">
      <c r="P9666" s="42"/>
      <c r="AB9666" s="38"/>
    </row>
    <row r="9667">
      <c r="P9667" s="42"/>
      <c r="AB9667" s="38"/>
    </row>
    <row r="9668">
      <c r="P9668" s="42"/>
      <c r="AB9668" s="38"/>
    </row>
    <row r="9669">
      <c r="P9669" s="42"/>
      <c r="AB9669" s="38"/>
    </row>
    <row r="9670">
      <c r="P9670" s="42"/>
      <c r="AB9670" s="38"/>
    </row>
    <row r="9671">
      <c r="P9671" s="42"/>
      <c r="AB9671" s="38"/>
    </row>
    <row r="9672">
      <c r="P9672" s="42"/>
      <c r="AB9672" s="38"/>
    </row>
    <row r="9673">
      <c r="P9673" s="42"/>
      <c r="AB9673" s="38"/>
    </row>
    <row r="9674">
      <c r="P9674" s="42"/>
      <c r="AB9674" s="38"/>
    </row>
    <row r="9675">
      <c r="P9675" s="42"/>
      <c r="AB9675" s="38"/>
    </row>
    <row r="9676">
      <c r="P9676" s="42"/>
      <c r="AB9676" s="38"/>
    </row>
    <row r="9677">
      <c r="P9677" s="42"/>
      <c r="AB9677" s="38"/>
    </row>
    <row r="9678">
      <c r="P9678" s="42"/>
      <c r="AB9678" s="38"/>
    </row>
    <row r="9679">
      <c r="P9679" s="42"/>
      <c r="AB9679" s="38"/>
    </row>
    <row r="9680">
      <c r="P9680" s="42"/>
      <c r="AB9680" s="38"/>
    </row>
    <row r="9681">
      <c r="P9681" s="42"/>
      <c r="AB9681" s="38"/>
    </row>
    <row r="9682">
      <c r="P9682" s="42"/>
      <c r="AB9682" s="38"/>
    </row>
    <row r="9683">
      <c r="P9683" s="42"/>
      <c r="AB9683" s="38"/>
    </row>
    <row r="9684">
      <c r="P9684" s="42"/>
      <c r="AB9684" s="38"/>
    </row>
    <row r="9685">
      <c r="P9685" s="42"/>
      <c r="AB9685" s="38"/>
    </row>
    <row r="9686">
      <c r="P9686" s="42"/>
      <c r="AB9686" s="38"/>
    </row>
    <row r="9687">
      <c r="P9687" s="42"/>
      <c r="AB9687" s="38"/>
    </row>
    <row r="9688">
      <c r="P9688" s="42"/>
      <c r="AB9688" s="38"/>
    </row>
    <row r="9689">
      <c r="P9689" s="42"/>
      <c r="AB9689" s="38"/>
    </row>
    <row r="9690">
      <c r="P9690" s="42"/>
      <c r="AB9690" s="38"/>
    </row>
    <row r="9691">
      <c r="P9691" s="42"/>
      <c r="AB9691" s="38"/>
    </row>
    <row r="9692">
      <c r="P9692" s="42"/>
      <c r="AB9692" s="38"/>
    </row>
    <row r="9693">
      <c r="P9693" s="42"/>
      <c r="AB9693" s="38"/>
    </row>
    <row r="9694">
      <c r="P9694" s="42"/>
      <c r="AB9694" s="38"/>
    </row>
    <row r="9695">
      <c r="P9695" s="42"/>
      <c r="AB9695" s="38"/>
    </row>
    <row r="9696">
      <c r="P9696" s="42"/>
      <c r="AB9696" s="38"/>
    </row>
    <row r="9697">
      <c r="P9697" s="42"/>
      <c r="AB9697" s="38"/>
    </row>
    <row r="9698">
      <c r="P9698" s="42"/>
      <c r="AB9698" s="38"/>
    </row>
    <row r="9699">
      <c r="P9699" s="42"/>
      <c r="AB9699" s="38"/>
    </row>
    <row r="9700">
      <c r="P9700" s="42"/>
      <c r="AB9700" s="38"/>
    </row>
    <row r="9701">
      <c r="P9701" s="42"/>
      <c r="AB9701" s="38"/>
    </row>
    <row r="9702">
      <c r="P9702" s="42"/>
      <c r="AB9702" s="38"/>
    </row>
    <row r="9703">
      <c r="P9703" s="42"/>
      <c r="AB9703" s="38"/>
    </row>
    <row r="9704">
      <c r="P9704" s="42"/>
      <c r="AB9704" s="38"/>
    </row>
    <row r="9705">
      <c r="P9705" s="42"/>
      <c r="AB9705" s="38"/>
    </row>
    <row r="9706">
      <c r="P9706" s="42"/>
      <c r="AB9706" s="38"/>
    </row>
    <row r="9707">
      <c r="P9707" s="42"/>
      <c r="AB9707" s="38"/>
    </row>
    <row r="9708">
      <c r="P9708" s="42"/>
      <c r="AB9708" s="38"/>
    </row>
    <row r="9709">
      <c r="P9709" s="42"/>
      <c r="AB9709" s="38"/>
    </row>
    <row r="9710">
      <c r="P9710" s="42"/>
      <c r="AB9710" s="38"/>
    </row>
    <row r="9711">
      <c r="P9711" s="42"/>
      <c r="AB9711" s="38"/>
    </row>
    <row r="9712">
      <c r="P9712" s="42"/>
      <c r="AB9712" s="38"/>
    </row>
    <row r="9713">
      <c r="P9713" s="42"/>
      <c r="AB9713" s="38"/>
    </row>
    <row r="9714">
      <c r="P9714" s="42"/>
      <c r="AB9714" s="38"/>
    </row>
    <row r="9715">
      <c r="P9715" s="42"/>
      <c r="AB9715" s="38"/>
    </row>
    <row r="9716">
      <c r="P9716" s="42"/>
      <c r="AB9716" s="38"/>
    </row>
    <row r="9717">
      <c r="P9717" s="42"/>
      <c r="AB9717" s="38"/>
    </row>
    <row r="9718">
      <c r="P9718" s="42"/>
      <c r="AB9718" s="38"/>
    </row>
    <row r="9719">
      <c r="P9719" s="42"/>
      <c r="AB9719" s="38"/>
    </row>
    <row r="9720">
      <c r="P9720" s="42"/>
      <c r="AB9720" s="38"/>
    </row>
    <row r="9721">
      <c r="P9721" s="42"/>
      <c r="AB9721" s="38"/>
    </row>
    <row r="9722">
      <c r="P9722" s="42"/>
      <c r="AB9722" s="38"/>
    </row>
    <row r="9723">
      <c r="P9723" s="42"/>
      <c r="AB9723" s="38"/>
    </row>
    <row r="9724">
      <c r="P9724" s="42"/>
      <c r="AB9724" s="38"/>
    </row>
    <row r="9725">
      <c r="P9725" s="42"/>
      <c r="AB9725" s="38"/>
    </row>
    <row r="9726">
      <c r="P9726" s="42"/>
      <c r="AB9726" s="38"/>
    </row>
    <row r="9727">
      <c r="P9727" s="42"/>
      <c r="AB9727" s="38"/>
    </row>
    <row r="9728">
      <c r="P9728" s="42"/>
      <c r="AB9728" s="38"/>
    </row>
    <row r="9729">
      <c r="P9729" s="42"/>
      <c r="AB9729" s="38"/>
    </row>
    <row r="9730">
      <c r="P9730" s="42"/>
      <c r="AB9730" s="38"/>
    </row>
    <row r="9731">
      <c r="P9731" s="42"/>
      <c r="AB9731" s="38"/>
    </row>
    <row r="9732">
      <c r="P9732" s="42"/>
      <c r="AB9732" s="38"/>
    </row>
    <row r="9733">
      <c r="P9733" s="42"/>
      <c r="AB9733" s="38"/>
    </row>
    <row r="9734">
      <c r="P9734" s="42"/>
      <c r="AB9734" s="38"/>
    </row>
    <row r="9735">
      <c r="P9735" s="42"/>
      <c r="AB9735" s="38"/>
    </row>
    <row r="9736">
      <c r="P9736" s="42"/>
      <c r="AB9736" s="38"/>
    </row>
    <row r="9737">
      <c r="P9737" s="42"/>
      <c r="AB9737" s="38"/>
    </row>
    <row r="9738">
      <c r="P9738" s="42"/>
      <c r="AB9738" s="38"/>
    </row>
    <row r="9739">
      <c r="P9739" s="42"/>
      <c r="AB9739" s="38"/>
    </row>
    <row r="9740">
      <c r="P9740" s="42"/>
      <c r="AB9740" s="38"/>
    </row>
    <row r="9741">
      <c r="P9741" s="42"/>
      <c r="AB9741" s="38"/>
    </row>
    <row r="9742">
      <c r="P9742" s="42"/>
      <c r="AB9742" s="38"/>
    </row>
    <row r="9743">
      <c r="P9743" s="42"/>
      <c r="AB9743" s="38"/>
    </row>
    <row r="9744">
      <c r="P9744" s="42"/>
      <c r="AB9744" s="38"/>
    </row>
    <row r="9745">
      <c r="P9745" s="42"/>
      <c r="AB9745" s="38"/>
    </row>
    <row r="9746">
      <c r="P9746" s="42"/>
      <c r="AB9746" s="38"/>
    </row>
    <row r="9747">
      <c r="P9747" s="42"/>
      <c r="AB9747" s="38"/>
    </row>
    <row r="9748">
      <c r="P9748" s="42"/>
      <c r="AB9748" s="38"/>
    </row>
    <row r="9749">
      <c r="P9749" s="42"/>
      <c r="AB9749" s="38"/>
    </row>
    <row r="9750">
      <c r="P9750" s="42"/>
      <c r="AB9750" s="38"/>
    </row>
    <row r="9751">
      <c r="P9751" s="42"/>
      <c r="AB9751" s="38"/>
    </row>
    <row r="9752">
      <c r="P9752" s="42"/>
      <c r="AB9752" s="38"/>
    </row>
    <row r="9753">
      <c r="P9753" s="42"/>
      <c r="AB9753" s="38"/>
    </row>
    <row r="9754">
      <c r="P9754" s="42"/>
      <c r="AB9754" s="38"/>
    </row>
    <row r="9755">
      <c r="P9755" s="42"/>
      <c r="AB9755" s="38"/>
    </row>
    <row r="9756">
      <c r="P9756" s="42"/>
      <c r="AB9756" s="38"/>
    </row>
    <row r="9757">
      <c r="P9757" s="42"/>
      <c r="AB9757" s="38"/>
    </row>
    <row r="9758">
      <c r="P9758" s="42"/>
      <c r="AB9758" s="38"/>
    </row>
    <row r="9759">
      <c r="P9759" s="42"/>
      <c r="AB9759" s="38"/>
    </row>
    <row r="9760">
      <c r="P9760" s="42"/>
      <c r="AB9760" s="38"/>
    </row>
    <row r="9761">
      <c r="P9761" s="42"/>
      <c r="AB9761" s="38"/>
    </row>
    <row r="9762">
      <c r="P9762" s="42"/>
      <c r="AB9762" s="38"/>
    </row>
    <row r="9763">
      <c r="P9763" s="42"/>
      <c r="AB9763" s="38"/>
    </row>
    <row r="9764">
      <c r="P9764" s="42"/>
      <c r="AB9764" s="38"/>
    </row>
    <row r="9765">
      <c r="P9765" s="42"/>
      <c r="AB9765" s="38"/>
    </row>
    <row r="9766">
      <c r="P9766" s="42"/>
      <c r="AB9766" s="38"/>
    </row>
    <row r="9767">
      <c r="P9767" s="42"/>
      <c r="AB9767" s="38"/>
    </row>
    <row r="9768">
      <c r="P9768" s="42"/>
      <c r="AB9768" s="38"/>
    </row>
    <row r="9769">
      <c r="P9769" s="42"/>
      <c r="AB9769" s="38"/>
    </row>
    <row r="9770">
      <c r="P9770" s="42"/>
      <c r="AB9770" s="38"/>
    </row>
    <row r="9771">
      <c r="P9771" s="42"/>
      <c r="AB9771" s="38"/>
    </row>
    <row r="9772">
      <c r="P9772" s="42"/>
      <c r="AB9772" s="38"/>
    </row>
    <row r="9773">
      <c r="P9773" s="42"/>
      <c r="AB9773" s="38"/>
    </row>
    <row r="9774">
      <c r="P9774" s="42"/>
      <c r="AB9774" s="38"/>
    </row>
    <row r="9775">
      <c r="P9775" s="42"/>
      <c r="AB9775" s="38"/>
    </row>
    <row r="9776">
      <c r="P9776" s="42"/>
      <c r="AB9776" s="38"/>
    </row>
    <row r="9777">
      <c r="P9777" s="42"/>
      <c r="AB9777" s="38"/>
    </row>
    <row r="9778">
      <c r="P9778" s="42"/>
      <c r="AB9778" s="38"/>
    </row>
    <row r="9779">
      <c r="P9779" s="42"/>
      <c r="AB9779" s="38"/>
    </row>
    <row r="9780">
      <c r="P9780" s="42"/>
      <c r="AB9780" s="38"/>
    </row>
    <row r="9781">
      <c r="P9781" s="42"/>
      <c r="AB9781" s="38"/>
    </row>
    <row r="9782">
      <c r="P9782" s="42"/>
      <c r="AB9782" s="38"/>
    </row>
    <row r="9783">
      <c r="P9783" s="42"/>
      <c r="AB9783" s="38"/>
    </row>
    <row r="9784">
      <c r="P9784" s="42"/>
      <c r="AB9784" s="38"/>
    </row>
    <row r="9785">
      <c r="P9785" s="42"/>
      <c r="AB9785" s="38"/>
    </row>
    <row r="9786">
      <c r="P9786" s="42"/>
      <c r="AB9786" s="38"/>
    </row>
    <row r="9787">
      <c r="P9787" s="42"/>
      <c r="AB9787" s="38"/>
    </row>
    <row r="9788">
      <c r="P9788" s="42"/>
      <c r="AB9788" s="38"/>
    </row>
    <row r="9789">
      <c r="P9789" s="42"/>
      <c r="AB9789" s="38"/>
    </row>
    <row r="9790">
      <c r="P9790" s="42"/>
      <c r="AB9790" s="38"/>
    </row>
    <row r="9791">
      <c r="P9791" s="42"/>
      <c r="AB9791" s="38"/>
    </row>
    <row r="9792">
      <c r="P9792" s="42"/>
      <c r="AB9792" s="38"/>
    </row>
    <row r="9793">
      <c r="P9793" s="42"/>
      <c r="AB9793" s="38"/>
    </row>
    <row r="9794">
      <c r="P9794" s="42"/>
      <c r="AB9794" s="38"/>
    </row>
    <row r="9795">
      <c r="P9795" s="42"/>
      <c r="AB9795" s="38"/>
    </row>
    <row r="9796">
      <c r="P9796" s="42"/>
      <c r="AB9796" s="38"/>
    </row>
    <row r="9797">
      <c r="P9797" s="42"/>
      <c r="AB9797" s="38"/>
    </row>
    <row r="9798">
      <c r="P9798" s="42"/>
      <c r="AB9798" s="38"/>
    </row>
    <row r="9799">
      <c r="P9799" s="42"/>
      <c r="AB9799" s="38"/>
    </row>
    <row r="9800">
      <c r="P9800" s="42"/>
      <c r="AB9800" s="38"/>
    </row>
    <row r="9801">
      <c r="P9801" s="42"/>
      <c r="AB9801" s="38"/>
    </row>
    <row r="9802">
      <c r="P9802" s="42"/>
      <c r="AB9802" s="38"/>
    </row>
    <row r="9803">
      <c r="P9803" s="42"/>
      <c r="AB9803" s="38"/>
    </row>
    <row r="9804">
      <c r="P9804" s="42"/>
      <c r="AB9804" s="38"/>
    </row>
    <row r="9805">
      <c r="P9805" s="42"/>
      <c r="AB9805" s="38"/>
    </row>
    <row r="9806">
      <c r="P9806" s="42"/>
      <c r="AB9806" s="38"/>
    </row>
    <row r="9807">
      <c r="P9807" s="42"/>
      <c r="AB9807" s="38"/>
    </row>
    <row r="9808">
      <c r="P9808" s="42"/>
      <c r="AB9808" s="38"/>
    </row>
    <row r="9809">
      <c r="P9809" s="42"/>
      <c r="AB9809" s="38"/>
    </row>
    <row r="9810">
      <c r="P9810" s="42"/>
      <c r="AB9810" s="38"/>
    </row>
    <row r="9811">
      <c r="P9811" s="42"/>
      <c r="AB9811" s="38"/>
    </row>
    <row r="9812">
      <c r="P9812" s="42"/>
      <c r="AB9812" s="38"/>
    </row>
    <row r="9813">
      <c r="P9813" s="42"/>
      <c r="AB9813" s="38"/>
    </row>
    <row r="9814">
      <c r="P9814" s="42"/>
      <c r="AB9814" s="38"/>
    </row>
    <row r="9815">
      <c r="P9815" s="42"/>
      <c r="AB9815" s="38"/>
    </row>
    <row r="9816">
      <c r="P9816" s="42"/>
      <c r="AB9816" s="38"/>
    </row>
    <row r="9817">
      <c r="P9817" s="42"/>
      <c r="AB9817" s="38"/>
    </row>
    <row r="9818">
      <c r="P9818" s="42"/>
      <c r="AB9818" s="38"/>
    </row>
    <row r="9819">
      <c r="P9819" s="42"/>
      <c r="AB9819" s="38"/>
    </row>
    <row r="9820">
      <c r="P9820" s="42"/>
      <c r="AB9820" s="38"/>
    </row>
    <row r="9821">
      <c r="P9821" s="42"/>
      <c r="AB9821" s="38"/>
    </row>
    <row r="9822">
      <c r="P9822" s="42"/>
      <c r="AB9822" s="38"/>
    </row>
    <row r="9823">
      <c r="P9823" s="42"/>
      <c r="AB9823" s="38"/>
    </row>
    <row r="9824">
      <c r="P9824" s="42"/>
      <c r="AB9824" s="38"/>
    </row>
    <row r="9825">
      <c r="P9825" s="42"/>
      <c r="AB9825" s="38"/>
    </row>
    <row r="9826">
      <c r="P9826" s="42"/>
      <c r="AB9826" s="38"/>
    </row>
    <row r="9827">
      <c r="P9827" s="42"/>
      <c r="AB9827" s="38"/>
    </row>
    <row r="9828">
      <c r="P9828" s="42"/>
      <c r="AB9828" s="38"/>
    </row>
    <row r="9829">
      <c r="P9829" s="42"/>
      <c r="AB9829" s="38"/>
    </row>
    <row r="9830">
      <c r="P9830" s="42"/>
      <c r="AB9830" s="38"/>
    </row>
    <row r="9831">
      <c r="P9831" s="42"/>
      <c r="AB9831" s="38"/>
    </row>
    <row r="9832">
      <c r="P9832" s="42"/>
      <c r="AB9832" s="38"/>
    </row>
    <row r="9833">
      <c r="P9833" s="42"/>
      <c r="AB9833" s="38"/>
    </row>
    <row r="9834">
      <c r="P9834" s="42"/>
      <c r="AB9834" s="38"/>
    </row>
    <row r="9835">
      <c r="P9835" s="42"/>
      <c r="AB9835" s="38"/>
    </row>
    <row r="9836">
      <c r="P9836" s="42"/>
      <c r="AB9836" s="38"/>
    </row>
    <row r="9837">
      <c r="P9837" s="42"/>
      <c r="AB9837" s="38"/>
    </row>
    <row r="9838">
      <c r="P9838" s="42"/>
      <c r="AB9838" s="38"/>
    </row>
    <row r="9839">
      <c r="P9839" s="42"/>
      <c r="AB9839" s="38"/>
    </row>
    <row r="9840">
      <c r="P9840" s="42"/>
      <c r="AB9840" s="38"/>
    </row>
    <row r="9841">
      <c r="P9841" s="42"/>
      <c r="AB9841" s="38"/>
    </row>
    <row r="9842">
      <c r="P9842" s="42"/>
      <c r="AB9842" s="38"/>
    </row>
    <row r="9843">
      <c r="P9843" s="42"/>
      <c r="AB9843" s="38"/>
    </row>
    <row r="9844">
      <c r="P9844" s="42"/>
      <c r="AB9844" s="38"/>
    </row>
    <row r="9845">
      <c r="P9845" s="42"/>
      <c r="AB9845" s="38"/>
    </row>
    <row r="9846">
      <c r="P9846" s="42"/>
      <c r="AB9846" s="38"/>
    </row>
    <row r="9847">
      <c r="P9847" s="42"/>
      <c r="AB9847" s="38"/>
    </row>
    <row r="9848">
      <c r="P9848" s="42"/>
      <c r="AB9848" s="38"/>
    </row>
    <row r="9849">
      <c r="P9849" s="42"/>
      <c r="AB9849" s="38"/>
    </row>
    <row r="9850">
      <c r="P9850" s="42"/>
      <c r="AB9850" s="38"/>
    </row>
    <row r="9851">
      <c r="P9851" s="42"/>
      <c r="AB9851" s="38"/>
    </row>
    <row r="9852">
      <c r="P9852" s="42"/>
      <c r="AB9852" s="38"/>
    </row>
    <row r="9853">
      <c r="P9853" s="42"/>
      <c r="AB9853" s="38"/>
    </row>
    <row r="9854">
      <c r="P9854" s="42"/>
      <c r="AB9854" s="38"/>
    </row>
    <row r="9855">
      <c r="P9855" s="42"/>
      <c r="AB9855" s="38"/>
    </row>
    <row r="9856">
      <c r="P9856" s="42"/>
      <c r="AB9856" s="38"/>
    </row>
    <row r="9857">
      <c r="P9857" s="42"/>
      <c r="AB9857" s="38"/>
    </row>
    <row r="9858">
      <c r="P9858" s="42"/>
      <c r="AB9858" s="38"/>
    </row>
    <row r="9859">
      <c r="P9859" s="42"/>
      <c r="AB9859" s="38"/>
    </row>
    <row r="9860">
      <c r="P9860" s="42"/>
      <c r="AB9860" s="38"/>
    </row>
    <row r="9861">
      <c r="P9861" s="42"/>
      <c r="AB9861" s="38"/>
    </row>
    <row r="9862">
      <c r="P9862" s="42"/>
      <c r="AB9862" s="38"/>
    </row>
    <row r="9863">
      <c r="P9863" s="42"/>
      <c r="AB9863" s="38"/>
    </row>
    <row r="9864">
      <c r="P9864" s="42"/>
      <c r="AB9864" s="38"/>
    </row>
    <row r="9865">
      <c r="P9865" s="42"/>
      <c r="AB9865" s="38"/>
    </row>
    <row r="9866">
      <c r="P9866" s="42"/>
      <c r="AB9866" s="38"/>
    </row>
    <row r="9867">
      <c r="P9867" s="42"/>
      <c r="AB9867" s="38"/>
    </row>
    <row r="9868">
      <c r="P9868" s="42"/>
      <c r="AB9868" s="38"/>
    </row>
    <row r="9869">
      <c r="P9869" s="42"/>
      <c r="AB9869" s="38"/>
    </row>
    <row r="9870">
      <c r="P9870" s="42"/>
      <c r="AB9870" s="38"/>
    </row>
    <row r="9871">
      <c r="P9871" s="42"/>
      <c r="AB9871" s="38"/>
    </row>
    <row r="9872">
      <c r="P9872" s="42"/>
      <c r="AB9872" s="38"/>
    </row>
    <row r="9873">
      <c r="P9873" s="42"/>
      <c r="AB9873" s="38"/>
    </row>
    <row r="9874">
      <c r="P9874" s="42"/>
      <c r="AB9874" s="38"/>
    </row>
    <row r="9875">
      <c r="P9875" s="42"/>
      <c r="AB9875" s="38"/>
    </row>
    <row r="9876">
      <c r="P9876" s="42"/>
      <c r="AB9876" s="38"/>
    </row>
    <row r="9877">
      <c r="P9877" s="42"/>
      <c r="AB9877" s="38"/>
    </row>
    <row r="9878">
      <c r="P9878" s="42"/>
      <c r="AB9878" s="38"/>
    </row>
    <row r="9879">
      <c r="P9879" s="42"/>
      <c r="AB9879" s="38"/>
    </row>
    <row r="9880">
      <c r="P9880" s="42"/>
      <c r="AB9880" s="38"/>
    </row>
    <row r="9881">
      <c r="P9881" s="42"/>
      <c r="AB9881" s="38"/>
    </row>
    <row r="9882">
      <c r="P9882" s="42"/>
      <c r="AB9882" s="38"/>
    </row>
    <row r="9883">
      <c r="P9883" s="42"/>
      <c r="AB9883" s="38"/>
    </row>
    <row r="9884">
      <c r="P9884" s="42"/>
      <c r="AB9884" s="38"/>
    </row>
    <row r="9885">
      <c r="P9885" s="42"/>
      <c r="AB9885" s="38"/>
    </row>
    <row r="9886">
      <c r="P9886" s="42"/>
      <c r="AB9886" s="38"/>
    </row>
    <row r="9887">
      <c r="P9887" s="42"/>
      <c r="AB9887" s="38"/>
    </row>
    <row r="9888">
      <c r="P9888" s="42"/>
      <c r="AB9888" s="38"/>
    </row>
    <row r="9889">
      <c r="P9889" s="42"/>
      <c r="AB9889" s="38"/>
    </row>
    <row r="9890">
      <c r="P9890" s="42"/>
      <c r="AB9890" s="38"/>
    </row>
    <row r="9891">
      <c r="P9891" s="42"/>
      <c r="AB9891" s="38"/>
    </row>
    <row r="9892">
      <c r="P9892" s="42"/>
      <c r="AB9892" s="38"/>
    </row>
    <row r="9893">
      <c r="P9893" s="42"/>
      <c r="AB9893" s="38"/>
    </row>
    <row r="9894">
      <c r="P9894" s="42"/>
      <c r="AB9894" s="38"/>
    </row>
    <row r="9895">
      <c r="P9895" s="42"/>
      <c r="AB9895" s="38"/>
    </row>
    <row r="9896">
      <c r="P9896" s="42"/>
      <c r="AB9896" s="38"/>
    </row>
    <row r="9897">
      <c r="P9897" s="42"/>
      <c r="AB9897" s="38"/>
    </row>
    <row r="9898">
      <c r="P9898" s="42"/>
      <c r="AB9898" s="38"/>
    </row>
    <row r="9899">
      <c r="P9899" s="42"/>
      <c r="AB9899" s="38"/>
    </row>
    <row r="9900">
      <c r="P9900" s="42"/>
      <c r="AB9900" s="38"/>
    </row>
    <row r="9901">
      <c r="P9901" s="42"/>
      <c r="AB9901" s="38"/>
    </row>
    <row r="9902">
      <c r="P9902" s="42"/>
      <c r="AB9902" s="38"/>
    </row>
    <row r="9903">
      <c r="P9903" s="42"/>
      <c r="AB9903" s="38"/>
    </row>
    <row r="9904">
      <c r="P9904" s="42"/>
      <c r="AB9904" s="38"/>
    </row>
    <row r="9905">
      <c r="P9905" s="42"/>
      <c r="AB9905" s="38"/>
    </row>
    <row r="9906">
      <c r="P9906" s="42"/>
      <c r="AB9906" s="38"/>
    </row>
    <row r="9907">
      <c r="P9907" s="42"/>
      <c r="AB9907" s="38"/>
    </row>
    <row r="9908">
      <c r="P9908" s="42"/>
      <c r="AB9908" s="38"/>
    </row>
    <row r="9909">
      <c r="P9909" s="42"/>
      <c r="AB9909" s="38"/>
    </row>
    <row r="9910">
      <c r="P9910" s="42"/>
      <c r="AB9910" s="38"/>
    </row>
    <row r="9911">
      <c r="P9911" s="42"/>
      <c r="AB9911" s="38"/>
    </row>
    <row r="9912">
      <c r="P9912" s="42"/>
      <c r="AB9912" s="38"/>
    </row>
    <row r="9913">
      <c r="P9913" s="42"/>
      <c r="AB9913" s="38"/>
    </row>
    <row r="9914">
      <c r="P9914" s="42"/>
      <c r="AB9914" s="38"/>
    </row>
    <row r="9915">
      <c r="P9915" s="42"/>
      <c r="AB9915" s="38"/>
    </row>
    <row r="9916">
      <c r="P9916" s="42"/>
      <c r="AB9916" s="38"/>
    </row>
    <row r="9917">
      <c r="P9917" s="42"/>
      <c r="AB9917" s="38"/>
    </row>
    <row r="9918">
      <c r="P9918" s="42"/>
      <c r="AB9918" s="38"/>
    </row>
    <row r="9919">
      <c r="P9919" s="42"/>
      <c r="AB9919" s="38"/>
    </row>
    <row r="9920">
      <c r="P9920" s="42"/>
      <c r="AB9920" s="38"/>
    </row>
    <row r="9921">
      <c r="P9921" s="42"/>
      <c r="AB9921" s="38"/>
    </row>
    <row r="9922">
      <c r="P9922" s="42"/>
      <c r="AB9922" s="38"/>
    </row>
    <row r="9923">
      <c r="P9923" s="42"/>
      <c r="AB9923" s="38"/>
    </row>
    <row r="9924">
      <c r="P9924" s="42"/>
      <c r="AB9924" s="38"/>
    </row>
    <row r="9925">
      <c r="P9925" s="42"/>
      <c r="AB9925" s="38"/>
    </row>
    <row r="9926">
      <c r="P9926" s="42"/>
      <c r="AB9926" s="38"/>
    </row>
    <row r="9927">
      <c r="P9927" s="42"/>
      <c r="AB9927" s="38"/>
    </row>
    <row r="9928">
      <c r="P9928" s="42"/>
      <c r="AB9928" s="38"/>
    </row>
    <row r="9929">
      <c r="P9929" s="42"/>
      <c r="AB9929" s="38"/>
    </row>
    <row r="9930">
      <c r="P9930" s="42"/>
      <c r="AB9930" s="38"/>
    </row>
    <row r="9931">
      <c r="P9931" s="42"/>
      <c r="AB9931" s="38"/>
    </row>
    <row r="9932">
      <c r="P9932" s="42"/>
      <c r="AB9932" s="38"/>
    </row>
    <row r="9933">
      <c r="P9933" s="42"/>
      <c r="AB9933" s="38"/>
    </row>
    <row r="9934">
      <c r="P9934" s="42"/>
      <c r="AB9934" s="38"/>
    </row>
    <row r="9935">
      <c r="P9935" s="42"/>
      <c r="AB9935" s="38"/>
    </row>
    <row r="9936">
      <c r="P9936" s="42"/>
      <c r="AB9936" s="38"/>
    </row>
    <row r="9937">
      <c r="P9937" s="42"/>
      <c r="AB9937" s="38"/>
    </row>
    <row r="9938">
      <c r="P9938" s="42"/>
      <c r="AB9938" s="38"/>
    </row>
    <row r="9939">
      <c r="P9939" s="42"/>
      <c r="AB9939" s="38"/>
    </row>
    <row r="9940">
      <c r="P9940" s="42"/>
      <c r="AB9940" s="38"/>
    </row>
    <row r="9941">
      <c r="P9941" s="42"/>
      <c r="AB9941" s="38"/>
    </row>
    <row r="9942">
      <c r="P9942" s="42"/>
      <c r="AB9942" s="38"/>
    </row>
    <row r="9943">
      <c r="P9943" s="42"/>
      <c r="AB9943" s="38"/>
    </row>
    <row r="9944">
      <c r="P9944" s="42"/>
      <c r="AB9944" s="38"/>
    </row>
    <row r="9945">
      <c r="P9945" s="42"/>
      <c r="AB9945" s="38"/>
    </row>
    <row r="9946">
      <c r="P9946" s="42"/>
      <c r="AB9946" s="38"/>
    </row>
    <row r="9947">
      <c r="P9947" s="42"/>
      <c r="AB9947" s="38"/>
    </row>
    <row r="9948">
      <c r="P9948" s="42"/>
      <c r="AB9948" s="38"/>
    </row>
    <row r="9949">
      <c r="P9949" s="42"/>
      <c r="AB9949" s="38"/>
    </row>
    <row r="9950">
      <c r="P9950" s="42"/>
      <c r="AB9950" s="38"/>
    </row>
    <row r="9951">
      <c r="P9951" s="42"/>
      <c r="AB9951" s="38"/>
    </row>
    <row r="9952">
      <c r="P9952" s="42"/>
      <c r="AB9952" s="38"/>
    </row>
    <row r="9953">
      <c r="P9953" s="42"/>
      <c r="AB9953" s="38"/>
    </row>
    <row r="9954">
      <c r="P9954" s="42"/>
      <c r="AB9954" s="38"/>
    </row>
    <row r="9955">
      <c r="P9955" s="42"/>
      <c r="AB9955" s="38"/>
    </row>
    <row r="9956">
      <c r="P9956" s="42"/>
      <c r="AB9956" s="38"/>
    </row>
    <row r="9957">
      <c r="P9957" s="42"/>
      <c r="AB9957" s="38"/>
    </row>
    <row r="9958">
      <c r="P9958" s="42"/>
      <c r="AB9958" s="38"/>
    </row>
    <row r="9959">
      <c r="P9959" s="42"/>
      <c r="AB9959" s="38"/>
    </row>
    <row r="9960">
      <c r="P9960" s="42"/>
      <c r="AB9960" s="38"/>
    </row>
    <row r="9961">
      <c r="P9961" s="42"/>
      <c r="AB9961" s="38"/>
    </row>
    <row r="9962">
      <c r="P9962" s="42"/>
      <c r="AB9962" s="38"/>
    </row>
    <row r="9963">
      <c r="P9963" s="42"/>
      <c r="AB9963" s="38"/>
    </row>
    <row r="9964">
      <c r="P9964" s="42"/>
      <c r="AB9964" s="38"/>
    </row>
    <row r="9965">
      <c r="P9965" s="42"/>
      <c r="AB9965" s="38"/>
    </row>
    <row r="9966">
      <c r="P9966" s="42"/>
      <c r="AB9966" s="38"/>
    </row>
    <row r="9967">
      <c r="P9967" s="42"/>
      <c r="AB9967" s="38"/>
    </row>
    <row r="9968">
      <c r="P9968" s="42"/>
      <c r="AB9968" s="38"/>
    </row>
    <row r="9969">
      <c r="P9969" s="42"/>
      <c r="AB9969" s="38"/>
    </row>
    <row r="9970">
      <c r="P9970" s="42"/>
      <c r="AB9970" s="38"/>
    </row>
    <row r="9971">
      <c r="P9971" s="42"/>
      <c r="AB9971" s="38"/>
    </row>
    <row r="9972">
      <c r="P9972" s="42"/>
      <c r="AB9972" s="38"/>
    </row>
    <row r="9973">
      <c r="P9973" s="42"/>
      <c r="AB9973" s="38"/>
    </row>
    <row r="9974">
      <c r="P9974" s="42"/>
      <c r="AB9974" s="38"/>
    </row>
    <row r="9975">
      <c r="P9975" s="42"/>
      <c r="AB9975" s="38"/>
    </row>
    <row r="9976">
      <c r="P9976" s="42"/>
      <c r="AB9976" s="38"/>
    </row>
    <row r="9977">
      <c r="P9977" s="42"/>
      <c r="AB9977" s="38"/>
    </row>
    <row r="9978">
      <c r="P9978" s="42"/>
      <c r="AB9978" s="38"/>
    </row>
    <row r="9979">
      <c r="P9979" s="42"/>
      <c r="AB9979" s="38"/>
    </row>
    <row r="9980">
      <c r="P9980" s="42"/>
      <c r="AB9980" s="38"/>
    </row>
    <row r="9981">
      <c r="P9981" s="42"/>
      <c r="AB9981" s="38"/>
    </row>
    <row r="9982">
      <c r="P9982" s="42"/>
      <c r="AB9982" s="38"/>
    </row>
    <row r="9983">
      <c r="P9983" s="42"/>
      <c r="AB9983" s="38"/>
    </row>
    <row r="9984">
      <c r="P9984" s="42"/>
      <c r="AB9984" s="38"/>
    </row>
    <row r="9985">
      <c r="P9985" s="42"/>
      <c r="AB9985" s="38"/>
    </row>
    <row r="9986">
      <c r="P9986" s="42"/>
      <c r="AB9986" s="38"/>
    </row>
    <row r="9987">
      <c r="P9987" s="42"/>
      <c r="AB9987" s="38"/>
    </row>
    <row r="9988">
      <c r="P9988" s="42"/>
      <c r="AB9988" s="38"/>
    </row>
    <row r="9989">
      <c r="P9989" s="42"/>
      <c r="AB9989" s="38"/>
    </row>
    <row r="9990">
      <c r="P9990" s="42"/>
      <c r="AB9990" s="38"/>
    </row>
    <row r="9991">
      <c r="P9991" s="42"/>
      <c r="AB9991" s="38"/>
    </row>
    <row r="9992">
      <c r="P9992" s="42"/>
      <c r="AB9992" s="38"/>
    </row>
    <row r="9993">
      <c r="P9993" s="42"/>
      <c r="AB9993" s="38"/>
    </row>
    <row r="9994">
      <c r="P9994" s="42"/>
      <c r="AB9994" s="38"/>
    </row>
    <row r="9995">
      <c r="P9995" s="42"/>
      <c r="AB9995" s="38"/>
    </row>
    <row r="9996">
      <c r="P9996" s="42"/>
      <c r="AB9996" s="38"/>
    </row>
    <row r="9997">
      <c r="P9997" s="42"/>
      <c r="AB9997" s="38"/>
    </row>
    <row r="9998">
      <c r="P9998" s="42"/>
      <c r="AB9998" s="38"/>
    </row>
    <row r="9999">
      <c r="P9999" s="42"/>
      <c r="AB9999" s="38"/>
    </row>
    <row r="10000">
      <c r="P10000" s="42"/>
      <c r="AB10000" s="38"/>
    </row>
    <row r="10001">
      <c r="P10001" s="42"/>
      <c r="AB10001" s="38"/>
    </row>
    <row r="10002">
      <c r="P10002" s="42"/>
      <c r="AB10002" s="38"/>
    </row>
    <row r="10003">
      <c r="P10003" s="42"/>
      <c r="AB10003" s="38"/>
    </row>
    <row r="10004">
      <c r="P10004" s="42"/>
      <c r="AB10004" s="38"/>
    </row>
    <row r="10005">
      <c r="P10005" s="42"/>
      <c r="AB10005" s="38"/>
    </row>
    <row r="10006">
      <c r="P10006" s="42"/>
      <c r="AB10006" s="38"/>
    </row>
    <row r="10007">
      <c r="P10007" s="42"/>
      <c r="AB10007" s="38"/>
    </row>
    <row r="10008">
      <c r="P10008" s="42"/>
      <c r="AB10008" s="38"/>
    </row>
    <row r="10009">
      <c r="P10009" s="42"/>
      <c r="AB10009" s="38"/>
    </row>
    <row r="10010">
      <c r="P10010" s="42"/>
      <c r="AB10010" s="38"/>
    </row>
    <row r="10011">
      <c r="P10011" s="42"/>
      <c r="AB10011" s="38"/>
    </row>
    <row r="10012">
      <c r="P10012" s="42"/>
      <c r="AB10012" s="38"/>
    </row>
    <row r="10013">
      <c r="P10013" s="42"/>
      <c r="AB10013" s="38"/>
    </row>
    <row r="10014">
      <c r="P10014" s="42"/>
      <c r="AB10014" s="38"/>
    </row>
    <row r="10015">
      <c r="P10015" s="42"/>
      <c r="AB10015" s="38"/>
    </row>
    <row r="10016">
      <c r="P10016" s="42"/>
      <c r="AB10016" s="38"/>
    </row>
    <row r="10017">
      <c r="P10017" s="42"/>
      <c r="AB10017" s="38"/>
    </row>
    <row r="10018">
      <c r="P10018" s="42"/>
      <c r="AB10018" s="38"/>
    </row>
    <row r="10019">
      <c r="P10019" s="42"/>
      <c r="AB10019" s="38"/>
    </row>
    <row r="10020">
      <c r="P10020" s="42"/>
      <c r="AB10020" s="38"/>
    </row>
    <row r="10021">
      <c r="P10021" s="42"/>
      <c r="AB10021" s="38"/>
    </row>
    <row r="10022">
      <c r="P10022" s="42"/>
      <c r="AB10022" s="38"/>
    </row>
    <row r="10023">
      <c r="P10023" s="42"/>
      <c r="AB10023" s="38"/>
    </row>
    <row r="10024">
      <c r="P10024" s="42"/>
      <c r="AB10024" s="38"/>
    </row>
    <row r="10025">
      <c r="P10025" s="42"/>
      <c r="AB10025" s="38"/>
    </row>
    <row r="10026">
      <c r="P10026" s="42"/>
      <c r="AB10026" s="38"/>
    </row>
    <row r="10027">
      <c r="P10027" s="42"/>
      <c r="AB10027" s="38"/>
    </row>
    <row r="10028">
      <c r="P10028" s="42"/>
      <c r="AB10028" s="38"/>
    </row>
    <row r="10029">
      <c r="P10029" s="42"/>
      <c r="AB10029" s="38"/>
    </row>
    <row r="10030">
      <c r="P10030" s="42"/>
      <c r="AB10030" s="38"/>
    </row>
    <row r="10031">
      <c r="P10031" s="42"/>
      <c r="AB10031" s="38"/>
    </row>
    <row r="10032">
      <c r="P10032" s="42"/>
      <c r="AB10032" s="38"/>
    </row>
    <row r="10033">
      <c r="P10033" s="42"/>
      <c r="AB10033" s="38"/>
    </row>
    <row r="10034">
      <c r="P10034" s="42"/>
      <c r="AB10034" s="38"/>
    </row>
    <row r="10035">
      <c r="P10035" s="42"/>
      <c r="AB10035" s="38"/>
    </row>
    <row r="10036">
      <c r="P10036" s="42"/>
      <c r="AB10036" s="38"/>
    </row>
    <row r="10037">
      <c r="P10037" s="42"/>
      <c r="AB10037" s="38"/>
    </row>
    <row r="10038">
      <c r="P10038" s="42"/>
      <c r="AB10038" s="38"/>
    </row>
    <row r="10039">
      <c r="P10039" s="42"/>
      <c r="AB10039" s="38"/>
    </row>
    <row r="10040">
      <c r="P10040" s="42"/>
      <c r="AB10040" s="38"/>
    </row>
    <row r="10041">
      <c r="P10041" s="42"/>
      <c r="AB10041" s="38"/>
    </row>
    <row r="10042">
      <c r="P10042" s="42"/>
      <c r="AB10042" s="38"/>
    </row>
    <row r="10043">
      <c r="P10043" s="42"/>
      <c r="AB10043" s="38"/>
    </row>
    <row r="10044">
      <c r="P10044" s="42"/>
      <c r="AB10044" s="38"/>
    </row>
    <row r="10045">
      <c r="P10045" s="42"/>
      <c r="AB10045" s="38"/>
    </row>
    <row r="10046">
      <c r="P10046" s="42"/>
      <c r="AB10046" s="38"/>
    </row>
    <row r="10047">
      <c r="P10047" s="42"/>
      <c r="AB10047" s="38"/>
    </row>
    <row r="10048">
      <c r="P10048" s="42"/>
      <c r="AB10048" s="38"/>
    </row>
    <row r="10049">
      <c r="P10049" s="42"/>
      <c r="AB10049" s="38"/>
    </row>
    <row r="10050">
      <c r="P10050" s="42"/>
      <c r="AB10050" s="38"/>
    </row>
    <row r="10051">
      <c r="P10051" s="42"/>
      <c r="AB10051" s="38"/>
    </row>
    <row r="10052">
      <c r="P10052" s="42"/>
      <c r="AB10052" s="38"/>
    </row>
    <row r="10053">
      <c r="P10053" s="42"/>
      <c r="AB10053" s="38"/>
    </row>
    <row r="10054">
      <c r="P10054" s="42"/>
      <c r="AB10054" s="38"/>
    </row>
    <row r="10055">
      <c r="P10055" s="42"/>
      <c r="AB10055" s="38"/>
    </row>
    <row r="10056">
      <c r="P10056" s="42"/>
      <c r="AB10056" s="38"/>
    </row>
    <row r="10057">
      <c r="P10057" s="42"/>
      <c r="AB10057" s="38"/>
    </row>
    <row r="10058">
      <c r="P10058" s="42"/>
      <c r="AB10058" s="38"/>
    </row>
    <row r="10059">
      <c r="P10059" s="42"/>
      <c r="AB10059" s="38"/>
    </row>
    <row r="10060">
      <c r="P10060" s="42"/>
      <c r="AB10060" s="38"/>
    </row>
    <row r="10061">
      <c r="P10061" s="42"/>
      <c r="AB10061" s="38"/>
    </row>
    <row r="10062">
      <c r="P10062" s="42"/>
      <c r="AB10062" s="38"/>
    </row>
    <row r="10063">
      <c r="P10063" s="42"/>
      <c r="AB10063" s="38"/>
    </row>
    <row r="10064">
      <c r="P10064" s="42"/>
      <c r="AB10064" s="38"/>
    </row>
    <row r="10065">
      <c r="P10065" s="42"/>
      <c r="AB10065" s="38"/>
    </row>
    <row r="10066">
      <c r="P10066" s="42"/>
      <c r="AB10066" s="38"/>
    </row>
    <row r="10067">
      <c r="P10067" s="42"/>
      <c r="AB10067" s="38"/>
    </row>
    <row r="10068">
      <c r="P10068" s="42"/>
      <c r="AB10068" s="38"/>
    </row>
    <row r="10069">
      <c r="P10069" s="42"/>
      <c r="AB10069" s="38"/>
    </row>
    <row r="10070">
      <c r="P10070" s="42"/>
      <c r="AB10070" s="38"/>
    </row>
    <row r="10071">
      <c r="P10071" s="42"/>
      <c r="AB10071" s="38"/>
    </row>
    <row r="10072">
      <c r="P10072" s="42"/>
      <c r="AB10072" s="38"/>
    </row>
    <row r="10073">
      <c r="P10073" s="42"/>
      <c r="AB10073" s="38"/>
    </row>
    <row r="10074">
      <c r="P10074" s="42"/>
      <c r="AB10074" s="38"/>
    </row>
    <row r="10075">
      <c r="P10075" s="42"/>
      <c r="AB10075" s="38"/>
    </row>
    <row r="10076">
      <c r="P10076" s="42"/>
      <c r="AB10076" s="38"/>
    </row>
    <row r="10077">
      <c r="P10077" s="42"/>
      <c r="AB10077" s="38"/>
    </row>
    <row r="10078">
      <c r="P10078" s="42"/>
      <c r="AB10078" s="38"/>
    </row>
    <row r="10079">
      <c r="P10079" s="42"/>
      <c r="AB10079" s="38"/>
    </row>
    <row r="10080">
      <c r="P10080" s="42"/>
      <c r="AB10080" s="38"/>
    </row>
    <row r="10081">
      <c r="P10081" s="42"/>
      <c r="AB10081" s="38"/>
    </row>
    <row r="10082">
      <c r="P10082" s="42"/>
      <c r="AB10082" s="38"/>
    </row>
    <row r="10083">
      <c r="P10083" s="42"/>
      <c r="AB10083" s="38"/>
    </row>
    <row r="10084">
      <c r="P10084" s="42"/>
      <c r="AB10084" s="38"/>
    </row>
    <row r="10085">
      <c r="P10085" s="42"/>
      <c r="AB10085" s="38"/>
    </row>
    <row r="10086">
      <c r="P10086" s="42"/>
      <c r="AB10086" s="38"/>
    </row>
    <row r="10087">
      <c r="P10087" s="42"/>
      <c r="AB10087" s="38"/>
    </row>
    <row r="10088">
      <c r="P10088" s="42"/>
      <c r="AB10088" s="38"/>
    </row>
    <row r="10089">
      <c r="P10089" s="42"/>
      <c r="AB10089" s="38"/>
    </row>
    <row r="10090">
      <c r="P10090" s="42"/>
      <c r="AB10090" s="38"/>
    </row>
    <row r="10091">
      <c r="P10091" s="42"/>
      <c r="AB10091" s="38"/>
    </row>
    <row r="10092">
      <c r="P10092" s="42"/>
      <c r="AB10092" s="38"/>
    </row>
    <row r="10093">
      <c r="P10093" s="42"/>
      <c r="AB10093" s="38"/>
    </row>
    <row r="10094">
      <c r="P10094" s="42"/>
      <c r="AB10094" s="38"/>
    </row>
    <row r="10095">
      <c r="P10095" s="42"/>
      <c r="AB10095" s="38"/>
    </row>
    <row r="10096">
      <c r="P10096" s="42"/>
      <c r="AB10096" s="38"/>
    </row>
    <row r="10097">
      <c r="P10097" s="42"/>
      <c r="AB10097" s="38"/>
    </row>
    <row r="10098">
      <c r="P10098" s="42"/>
      <c r="AB10098" s="38"/>
    </row>
    <row r="10099">
      <c r="P10099" s="42"/>
      <c r="AB10099" s="38"/>
    </row>
    <row r="10100">
      <c r="P10100" s="42"/>
      <c r="AB10100" s="38"/>
    </row>
    <row r="10101">
      <c r="P10101" s="42"/>
      <c r="AB10101" s="38"/>
    </row>
    <row r="10102">
      <c r="P10102" s="42"/>
      <c r="AB10102" s="38"/>
    </row>
    <row r="10103">
      <c r="P10103" s="42"/>
      <c r="AB10103" s="38"/>
    </row>
    <row r="10104">
      <c r="P10104" s="42"/>
      <c r="AB10104" s="38"/>
    </row>
    <row r="10105">
      <c r="P10105" s="42"/>
      <c r="AB10105" s="38"/>
    </row>
    <row r="10106">
      <c r="P10106" s="42"/>
      <c r="AB10106" s="38"/>
    </row>
    <row r="10107">
      <c r="P10107" s="42"/>
      <c r="AB10107" s="38"/>
    </row>
    <row r="10108">
      <c r="P10108" s="42"/>
      <c r="AB10108" s="38"/>
    </row>
    <row r="10109">
      <c r="P10109" s="42"/>
      <c r="AB10109" s="38"/>
    </row>
    <row r="10110">
      <c r="P10110" s="42"/>
      <c r="AB10110" s="38"/>
    </row>
    <row r="10111">
      <c r="P10111" s="42"/>
      <c r="AB10111" s="38"/>
    </row>
    <row r="10112">
      <c r="P10112" s="42"/>
      <c r="AB10112" s="38"/>
    </row>
    <row r="10113">
      <c r="P10113" s="42"/>
      <c r="AB10113" s="38"/>
    </row>
    <row r="10114">
      <c r="P10114" s="42"/>
      <c r="AB10114" s="38"/>
    </row>
    <row r="10115">
      <c r="P10115" s="42"/>
      <c r="AB10115" s="38"/>
    </row>
    <row r="10116">
      <c r="P10116" s="42"/>
      <c r="AB10116" s="38"/>
    </row>
    <row r="10117">
      <c r="P10117" s="42"/>
      <c r="AB10117" s="38"/>
    </row>
    <row r="10118">
      <c r="P10118" s="42"/>
      <c r="AB10118" s="38"/>
    </row>
    <row r="10119">
      <c r="P10119" s="42"/>
      <c r="AB10119" s="38"/>
    </row>
    <row r="10120">
      <c r="P10120" s="42"/>
      <c r="AB10120" s="38"/>
    </row>
    <row r="10121">
      <c r="P10121" s="42"/>
      <c r="AB10121" s="38"/>
    </row>
    <row r="10122">
      <c r="P10122" s="42"/>
      <c r="AB10122" s="38"/>
    </row>
    <row r="10123">
      <c r="P10123" s="42"/>
      <c r="AB10123" s="38"/>
    </row>
    <row r="10124">
      <c r="P10124" s="42"/>
      <c r="AB10124" s="38"/>
    </row>
    <row r="10125">
      <c r="P10125" s="42"/>
      <c r="AB10125" s="38"/>
    </row>
    <row r="10126">
      <c r="P10126" s="42"/>
      <c r="AB10126" s="38"/>
    </row>
    <row r="10127">
      <c r="P10127" s="42"/>
      <c r="AB10127" s="38"/>
    </row>
    <row r="10128">
      <c r="P10128" s="42"/>
      <c r="AB10128" s="38"/>
    </row>
    <row r="10129">
      <c r="P10129" s="42"/>
      <c r="AB10129" s="38"/>
    </row>
    <row r="10130">
      <c r="P10130" s="42"/>
      <c r="AB10130" s="38"/>
    </row>
    <row r="10131">
      <c r="P10131" s="42"/>
      <c r="AB10131" s="38"/>
    </row>
    <row r="10132">
      <c r="P10132" s="42"/>
      <c r="AB10132" s="38"/>
    </row>
    <row r="10133">
      <c r="P10133" s="42"/>
      <c r="AB10133" s="38"/>
    </row>
    <row r="10134">
      <c r="P10134" s="42"/>
      <c r="AB10134" s="38"/>
    </row>
    <row r="10135">
      <c r="P10135" s="42"/>
      <c r="AB10135" s="38"/>
    </row>
    <row r="10136">
      <c r="P10136" s="42"/>
      <c r="AB10136" s="38"/>
    </row>
    <row r="10137">
      <c r="P10137" s="42"/>
      <c r="AB10137" s="38"/>
    </row>
    <row r="10138">
      <c r="P10138" s="42"/>
      <c r="AB10138" s="38"/>
    </row>
    <row r="10139">
      <c r="P10139" s="42"/>
      <c r="AB10139" s="38"/>
    </row>
    <row r="10140">
      <c r="P10140" s="42"/>
      <c r="AB10140" s="38"/>
    </row>
    <row r="10141">
      <c r="P10141" s="42"/>
      <c r="AB10141" s="38"/>
    </row>
    <row r="10142">
      <c r="P10142" s="42"/>
      <c r="AB10142" s="38"/>
    </row>
    <row r="10143">
      <c r="P10143" s="42"/>
      <c r="AB10143" s="38"/>
    </row>
    <row r="10144">
      <c r="P10144" s="42"/>
      <c r="AB10144" s="38"/>
    </row>
    <row r="10145">
      <c r="P10145" s="42"/>
      <c r="AB10145" s="38"/>
    </row>
    <row r="10146">
      <c r="P10146" s="42"/>
      <c r="AB10146" s="38"/>
    </row>
    <row r="10147">
      <c r="P10147" s="42"/>
      <c r="AB10147" s="38"/>
    </row>
    <row r="10148">
      <c r="P10148" s="42"/>
      <c r="AB10148" s="38"/>
    </row>
    <row r="10149">
      <c r="P10149" s="42"/>
      <c r="AB10149" s="38"/>
    </row>
    <row r="10150">
      <c r="P10150" s="42"/>
      <c r="AB10150" s="38"/>
    </row>
    <row r="10151">
      <c r="P10151" s="42"/>
      <c r="AB10151" s="38"/>
    </row>
    <row r="10152">
      <c r="P10152" s="42"/>
      <c r="AB10152" s="38"/>
    </row>
    <row r="10153">
      <c r="P10153" s="42"/>
      <c r="AB10153" s="38"/>
    </row>
    <row r="10154">
      <c r="P10154" s="42"/>
      <c r="AB10154" s="38"/>
    </row>
    <row r="10155">
      <c r="P10155" s="42"/>
      <c r="AB10155" s="38"/>
    </row>
    <row r="10156">
      <c r="P10156" s="42"/>
      <c r="AB10156" s="38"/>
    </row>
    <row r="10157">
      <c r="P10157" s="42"/>
      <c r="AB10157" s="38"/>
    </row>
    <row r="10158">
      <c r="P10158" s="42"/>
      <c r="AB10158" s="38"/>
    </row>
    <row r="10159">
      <c r="P10159" s="42"/>
      <c r="AB10159" s="38"/>
    </row>
    <row r="10160">
      <c r="P10160" s="42"/>
      <c r="AB10160" s="38"/>
    </row>
    <row r="10161">
      <c r="P10161" s="42"/>
      <c r="AB10161" s="38"/>
    </row>
    <row r="10162">
      <c r="P10162" s="42"/>
      <c r="AB10162" s="38"/>
    </row>
    <row r="10163">
      <c r="P10163" s="42"/>
      <c r="AB10163" s="38"/>
    </row>
    <row r="10164">
      <c r="P10164" s="42"/>
      <c r="AB10164" s="38"/>
    </row>
    <row r="10165">
      <c r="P10165" s="42"/>
      <c r="AB10165" s="38"/>
    </row>
    <row r="10166">
      <c r="P10166" s="42"/>
      <c r="AB10166" s="38"/>
    </row>
    <row r="10167">
      <c r="P10167" s="42"/>
      <c r="AB10167" s="38"/>
    </row>
    <row r="10168">
      <c r="P10168" s="42"/>
      <c r="AB10168" s="38"/>
    </row>
    <row r="10169">
      <c r="P10169" s="42"/>
      <c r="AB10169" s="38"/>
    </row>
    <row r="10170">
      <c r="P10170" s="42"/>
      <c r="AB10170" s="38"/>
    </row>
    <row r="10171">
      <c r="P10171" s="42"/>
      <c r="AB10171" s="38"/>
    </row>
    <row r="10172">
      <c r="P10172" s="42"/>
      <c r="AB10172" s="38"/>
    </row>
    <row r="10173">
      <c r="P10173" s="42"/>
      <c r="AB10173" s="38"/>
    </row>
    <row r="10174">
      <c r="P10174" s="42"/>
      <c r="AB10174" s="38"/>
    </row>
    <row r="10175">
      <c r="P10175" s="42"/>
      <c r="AB10175" s="38"/>
    </row>
    <row r="10176">
      <c r="P10176" s="42"/>
      <c r="AB10176" s="38"/>
    </row>
    <row r="10177">
      <c r="P10177" s="42"/>
      <c r="AB10177" s="38"/>
    </row>
    <row r="10178">
      <c r="P10178" s="42"/>
      <c r="AB10178" s="38"/>
    </row>
    <row r="10179">
      <c r="P10179" s="42"/>
      <c r="AB10179" s="38"/>
    </row>
    <row r="10180">
      <c r="P10180" s="42"/>
      <c r="AB10180" s="38"/>
    </row>
    <row r="10181">
      <c r="P10181" s="42"/>
      <c r="AB10181" s="38"/>
    </row>
    <row r="10182">
      <c r="P10182" s="42"/>
      <c r="AB10182" s="38"/>
    </row>
    <row r="10183">
      <c r="P10183" s="42"/>
      <c r="AB10183" s="38"/>
    </row>
    <row r="10184">
      <c r="P10184" s="42"/>
      <c r="AB10184" s="38"/>
    </row>
    <row r="10185">
      <c r="P10185" s="42"/>
      <c r="AB10185" s="38"/>
    </row>
    <row r="10186">
      <c r="P10186" s="42"/>
      <c r="AB10186" s="38"/>
    </row>
    <row r="10187">
      <c r="P10187" s="42"/>
      <c r="AB10187" s="38"/>
    </row>
    <row r="10188">
      <c r="P10188" s="42"/>
      <c r="AB10188" s="38"/>
    </row>
    <row r="10189">
      <c r="P10189" s="42"/>
      <c r="AB10189" s="38"/>
    </row>
    <row r="10190">
      <c r="P10190" s="42"/>
      <c r="AB10190" s="38"/>
    </row>
    <row r="10191">
      <c r="P10191" s="42"/>
      <c r="AB10191" s="38"/>
    </row>
    <row r="10192">
      <c r="P10192" s="42"/>
      <c r="AB10192" s="38"/>
    </row>
    <row r="10193">
      <c r="P10193" s="42"/>
      <c r="AB10193" s="38"/>
    </row>
    <row r="10194">
      <c r="P10194" s="42"/>
      <c r="AB10194" s="38"/>
    </row>
    <row r="10195">
      <c r="P10195" s="42"/>
      <c r="AB10195" s="38"/>
    </row>
    <row r="10196">
      <c r="P10196" s="42"/>
      <c r="AB10196" s="38"/>
    </row>
    <row r="10197">
      <c r="P10197" s="42"/>
      <c r="AB10197" s="38"/>
    </row>
    <row r="10198">
      <c r="P10198" s="42"/>
      <c r="AB10198" s="38"/>
    </row>
    <row r="10199">
      <c r="P10199" s="42"/>
      <c r="AB10199" s="38"/>
    </row>
    <row r="10200">
      <c r="P10200" s="42"/>
      <c r="AB10200" s="38"/>
    </row>
    <row r="10201">
      <c r="P10201" s="42"/>
      <c r="AB10201" s="38"/>
    </row>
    <row r="10202">
      <c r="P10202" s="42"/>
      <c r="AB10202" s="38"/>
    </row>
    <row r="10203">
      <c r="P10203" s="42"/>
      <c r="AB10203" s="38"/>
    </row>
    <row r="10204">
      <c r="P10204" s="42"/>
      <c r="AB10204" s="38"/>
    </row>
    <row r="10205">
      <c r="P10205" s="42"/>
      <c r="AB10205" s="38"/>
    </row>
    <row r="10206">
      <c r="P10206" s="42"/>
      <c r="AB10206" s="38"/>
    </row>
    <row r="10207">
      <c r="P10207" s="42"/>
      <c r="AB10207" s="38"/>
    </row>
    <row r="10208">
      <c r="P10208" s="42"/>
      <c r="AB10208" s="38"/>
    </row>
    <row r="10209">
      <c r="P10209" s="42"/>
      <c r="AB10209" s="38"/>
    </row>
    <row r="10210">
      <c r="P10210" s="42"/>
      <c r="AB10210" s="38"/>
    </row>
    <row r="10211">
      <c r="P10211" s="42"/>
      <c r="AB10211" s="38"/>
    </row>
    <row r="10212">
      <c r="P10212" s="42"/>
      <c r="AB10212" s="38"/>
    </row>
    <row r="10213">
      <c r="P10213" s="42"/>
      <c r="AB10213" s="38"/>
    </row>
    <row r="10214">
      <c r="P10214" s="42"/>
      <c r="AB10214" s="38"/>
    </row>
    <row r="10215">
      <c r="P10215" s="42"/>
      <c r="AB10215" s="38"/>
    </row>
    <row r="10216">
      <c r="P10216" s="42"/>
      <c r="AB10216" s="38"/>
    </row>
    <row r="10217">
      <c r="P10217" s="42"/>
      <c r="AB10217" s="38"/>
    </row>
    <row r="10218">
      <c r="P10218" s="42"/>
      <c r="AB10218" s="38"/>
    </row>
    <row r="10219">
      <c r="P10219" s="42"/>
      <c r="AB10219" s="38"/>
    </row>
    <row r="10220">
      <c r="P10220" s="42"/>
      <c r="AB10220" s="38"/>
    </row>
    <row r="10221">
      <c r="P10221" s="42"/>
      <c r="AB10221" s="38"/>
    </row>
    <row r="10222">
      <c r="P10222" s="42"/>
      <c r="AB10222" s="38"/>
    </row>
    <row r="10223">
      <c r="P10223" s="42"/>
      <c r="AB10223" s="38"/>
    </row>
    <row r="10224">
      <c r="P10224" s="42"/>
      <c r="AB10224" s="38"/>
    </row>
    <row r="10225">
      <c r="P10225" s="42"/>
      <c r="AB10225" s="38"/>
    </row>
    <row r="10226">
      <c r="P10226" s="42"/>
      <c r="AB10226" s="38"/>
    </row>
    <row r="10227">
      <c r="P10227" s="42"/>
      <c r="AB10227" s="38"/>
    </row>
    <row r="10228">
      <c r="P10228" s="42"/>
      <c r="AB10228" s="38"/>
    </row>
    <row r="10229">
      <c r="P10229" s="42"/>
      <c r="AB10229" s="38"/>
    </row>
    <row r="10230">
      <c r="P10230" s="42"/>
      <c r="AB10230" s="38"/>
    </row>
    <row r="10231">
      <c r="P10231" s="42"/>
      <c r="AB10231" s="38"/>
    </row>
    <row r="10232">
      <c r="P10232" s="42"/>
      <c r="AB10232" s="38"/>
    </row>
    <row r="10233">
      <c r="P10233" s="42"/>
      <c r="AB10233" s="38"/>
    </row>
    <row r="10234">
      <c r="P10234" s="42"/>
      <c r="AB10234" s="38"/>
    </row>
    <row r="10235">
      <c r="P10235" s="42"/>
      <c r="AB10235" s="38"/>
    </row>
    <row r="10236">
      <c r="P10236" s="42"/>
      <c r="AB10236" s="38"/>
    </row>
    <row r="10237">
      <c r="P10237" s="42"/>
      <c r="AB10237" s="38"/>
    </row>
    <row r="10238">
      <c r="P10238" s="42"/>
      <c r="AB10238" s="38"/>
    </row>
    <row r="10239">
      <c r="P10239" s="42"/>
      <c r="AB10239" s="38"/>
    </row>
    <row r="10240">
      <c r="P10240" s="42"/>
      <c r="AB10240" s="38"/>
    </row>
    <row r="10241">
      <c r="P10241" s="42"/>
      <c r="AB10241" s="38"/>
    </row>
    <row r="10242">
      <c r="P10242" s="42"/>
      <c r="AB10242" s="38"/>
    </row>
    <row r="10243">
      <c r="P10243" s="42"/>
      <c r="AB10243" s="38"/>
    </row>
    <row r="10244">
      <c r="P10244" s="42"/>
      <c r="AB10244" s="38"/>
    </row>
    <row r="10245">
      <c r="P10245" s="42"/>
      <c r="AB10245" s="38"/>
    </row>
    <row r="10246">
      <c r="P10246" s="42"/>
      <c r="AB10246" s="38"/>
    </row>
    <row r="10247">
      <c r="P10247" s="42"/>
      <c r="AB10247" s="38"/>
    </row>
    <row r="10248">
      <c r="P10248" s="42"/>
      <c r="AB10248" s="38"/>
    </row>
    <row r="10249">
      <c r="P10249" s="42"/>
      <c r="AB10249" s="38"/>
    </row>
    <row r="10250">
      <c r="P10250" s="42"/>
      <c r="AB10250" s="38"/>
    </row>
    <row r="10251">
      <c r="P10251" s="42"/>
      <c r="AB10251" s="38"/>
    </row>
    <row r="10252">
      <c r="P10252" s="42"/>
      <c r="AB10252" s="38"/>
    </row>
    <row r="10253">
      <c r="P10253" s="42"/>
      <c r="AB10253" s="38"/>
    </row>
    <row r="10254">
      <c r="P10254" s="42"/>
      <c r="AB10254" s="38"/>
    </row>
    <row r="10255">
      <c r="P10255" s="42"/>
      <c r="AB10255" s="38"/>
    </row>
    <row r="10256">
      <c r="P10256" s="42"/>
      <c r="AB10256" s="38"/>
    </row>
    <row r="10257">
      <c r="P10257" s="42"/>
      <c r="AB10257" s="38"/>
    </row>
    <row r="10258">
      <c r="P10258" s="42"/>
      <c r="AB10258" s="38"/>
    </row>
    <row r="10259">
      <c r="P10259" s="42"/>
      <c r="AB10259" s="38"/>
    </row>
    <row r="10260">
      <c r="P10260" s="42"/>
      <c r="AB10260" s="38"/>
    </row>
    <row r="10261">
      <c r="P10261" s="42"/>
      <c r="AB10261" s="38"/>
    </row>
    <row r="10262">
      <c r="P10262" s="42"/>
      <c r="AB10262" s="38"/>
    </row>
    <row r="10263">
      <c r="P10263" s="42"/>
      <c r="AB10263" s="38"/>
    </row>
    <row r="10264">
      <c r="P10264" s="42"/>
      <c r="AB10264" s="38"/>
    </row>
    <row r="10265">
      <c r="P10265" s="42"/>
      <c r="AB10265" s="38"/>
    </row>
    <row r="10266">
      <c r="P10266" s="42"/>
      <c r="AB10266" s="38"/>
    </row>
    <row r="10267">
      <c r="P10267" s="42"/>
      <c r="AB10267" s="38"/>
    </row>
    <row r="10268">
      <c r="P10268" s="42"/>
      <c r="AB10268" s="38"/>
    </row>
    <row r="10269">
      <c r="P10269" s="42"/>
      <c r="AB10269" s="38"/>
    </row>
    <row r="10270">
      <c r="P10270" s="42"/>
      <c r="AB10270" s="38"/>
    </row>
    <row r="10271">
      <c r="P10271" s="42"/>
      <c r="AB10271" s="38"/>
    </row>
    <row r="10272">
      <c r="P10272" s="42"/>
      <c r="AB10272" s="38"/>
    </row>
    <row r="10273">
      <c r="P10273" s="42"/>
      <c r="AB10273" s="38"/>
    </row>
    <row r="10274">
      <c r="P10274" s="42"/>
      <c r="AB10274" s="38"/>
    </row>
    <row r="10275">
      <c r="P10275" s="42"/>
      <c r="AB10275" s="38"/>
    </row>
    <row r="10276">
      <c r="P10276" s="42"/>
      <c r="AB10276" s="38"/>
    </row>
    <row r="10277">
      <c r="P10277" s="42"/>
      <c r="AB10277" s="38"/>
    </row>
    <row r="10278">
      <c r="P10278" s="42"/>
      <c r="AB10278" s="38"/>
    </row>
    <row r="10279">
      <c r="P10279" s="42"/>
      <c r="AB10279" s="38"/>
    </row>
    <row r="10280">
      <c r="P10280" s="42"/>
      <c r="AB10280" s="38"/>
    </row>
    <row r="10281">
      <c r="P10281" s="42"/>
      <c r="AB10281" s="38"/>
    </row>
    <row r="10282">
      <c r="P10282" s="42"/>
      <c r="AB10282" s="38"/>
    </row>
    <row r="10283">
      <c r="P10283" s="42"/>
      <c r="AB10283" s="38"/>
    </row>
    <row r="10284">
      <c r="P10284" s="42"/>
      <c r="AB10284" s="38"/>
    </row>
    <row r="10285">
      <c r="P10285" s="42"/>
      <c r="AB10285" s="38"/>
    </row>
    <row r="10286">
      <c r="P10286" s="42"/>
      <c r="AB10286" s="38"/>
    </row>
    <row r="10287">
      <c r="P10287" s="42"/>
      <c r="AB10287" s="38"/>
    </row>
    <row r="10288">
      <c r="P10288" s="42"/>
      <c r="AB10288" s="38"/>
    </row>
    <row r="10289">
      <c r="P10289" s="42"/>
      <c r="AB10289" s="38"/>
    </row>
    <row r="10290">
      <c r="P10290" s="42"/>
      <c r="AB10290" s="38"/>
    </row>
    <row r="10291">
      <c r="P10291" s="42"/>
      <c r="AB10291" s="38"/>
    </row>
    <row r="10292">
      <c r="P10292" s="42"/>
      <c r="AB10292" s="38"/>
    </row>
    <row r="10293">
      <c r="P10293" s="42"/>
      <c r="AB10293" s="38"/>
    </row>
    <row r="10294">
      <c r="P10294" s="42"/>
      <c r="AB10294" s="38"/>
    </row>
    <row r="10295">
      <c r="P10295" s="42"/>
      <c r="AB10295" s="38"/>
    </row>
    <row r="10296">
      <c r="P10296" s="42"/>
      <c r="AB10296" s="38"/>
    </row>
    <row r="10297">
      <c r="P10297" s="42"/>
      <c r="AB10297" s="38"/>
    </row>
    <row r="10298">
      <c r="P10298" s="42"/>
      <c r="AB10298" s="38"/>
    </row>
    <row r="10299">
      <c r="P10299" s="42"/>
      <c r="AB10299" s="38"/>
    </row>
    <row r="10300">
      <c r="P10300" s="42"/>
      <c r="AB10300" s="38"/>
    </row>
    <row r="10301">
      <c r="P10301" s="42"/>
      <c r="AB10301" s="38"/>
    </row>
    <row r="10302">
      <c r="P10302" s="42"/>
      <c r="AB10302" s="38"/>
    </row>
    <row r="10303">
      <c r="P10303" s="42"/>
      <c r="AB10303" s="38"/>
    </row>
    <row r="10304">
      <c r="P10304" s="42"/>
      <c r="AB10304" s="38"/>
    </row>
    <row r="10305">
      <c r="P10305" s="42"/>
      <c r="AB10305" s="38"/>
    </row>
    <row r="10306">
      <c r="P10306" s="42"/>
      <c r="AB10306" s="38"/>
    </row>
    <row r="10307">
      <c r="P10307" s="42"/>
      <c r="AB10307" s="38"/>
    </row>
    <row r="10308">
      <c r="P10308" s="42"/>
      <c r="AB10308" s="38"/>
    </row>
    <row r="10309">
      <c r="P10309" s="42"/>
      <c r="AB10309" s="38"/>
    </row>
    <row r="10310">
      <c r="P10310" s="42"/>
      <c r="AB10310" s="38"/>
    </row>
    <row r="10311">
      <c r="P10311" s="42"/>
      <c r="AB10311" s="38"/>
    </row>
    <row r="10312">
      <c r="P10312" s="42"/>
      <c r="AB10312" s="38"/>
    </row>
    <row r="10313">
      <c r="P10313" s="42"/>
      <c r="AB10313" s="38"/>
    </row>
    <row r="10314">
      <c r="P10314" s="42"/>
      <c r="AB10314" s="38"/>
    </row>
    <row r="10315">
      <c r="P10315" s="42"/>
      <c r="AB10315" s="38"/>
    </row>
    <row r="10316">
      <c r="P10316" s="42"/>
      <c r="AB10316" s="38"/>
    </row>
    <row r="10317">
      <c r="P10317" s="42"/>
      <c r="AB10317" s="38"/>
    </row>
    <row r="10318">
      <c r="P10318" s="42"/>
      <c r="AB10318" s="38"/>
    </row>
    <row r="10319">
      <c r="P10319" s="42"/>
      <c r="AB10319" s="38"/>
    </row>
    <row r="10320">
      <c r="P10320" s="42"/>
      <c r="AB10320" s="38"/>
    </row>
    <row r="10321">
      <c r="P10321" s="42"/>
      <c r="AB10321" s="38"/>
    </row>
    <row r="10322">
      <c r="P10322" s="42"/>
      <c r="AB10322" s="38"/>
    </row>
    <row r="10323">
      <c r="P10323" s="42"/>
      <c r="AB10323" s="38"/>
    </row>
    <row r="10324">
      <c r="P10324" s="42"/>
      <c r="AB10324" s="38"/>
    </row>
    <row r="10325">
      <c r="P10325" s="42"/>
      <c r="AB10325" s="38"/>
    </row>
    <row r="10326">
      <c r="P10326" s="42"/>
      <c r="AB10326" s="38"/>
    </row>
    <row r="10327">
      <c r="P10327" s="42"/>
      <c r="AB10327" s="38"/>
    </row>
    <row r="10328">
      <c r="P10328" s="42"/>
      <c r="AB10328" s="38"/>
    </row>
    <row r="10329">
      <c r="P10329" s="42"/>
      <c r="AB10329" s="38"/>
    </row>
    <row r="10330">
      <c r="P10330" s="42"/>
      <c r="AB10330" s="38"/>
    </row>
    <row r="10331">
      <c r="P10331" s="42"/>
      <c r="AB10331" s="38"/>
    </row>
    <row r="10332">
      <c r="P10332" s="42"/>
      <c r="AB10332" s="38"/>
    </row>
    <row r="10333">
      <c r="P10333" s="42"/>
      <c r="AB10333" s="38"/>
    </row>
    <row r="10334">
      <c r="P10334" s="42"/>
      <c r="AB10334" s="38"/>
    </row>
    <row r="10335">
      <c r="P10335" s="42"/>
      <c r="AB10335" s="38"/>
    </row>
    <row r="10336">
      <c r="P10336" s="42"/>
      <c r="AB10336" s="38"/>
    </row>
    <row r="10337">
      <c r="P10337" s="42"/>
      <c r="AB10337" s="38"/>
    </row>
    <row r="10338">
      <c r="P10338" s="42"/>
      <c r="AB10338" s="38"/>
    </row>
    <row r="10339">
      <c r="P10339" s="42"/>
      <c r="AB10339" s="38"/>
    </row>
    <row r="10340">
      <c r="P10340" s="42"/>
      <c r="AB10340" s="38"/>
    </row>
    <row r="10341">
      <c r="P10341" s="42"/>
      <c r="AB10341" s="38"/>
    </row>
    <row r="10342">
      <c r="P10342" s="42"/>
      <c r="AB10342" s="38"/>
    </row>
    <row r="10343">
      <c r="P10343" s="42"/>
      <c r="AB10343" s="38"/>
    </row>
    <row r="10344">
      <c r="P10344" s="42"/>
      <c r="AB10344" s="38"/>
    </row>
    <row r="10345">
      <c r="P10345" s="42"/>
      <c r="AB10345" s="38"/>
    </row>
    <row r="10346">
      <c r="P10346" s="42"/>
      <c r="AB10346" s="38"/>
    </row>
    <row r="10347">
      <c r="P10347" s="42"/>
      <c r="AB10347" s="38"/>
    </row>
    <row r="10348">
      <c r="P10348" s="42"/>
      <c r="AB10348" s="38"/>
    </row>
    <row r="10349">
      <c r="P10349" s="42"/>
      <c r="AB10349" s="38"/>
    </row>
    <row r="10350">
      <c r="P10350" s="42"/>
      <c r="AB10350" s="38"/>
    </row>
    <row r="10351">
      <c r="P10351" s="42"/>
      <c r="AB10351" s="38"/>
    </row>
    <row r="10352">
      <c r="P10352" s="42"/>
      <c r="AB10352" s="38"/>
    </row>
    <row r="10353">
      <c r="P10353" s="42"/>
      <c r="AB10353" s="38"/>
    </row>
    <row r="10354">
      <c r="P10354" s="42"/>
      <c r="AB10354" s="38"/>
    </row>
    <row r="10355">
      <c r="P10355" s="42"/>
      <c r="AB10355" s="38"/>
    </row>
    <row r="10356">
      <c r="P10356" s="42"/>
      <c r="AB10356" s="38"/>
    </row>
    <row r="10357">
      <c r="P10357" s="42"/>
      <c r="AB10357" s="38"/>
    </row>
    <row r="10358">
      <c r="P10358" s="42"/>
      <c r="AB10358" s="38"/>
    </row>
    <row r="10359">
      <c r="P10359" s="42"/>
      <c r="AB10359" s="38"/>
    </row>
    <row r="10360">
      <c r="P10360" s="42"/>
      <c r="AB10360" s="38"/>
    </row>
    <row r="10361">
      <c r="P10361" s="42"/>
      <c r="AB10361" s="38"/>
    </row>
    <row r="10362">
      <c r="P10362" s="42"/>
      <c r="AB10362" s="38"/>
    </row>
    <row r="10363">
      <c r="P10363" s="42"/>
      <c r="AB10363" s="38"/>
    </row>
    <row r="10364">
      <c r="P10364" s="42"/>
      <c r="AB10364" s="38"/>
    </row>
    <row r="10365">
      <c r="P10365" s="42"/>
      <c r="AB10365" s="38"/>
    </row>
    <row r="10366">
      <c r="P10366" s="42"/>
      <c r="AB10366" s="38"/>
    </row>
    <row r="10367">
      <c r="P10367" s="42"/>
      <c r="AB10367" s="38"/>
    </row>
    <row r="10368">
      <c r="P10368" s="42"/>
      <c r="AB10368" s="38"/>
    </row>
    <row r="10369">
      <c r="P10369" s="42"/>
      <c r="AB10369" s="38"/>
    </row>
    <row r="10370">
      <c r="P10370" s="42"/>
      <c r="AB10370" s="38"/>
    </row>
    <row r="10371">
      <c r="P10371" s="42"/>
      <c r="AB10371" s="38"/>
    </row>
    <row r="10372">
      <c r="P10372" s="42"/>
      <c r="AB10372" s="38"/>
    </row>
    <row r="10373">
      <c r="P10373" s="42"/>
      <c r="AB10373" s="38"/>
    </row>
    <row r="10374">
      <c r="P10374" s="42"/>
      <c r="AB10374" s="38"/>
    </row>
    <row r="10375">
      <c r="P10375" s="42"/>
      <c r="AB10375" s="38"/>
    </row>
    <row r="10376">
      <c r="P10376" s="42"/>
      <c r="AB10376" s="38"/>
    </row>
    <row r="10377">
      <c r="P10377" s="42"/>
      <c r="AB10377" s="38"/>
    </row>
    <row r="10378">
      <c r="P10378" s="42"/>
      <c r="AB10378" s="38"/>
    </row>
    <row r="10379">
      <c r="P10379" s="42"/>
      <c r="AB10379" s="38"/>
    </row>
    <row r="10380">
      <c r="P10380" s="42"/>
      <c r="AB10380" s="38"/>
    </row>
    <row r="10381">
      <c r="P10381" s="42"/>
      <c r="AB10381" s="38"/>
    </row>
    <row r="10382">
      <c r="P10382" s="42"/>
      <c r="AB10382" s="38"/>
    </row>
    <row r="10383">
      <c r="P10383" s="42"/>
      <c r="AB10383" s="38"/>
    </row>
    <row r="10384">
      <c r="P10384" s="42"/>
      <c r="AB10384" s="38"/>
    </row>
    <row r="10385">
      <c r="P10385" s="42"/>
      <c r="AB10385" s="38"/>
    </row>
    <row r="10386">
      <c r="P10386" s="42"/>
      <c r="AB10386" s="38"/>
    </row>
    <row r="10387">
      <c r="P10387" s="42"/>
      <c r="AB10387" s="38"/>
    </row>
    <row r="10388">
      <c r="P10388" s="42"/>
      <c r="AB10388" s="38"/>
    </row>
    <row r="10389">
      <c r="P10389" s="42"/>
      <c r="AB10389" s="38"/>
    </row>
    <row r="10390">
      <c r="P10390" s="42"/>
      <c r="AB10390" s="38"/>
    </row>
    <row r="10391">
      <c r="P10391" s="42"/>
      <c r="AB10391" s="38"/>
    </row>
    <row r="10392">
      <c r="P10392" s="42"/>
      <c r="AB10392" s="38"/>
    </row>
    <row r="10393">
      <c r="P10393" s="42"/>
      <c r="AB10393" s="38"/>
    </row>
    <row r="10394">
      <c r="P10394" s="42"/>
      <c r="AB10394" s="38"/>
    </row>
    <row r="10395">
      <c r="P10395" s="42"/>
      <c r="AB10395" s="38"/>
    </row>
    <row r="10396">
      <c r="P10396" s="42"/>
      <c r="AB10396" s="38"/>
    </row>
    <row r="10397">
      <c r="P10397" s="42"/>
      <c r="AB10397" s="38"/>
    </row>
    <row r="10398">
      <c r="P10398" s="42"/>
      <c r="AB10398" s="38"/>
    </row>
    <row r="10399">
      <c r="P10399" s="42"/>
      <c r="AB10399" s="38"/>
    </row>
    <row r="10400">
      <c r="P10400" s="42"/>
      <c r="AB10400" s="38"/>
    </row>
    <row r="10401">
      <c r="P10401" s="42"/>
      <c r="AB10401" s="38"/>
    </row>
    <row r="10402">
      <c r="P10402" s="42"/>
      <c r="AB10402" s="38"/>
    </row>
    <row r="10403">
      <c r="P10403" s="42"/>
      <c r="AB10403" s="38"/>
    </row>
    <row r="10404">
      <c r="P10404" s="42"/>
      <c r="AB10404" s="38"/>
    </row>
    <row r="10405">
      <c r="P10405" s="42"/>
      <c r="AB10405" s="38"/>
    </row>
    <row r="10406">
      <c r="P10406" s="42"/>
      <c r="AB10406" s="38"/>
    </row>
    <row r="10407">
      <c r="P10407" s="42"/>
      <c r="AB10407" s="38"/>
    </row>
    <row r="10408">
      <c r="P10408" s="42"/>
      <c r="AB10408" s="38"/>
    </row>
    <row r="10409">
      <c r="P10409" s="42"/>
      <c r="AB10409" s="38"/>
    </row>
    <row r="10410">
      <c r="P10410" s="42"/>
      <c r="AB10410" s="38"/>
    </row>
    <row r="10411">
      <c r="P10411" s="42"/>
      <c r="AB10411" s="38"/>
    </row>
    <row r="10412">
      <c r="P10412" s="42"/>
      <c r="AB10412" s="38"/>
    </row>
    <row r="10413">
      <c r="P10413" s="42"/>
      <c r="AB10413" s="38"/>
    </row>
    <row r="10414">
      <c r="P10414" s="42"/>
      <c r="AB10414" s="38"/>
    </row>
    <row r="10415">
      <c r="P10415" s="42"/>
      <c r="AB10415" s="38"/>
    </row>
    <row r="10416">
      <c r="P10416" s="42"/>
      <c r="AB10416" s="38"/>
    </row>
    <row r="10417">
      <c r="P10417" s="42"/>
      <c r="AB10417" s="38"/>
    </row>
    <row r="10418">
      <c r="P10418" s="42"/>
      <c r="AB10418" s="38"/>
    </row>
    <row r="10419">
      <c r="P10419" s="42"/>
      <c r="AB10419" s="38"/>
    </row>
    <row r="10420">
      <c r="P10420" s="42"/>
      <c r="AB10420" s="38"/>
    </row>
    <row r="10421">
      <c r="P10421" s="42"/>
      <c r="AB10421" s="38"/>
    </row>
    <row r="10422">
      <c r="P10422" s="42"/>
      <c r="AB10422" s="38"/>
    </row>
    <row r="10423">
      <c r="P10423" s="42"/>
      <c r="AB10423" s="38"/>
    </row>
    <row r="10424">
      <c r="P10424" s="42"/>
      <c r="AB10424" s="38"/>
    </row>
    <row r="10425">
      <c r="P10425" s="42"/>
      <c r="AB10425" s="38"/>
    </row>
    <row r="10426">
      <c r="P10426" s="42"/>
      <c r="AB10426" s="38"/>
    </row>
    <row r="10427">
      <c r="P10427" s="42"/>
      <c r="AB10427" s="38"/>
    </row>
    <row r="10428">
      <c r="P10428" s="42"/>
      <c r="AB10428" s="38"/>
    </row>
    <row r="10429">
      <c r="P10429" s="42"/>
      <c r="AB10429" s="38"/>
    </row>
    <row r="10430">
      <c r="P10430" s="42"/>
      <c r="AB10430" s="38"/>
    </row>
    <row r="10431">
      <c r="P10431" s="42"/>
      <c r="AB10431" s="38"/>
    </row>
    <row r="10432">
      <c r="P10432" s="42"/>
      <c r="AB10432" s="38"/>
    </row>
    <row r="10433">
      <c r="P10433" s="42"/>
      <c r="AB10433" s="38"/>
    </row>
    <row r="10434">
      <c r="P10434" s="42"/>
      <c r="AB10434" s="38"/>
    </row>
    <row r="10435">
      <c r="P10435" s="42"/>
      <c r="AB10435" s="38"/>
    </row>
    <row r="10436">
      <c r="P10436" s="42"/>
      <c r="AB10436" s="38"/>
    </row>
    <row r="10437">
      <c r="P10437" s="42"/>
      <c r="AB10437" s="38"/>
    </row>
    <row r="10438">
      <c r="P10438" s="42"/>
      <c r="AB10438" s="38"/>
    </row>
    <row r="10439">
      <c r="P10439" s="42"/>
      <c r="AB10439" s="38"/>
    </row>
    <row r="10440">
      <c r="P10440" s="42"/>
      <c r="AB10440" s="38"/>
    </row>
    <row r="10441">
      <c r="P10441" s="42"/>
      <c r="AB10441" s="38"/>
    </row>
    <row r="10442">
      <c r="P10442" s="42"/>
      <c r="AB10442" s="38"/>
    </row>
    <row r="10443">
      <c r="P10443" s="42"/>
      <c r="AB10443" s="38"/>
    </row>
    <row r="10444">
      <c r="P10444" s="42"/>
      <c r="AB10444" s="38"/>
    </row>
    <row r="10445">
      <c r="P10445" s="42"/>
      <c r="AB10445" s="38"/>
    </row>
    <row r="10446">
      <c r="P10446" s="42"/>
      <c r="AB10446" s="38"/>
    </row>
    <row r="10447">
      <c r="P10447" s="42"/>
      <c r="AB10447" s="38"/>
    </row>
    <row r="10448">
      <c r="P10448" s="42"/>
      <c r="AB10448" s="38"/>
    </row>
    <row r="10449">
      <c r="P10449" s="42"/>
      <c r="AB10449" s="38"/>
    </row>
    <row r="10450">
      <c r="P10450" s="42"/>
      <c r="AB10450" s="38"/>
    </row>
    <row r="10451">
      <c r="P10451" s="42"/>
      <c r="AB10451" s="38"/>
    </row>
    <row r="10452">
      <c r="P10452" s="42"/>
      <c r="AB10452" s="38"/>
    </row>
    <row r="10453">
      <c r="P10453" s="42"/>
      <c r="AB10453" s="38"/>
    </row>
    <row r="10454">
      <c r="P10454" s="42"/>
      <c r="AB10454" s="38"/>
    </row>
    <row r="10455">
      <c r="P10455" s="42"/>
      <c r="AB10455" s="38"/>
    </row>
    <row r="10456">
      <c r="P10456" s="42"/>
      <c r="AB10456" s="38"/>
    </row>
    <row r="10457">
      <c r="P10457" s="42"/>
      <c r="AB10457" s="38"/>
    </row>
    <row r="10458">
      <c r="P10458" s="42"/>
      <c r="AB10458" s="38"/>
    </row>
    <row r="10459">
      <c r="P10459" s="42"/>
      <c r="AB10459" s="38"/>
    </row>
    <row r="10460">
      <c r="P10460" s="42"/>
      <c r="AB10460" s="38"/>
    </row>
    <row r="10461">
      <c r="P10461" s="42"/>
      <c r="AB10461" s="38"/>
    </row>
    <row r="10462">
      <c r="P10462" s="42"/>
      <c r="AB10462" s="38"/>
    </row>
    <row r="10463">
      <c r="P10463" s="42"/>
      <c r="AB10463" s="38"/>
    </row>
    <row r="10464">
      <c r="P10464" s="42"/>
      <c r="AB10464" s="38"/>
    </row>
    <row r="10465">
      <c r="P10465" s="42"/>
      <c r="AB10465" s="38"/>
    </row>
    <row r="10466">
      <c r="P10466" s="42"/>
      <c r="AB10466" s="38"/>
    </row>
    <row r="10467">
      <c r="P10467" s="42"/>
      <c r="AB10467" s="38"/>
    </row>
    <row r="10468">
      <c r="P10468" s="42"/>
      <c r="AB10468" s="38"/>
    </row>
    <row r="10469">
      <c r="P10469" s="42"/>
      <c r="AB10469" s="38"/>
    </row>
    <row r="10470">
      <c r="P10470" s="42"/>
      <c r="AB10470" s="38"/>
    </row>
    <row r="10471">
      <c r="P10471" s="42"/>
      <c r="AB10471" s="38"/>
    </row>
    <row r="10472">
      <c r="P10472" s="42"/>
      <c r="AB10472" s="38"/>
    </row>
    <row r="10473">
      <c r="P10473" s="42"/>
      <c r="AB10473" s="38"/>
    </row>
    <row r="10474">
      <c r="P10474" s="42"/>
      <c r="AB10474" s="38"/>
    </row>
    <row r="10475">
      <c r="P10475" s="42"/>
      <c r="AB10475" s="38"/>
    </row>
    <row r="10476">
      <c r="P10476" s="42"/>
      <c r="AB10476" s="38"/>
    </row>
    <row r="10477">
      <c r="P10477" s="42"/>
      <c r="AB10477" s="38"/>
    </row>
    <row r="10478">
      <c r="P10478" s="42"/>
      <c r="AB10478" s="38"/>
    </row>
    <row r="10479">
      <c r="P10479" s="42"/>
      <c r="AB10479" s="38"/>
    </row>
    <row r="10480">
      <c r="P10480" s="42"/>
      <c r="AB10480" s="38"/>
    </row>
    <row r="10481">
      <c r="P10481" s="42"/>
      <c r="AB10481" s="38"/>
    </row>
    <row r="10482">
      <c r="P10482" s="42"/>
      <c r="AB10482" s="38"/>
    </row>
    <row r="10483">
      <c r="P10483" s="42"/>
      <c r="AB10483" s="38"/>
    </row>
    <row r="10484">
      <c r="P10484" s="42"/>
      <c r="AB10484" s="38"/>
    </row>
    <row r="10485">
      <c r="P10485" s="42"/>
      <c r="AB10485" s="38"/>
    </row>
    <row r="10486">
      <c r="P10486" s="42"/>
      <c r="AB10486" s="38"/>
    </row>
    <row r="10487">
      <c r="P10487" s="42"/>
      <c r="AB10487" s="38"/>
    </row>
    <row r="10488">
      <c r="P10488" s="42"/>
      <c r="AB10488" s="38"/>
    </row>
    <row r="10489">
      <c r="P10489" s="42"/>
      <c r="AB10489" s="38"/>
    </row>
    <row r="10490">
      <c r="P10490" s="42"/>
      <c r="AB10490" s="38"/>
    </row>
    <row r="10491">
      <c r="P10491" s="42"/>
      <c r="AB10491" s="38"/>
    </row>
    <row r="10492">
      <c r="P10492" s="42"/>
      <c r="AB10492" s="38"/>
    </row>
    <row r="10493">
      <c r="P10493" s="42"/>
      <c r="AB10493" s="38"/>
    </row>
    <row r="10494">
      <c r="P10494" s="42"/>
      <c r="AB10494" s="38"/>
    </row>
    <row r="10495">
      <c r="P10495" s="42"/>
      <c r="AB10495" s="38"/>
    </row>
    <row r="10496">
      <c r="P10496" s="42"/>
      <c r="AB10496" s="38"/>
    </row>
    <row r="10497">
      <c r="P10497" s="42"/>
      <c r="AB10497" s="38"/>
    </row>
    <row r="10498">
      <c r="P10498" s="42"/>
      <c r="AB10498" s="38"/>
    </row>
    <row r="10499">
      <c r="P10499" s="42"/>
      <c r="AB10499" s="38"/>
    </row>
    <row r="10500">
      <c r="P10500" s="42"/>
      <c r="AB10500" s="38"/>
    </row>
    <row r="10501">
      <c r="P10501" s="42"/>
      <c r="AB10501" s="38"/>
    </row>
    <row r="10502">
      <c r="P10502" s="42"/>
      <c r="AB10502" s="38"/>
    </row>
    <row r="10503">
      <c r="P10503" s="42"/>
      <c r="AB10503" s="38"/>
    </row>
    <row r="10504">
      <c r="P10504" s="42"/>
      <c r="AB10504" s="38"/>
    </row>
    <row r="10505">
      <c r="P10505" s="42"/>
      <c r="AB10505" s="38"/>
    </row>
    <row r="10506">
      <c r="P10506" s="42"/>
      <c r="AB10506" s="38"/>
    </row>
    <row r="10507">
      <c r="P10507" s="42"/>
      <c r="AB10507" s="38"/>
    </row>
    <row r="10508">
      <c r="P10508" s="42"/>
      <c r="AB10508" s="38"/>
    </row>
    <row r="10509">
      <c r="P10509" s="42"/>
      <c r="AB10509" s="38"/>
    </row>
    <row r="10510">
      <c r="P10510" s="42"/>
      <c r="AB10510" s="38"/>
    </row>
    <row r="10511">
      <c r="P10511" s="42"/>
      <c r="AB10511" s="38"/>
    </row>
    <row r="10512">
      <c r="P10512" s="42"/>
      <c r="AB10512" s="38"/>
    </row>
    <row r="10513">
      <c r="P10513" s="42"/>
      <c r="AB10513" s="38"/>
    </row>
    <row r="10514">
      <c r="P10514" s="42"/>
      <c r="AB10514" s="38"/>
    </row>
    <row r="10515">
      <c r="P10515" s="42"/>
      <c r="AB10515" s="38"/>
    </row>
    <row r="10516">
      <c r="P10516" s="42"/>
      <c r="AB10516" s="38"/>
    </row>
    <row r="10517">
      <c r="P10517" s="42"/>
      <c r="AB10517" s="38"/>
    </row>
    <row r="10518">
      <c r="P10518" s="42"/>
      <c r="AB10518" s="38"/>
    </row>
    <row r="10519">
      <c r="P10519" s="42"/>
      <c r="AB10519" s="38"/>
    </row>
    <row r="10520">
      <c r="P10520" s="42"/>
      <c r="AB10520" s="38"/>
    </row>
    <row r="10521">
      <c r="P10521" s="42"/>
      <c r="AB10521" s="38"/>
    </row>
    <row r="10522">
      <c r="P10522" s="42"/>
      <c r="AB10522" s="38"/>
    </row>
    <row r="10523">
      <c r="P10523" s="42"/>
      <c r="AB10523" s="38"/>
    </row>
    <row r="10524">
      <c r="P10524" s="42"/>
      <c r="AB10524" s="38"/>
    </row>
    <row r="10525">
      <c r="P10525" s="42"/>
      <c r="AB10525" s="38"/>
    </row>
    <row r="10526">
      <c r="P10526" s="42"/>
      <c r="AB10526" s="38"/>
    </row>
    <row r="10527">
      <c r="P10527" s="42"/>
      <c r="AB10527" s="38"/>
    </row>
    <row r="10528">
      <c r="P10528" s="42"/>
      <c r="AB10528" s="38"/>
    </row>
    <row r="10529">
      <c r="P10529" s="42"/>
      <c r="AB10529" s="38"/>
    </row>
    <row r="10530">
      <c r="P10530" s="42"/>
      <c r="AB10530" s="38"/>
    </row>
    <row r="10531">
      <c r="P10531" s="42"/>
      <c r="AB10531" s="38"/>
    </row>
    <row r="10532">
      <c r="P10532" s="42"/>
      <c r="AB10532" s="38"/>
    </row>
    <row r="10533">
      <c r="P10533" s="42"/>
      <c r="AB10533" s="38"/>
    </row>
    <row r="10534">
      <c r="P10534" s="42"/>
      <c r="AB10534" s="38"/>
    </row>
    <row r="10535">
      <c r="P10535" s="42"/>
      <c r="AB10535" s="38"/>
    </row>
    <row r="10536">
      <c r="P10536" s="42"/>
      <c r="AB10536" s="38"/>
    </row>
    <row r="10537">
      <c r="P10537" s="42"/>
      <c r="AB10537" s="38"/>
    </row>
    <row r="10538">
      <c r="P10538" s="42"/>
      <c r="AB10538" s="38"/>
    </row>
    <row r="10539">
      <c r="P10539" s="42"/>
      <c r="AB10539" s="38"/>
    </row>
    <row r="10540">
      <c r="P10540" s="42"/>
      <c r="AB10540" s="38"/>
    </row>
    <row r="10541">
      <c r="P10541" s="42"/>
      <c r="AB10541" s="38"/>
    </row>
    <row r="10542">
      <c r="P10542" s="42"/>
      <c r="AB10542" s="38"/>
    </row>
    <row r="10543">
      <c r="P10543" s="42"/>
      <c r="AB10543" s="38"/>
    </row>
    <row r="10544">
      <c r="P10544" s="42"/>
      <c r="AB10544" s="38"/>
    </row>
    <row r="10545">
      <c r="P10545" s="42"/>
      <c r="AB10545" s="38"/>
    </row>
    <row r="10546">
      <c r="P10546" s="42"/>
      <c r="AB10546" s="38"/>
    </row>
    <row r="10547">
      <c r="P10547" s="42"/>
      <c r="AB10547" s="38"/>
    </row>
    <row r="10548">
      <c r="P10548" s="42"/>
      <c r="AB10548" s="38"/>
    </row>
    <row r="10549">
      <c r="P10549" s="42"/>
      <c r="AB10549" s="38"/>
    </row>
    <row r="10550">
      <c r="P10550" s="42"/>
      <c r="AB10550" s="38"/>
    </row>
    <row r="10551">
      <c r="P10551" s="42"/>
      <c r="AB10551" s="38"/>
    </row>
    <row r="10552">
      <c r="P10552" s="42"/>
      <c r="AB10552" s="38"/>
    </row>
    <row r="10553">
      <c r="P10553" s="42"/>
      <c r="AB10553" s="38"/>
    </row>
    <row r="10554">
      <c r="P10554" s="42"/>
      <c r="AB10554" s="38"/>
    </row>
    <row r="10555">
      <c r="P10555" s="42"/>
      <c r="AB10555" s="38"/>
    </row>
    <row r="10556">
      <c r="P10556" s="42"/>
      <c r="AB10556" s="38"/>
    </row>
    <row r="10557">
      <c r="P10557" s="42"/>
      <c r="AB10557" s="38"/>
    </row>
    <row r="10558">
      <c r="P10558" s="42"/>
      <c r="AB10558" s="38"/>
    </row>
    <row r="10559">
      <c r="P10559" s="42"/>
      <c r="AB10559" s="38"/>
    </row>
    <row r="10560">
      <c r="P10560" s="42"/>
      <c r="AB10560" s="38"/>
    </row>
    <row r="10561">
      <c r="P10561" s="42"/>
      <c r="AB10561" s="38"/>
    </row>
    <row r="10562">
      <c r="P10562" s="42"/>
      <c r="AB10562" s="38"/>
    </row>
    <row r="10563">
      <c r="P10563" s="42"/>
      <c r="AB10563" s="38"/>
    </row>
    <row r="10564">
      <c r="P10564" s="42"/>
      <c r="AB10564" s="38"/>
    </row>
    <row r="10565">
      <c r="P10565" s="42"/>
      <c r="AB10565" s="38"/>
    </row>
    <row r="10566">
      <c r="P10566" s="42"/>
      <c r="AB10566" s="38"/>
    </row>
    <row r="10567">
      <c r="P10567" s="42"/>
      <c r="AB10567" s="38"/>
    </row>
    <row r="10568">
      <c r="P10568" s="42"/>
      <c r="AB10568" s="38"/>
    </row>
    <row r="10569">
      <c r="P10569" s="42"/>
      <c r="AB10569" s="38"/>
    </row>
    <row r="10570">
      <c r="P10570" s="42"/>
      <c r="AB10570" s="38"/>
    </row>
    <row r="10571">
      <c r="P10571" s="42"/>
      <c r="AB10571" s="38"/>
    </row>
    <row r="10572">
      <c r="P10572" s="42"/>
      <c r="AB10572" s="38"/>
    </row>
    <row r="10573">
      <c r="P10573" s="42"/>
      <c r="AB10573" s="38"/>
    </row>
    <row r="10574">
      <c r="P10574" s="42"/>
      <c r="AB10574" s="38"/>
    </row>
    <row r="10575">
      <c r="P10575" s="42"/>
      <c r="AB10575" s="38"/>
    </row>
    <row r="10576">
      <c r="P10576" s="42"/>
      <c r="AB10576" s="38"/>
    </row>
    <row r="10577">
      <c r="P10577" s="42"/>
      <c r="AB10577" s="38"/>
    </row>
    <row r="10578">
      <c r="P10578" s="42"/>
      <c r="AB10578" s="38"/>
    </row>
    <row r="10579">
      <c r="P10579" s="42"/>
      <c r="AB10579" s="38"/>
    </row>
    <row r="10580">
      <c r="P10580" s="42"/>
      <c r="AB10580" s="38"/>
    </row>
    <row r="10581">
      <c r="P10581" s="42"/>
      <c r="AB10581" s="38"/>
    </row>
    <row r="10582">
      <c r="P10582" s="42"/>
      <c r="AB10582" s="38"/>
    </row>
    <row r="10583">
      <c r="P10583" s="42"/>
      <c r="AB10583" s="38"/>
    </row>
    <row r="10584">
      <c r="P10584" s="42"/>
      <c r="AB10584" s="38"/>
    </row>
    <row r="10585">
      <c r="P10585" s="42"/>
      <c r="AB10585" s="38"/>
    </row>
    <row r="10586">
      <c r="P10586" s="42"/>
      <c r="AB10586" s="38"/>
    </row>
    <row r="10587">
      <c r="P10587" s="42"/>
      <c r="AB10587" s="38"/>
    </row>
    <row r="10588">
      <c r="P10588" s="42"/>
      <c r="AB10588" s="38"/>
    </row>
    <row r="10589">
      <c r="P10589" s="42"/>
      <c r="AB10589" s="38"/>
    </row>
    <row r="10590">
      <c r="P10590" s="42"/>
      <c r="AB10590" s="38"/>
    </row>
    <row r="10591">
      <c r="P10591" s="42"/>
      <c r="AB10591" s="38"/>
    </row>
    <row r="10592">
      <c r="P10592" s="42"/>
      <c r="AB10592" s="38"/>
    </row>
    <row r="10593">
      <c r="P10593" s="42"/>
      <c r="AB10593" s="38"/>
    </row>
    <row r="10594">
      <c r="P10594" s="42"/>
      <c r="AB10594" s="38"/>
    </row>
    <row r="10595">
      <c r="P10595" s="42"/>
      <c r="AB10595" s="38"/>
    </row>
    <row r="10596">
      <c r="P10596" s="42"/>
      <c r="AB10596" s="38"/>
    </row>
    <row r="10597">
      <c r="P10597" s="42"/>
      <c r="AB10597" s="38"/>
    </row>
    <row r="10598">
      <c r="P10598" s="42"/>
      <c r="AB10598" s="38"/>
    </row>
    <row r="10599">
      <c r="P10599" s="42"/>
      <c r="AB10599" s="38"/>
    </row>
    <row r="10600">
      <c r="P10600" s="42"/>
      <c r="AB10600" s="38"/>
    </row>
    <row r="10601">
      <c r="P10601" s="42"/>
      <c r="AB10601" s="38"/>
    </row>
    <row r="10602">
      <c r="P10602" s="42"/>
      <c r="AB10602" s="38"/>
    </row>
    <row r="10603">
      <c r="P10603" s="42"/>
      <c r="AB10603" s="38"/>
    </row>
    <row r="10604">
      <c r="P10604" s="42"/>
      <c r="AB10604" s="38"/>
    </row>
    <row r="10605">
      <c r="P10605" s="42"/>
      <c r="AB10605" s="38"/>
    </row>
    <row r="10606">
      <c r="P10606" s="42"/>
      <c r="AB10606" s="38"/>
    </row>
    <row r="10607">
      <c r="P10607" s="42"/>
      <c r="AB10607" s="38"/>
    </row>
    <row r="10608">
      <c r="P10608" s="42"/>
      <c r="AB10608" s="38"/>
    </row>
    <row r="10609">
      <c r="P10609" s="42"/>
      <c r="AB10609" s="38"/>
    </row>
    <row r="10610">
      <c r="P10610" s="42"/>
      <c r="AB10610" s="38"/>
    </row>
    <row r="10611">
      <c r="P10611" s="42"/>
      <c r="AB10611" s="38"/>
    </row>
    <row r="10612">
      <c r="P10612" s="42"/>
      <c r="AB10612" s="38"/>
    </row>
    <row r="10613">
      <c r="P10613" s="42"/>
      <c r="AB10613" s="38"/>
    </row>
    <row r="10614">
      <c r="P10614" s="42"/>
      <c r="AB10614" s="38"/>
    </row>
    <row r="10615">
      <c r="P10615" s="42"/>
      <c r="AB10615" s="38"/>
    </row>
    <row r="10616">
      <c r="P10616" s="42"/>
      <c r="AB10616" s="38"/>
    </row>
    <row r="10617">
      <c r="P10617" s="42"/>
      <c r="AB10617" s="38"/>
    </row>
    <row r="10618">
      <c r="P10618" s="42"/>
      <c r="AB10618" s="38"/>
    </row>
    <row r="10619">
      <c r="P10619" s="42"/>
      <c r="AB10619" s="38"/>
    </row>
    <row r="10620">
      <c r="P10620" s="42"/>
      <c r="AB10620" s="38"/>
    </row>
    <row r="10621">
      <c r="P10621" s="42"/>
      <c r="AB10621" s="38"/>
    </row>
    <row r="10622">
      <c r="P10622" s="42"/>
      <c r="AB10622" s="38"/>
    </row>
    <row r="10623">
      <c r="P10623" s="42"/>
      <c r="AB10623" s="38"/>
    </row>
    <row r="10624">
      <c r="P10624" s="42"/>
      <c r="AB10624" s="38"/>
    </row>
    <row r="10625">
      <c r="P10625" s="42"/>
      <c r="AB10625" s="38"/>
    </row>
    <row r="10626">
      <c r="P10626" s="42"/>
      <c r="AB10626" s="38"/>
    </row>
    <row r="10627">
      <c r="P10627" s="42"/>
      <c r="AB10627" s="38"/>
    </row>
    <row r="10628">
      <c r="P10628" s="42"/>
      <c r="AB10628" s="38"/>
    </row>
    <row r="10629">
      <c r="P10629" s="42"/>
      <c r="AB10629" s="38"/>
    </row>
    <row r="10630">
      <c r="P10630" s="42"/>
      <c r="AB10630" s="38"/>
    </row>
    <row r="10631">
      <c r="P10631" s="42"/>
      <c r="AB10631" s="38"/>
    </row>
    <row r="10632">
      <c r="P10632" s="42"/>
      <c r="AB10632" s="38"/>
    </row>
    <row r="10633">
      <c r="P10633" s="42"/>
      <c r="AB10633" s="38"/>
    </row>
    <row r="10634">
      <c r="P10634" s="42"/>
      <c r="AB10634" s="38"/>
    </row>
    <row r="10635">
      <c r="P10635" s="42"/>
      <c r="AB10635" s="38"/>
    </row>
    <row r="10636">
      <c r="P10636" s="42"/>
      <c r="AB10636" s="38"/>
    </row>
    <row r="10637">
      <c r="P10637" s="42"/>
      <c r="AB10637" s="38"/>
    </row>
    <row r="10638">
      <c r="P10638" s="42"/>
      <c r="AB10638" s="38"/>
    </row>
    <row r="10639">
      <c r="P10639" s="42"/>
      <c r="AB10639" s="38"/>
    </row>
    <row r="10640">
      <c r="P10640" s="42"/>
      <c r="AB10640" s="38"/>
    </row>
    <row r="10641">
      <c r="P10641" s="42"/>
      <c r="AB10641" s="38"/>
    </row>
    <row r="10642">
      <c r="P10642" s="42"/>
      <c r="AB10642" s="38"/>
    </row>
    <row r="10643">
      <c r="P10643" s="42"/>
      <c r="AB10643" s="38"/>
    </row>
    <row r="10644">
      <c r="P10644" s="42"/>
      <c r="AB10644" s="38"/>
    </row>
    <row r="10645">
      <c r="P10645" s="42"/>
      <c r="AB10645" s="38"/>
    </row>
    <row r="10646">
      <c r="P10646" s="42"/>
      <c r="AB10646" s="38"/>
    </row>
    <row r="10647">
      <c r="P10647" s="42"/>
      <c r="AB10647" s="38"/>
    </row>
    <row r="10648">
      <c r="P10648" s="42"/>
      <c r="AB10648" s="38"/>
    </row>
    <row r="10649">
      <c r="P10649" s="42"/>
      <c r="AB10649" s="38"/>
    </row>
    <row r="10650">
      <c r="P10650" s="42"/>
      <c r="AB10650" s="38"/>
    </row>
    <row r="10651">
      <c r="P10651" s="42"/>
      <c r="AB10651" s="38"/>
    </row>
    <row r="10652">
      <c r="P10652" s="42"/>
      <c r="AB10652" s="38"/>
    </row>
    <row r="10653">
      <c r="P10653" s="42"/>
      <c r="AB10653" s="38"/>
    </row>
    <row r="10654">
      <c r="P10654" s="42"/>
      <c r="AB10654" s="38"/>
    </row>
    <row r="10655">
      <c r="P10655" s="42"/>
      <c r="AB10655" s="38"/>
    </row>
    <row r="10656">
      <c r="P10656" s="42"/>
      <c r="AB10656" s="38"/>
    </row>
    <row r="10657">
      <c r="P10657" s="42"/>
      <c r="AB10657" s="38"/>
    </row>
    <row r="10658">
      <c r="P10658" s="42"/>
      <c r="AB10658" s="38"/>
    </row>
    <row r="10659">
      <c r="P10659" s="42"/>
      <c r="AB10659" s="38"/>
    </row>
    <row r="10660">
      <c r="P10660" s="42"/>
      <c r="AB10660" s="38"/>
    </row>
    <row r="10661">
      <c r="P10661" s="42"/>
      <c r="AB10661" s="38"/>
    </row>
    <row r="10662">
      <c r="P10662" s="42"/>
      <c r="AB10662" s="38"/>
    </row>
    <row r="10663">
      <c r="P10663" s="42"/>
      <c r="AB10663" s="38"/>
    </row>
    <row r="10664">
      <c r="P10664" s="42"/>
      <c r="AB10664" s="38"/>
    </row>
    <row r="10665">
      <c r="P10665" s="42"/>
      <c r="AB10665" s="38"/>
    </row>
    <row r="10666">
      <c r="P10666" s="42"/>
      <c r="AB10666" s="38"/>
    </row>
    <row r="10667">
      <c r="P10667" s="42"/>
      <c r="AB10667" s="38"/>
    </row>
    <row r="10668">
      <c r="P10668" s="42"/>
      <c r="AB10668" s="38"/>
    </row>
    <row r="10669">
      <c r="P10669" s="42"/>
      <c r="AB10669" s="38"/>
    </row>
    <row r="10670">
      <c r="P10670" s="42"/>
      <c r="AB10670" s="38"/>
    </row>
    <row r="10671">
      <c r="P10671" s="42"/>
      <c r="AB10671" s="38"/>
    </row>
    <row r="10672">
      <c r="P10672" s="42"/>
      <c r="AB10672" s="38"/>
    </row>
    <row r="10673">
      <c r="P10673" s="42"/>
      <c r="AB10673" s="38"/>
    </row>
    <row r="10674">
      <c r="P10674" s="42"/>
      <c r="AB10674" s="38"/>
    </row>
    <row r="10675">
      <c r="P10675" s="42"/>
      <c r="AB10675" s="38"/>
    </row>
    <row r="10676">
      <c r="P10676" s="42"/>
      <c r="AB10676" s="38"/>
    </row>
    <row r="10677">
      <c r="P10677" s="42"/>
      <c r="AB10677" s="38"/>
    </row>
    <row r="10678">
      <c r="P10678" s="42"/>
      <c r="AB10678" s="38"/>
    </row>
    <row r="10679">
      <c r="P10679" s="42"/>
      <c r="AB10679" s="38"/>
    </row>
    <row r="10680">
      <c r="P10680" s="42"/>
      <c r="AB10680" s="38"/>
    </row>
    <row r="10681">
      <c r="P10681" s="42"/>
      <c r="AB10681" s="38"/>
    </row>
    <row r="10682">
      <c r="P10682" s="42"/>
      <c r="AB10682" s="38"/>
    </row>
    <row r="10683">
      <c r="P10683" s="42"/>
      <c r="AB10683" s="38"/>
    </row>
    <row r="10684">
      <c r="P10684" s="42"/>
      <c r="AB10684" s="38"/>
    </row>
    <row r="10685">
      <c r="P10685" s="42"/>
      <c r="AB10685" s="38"/>
    </row>
    <row r="10686">
      <c r="P10686" s="42"/>
      <c r="AB10686" s="38"/>
    </row>
    <row r="10687">
      <c r="P10687" s="42"/>
      <c r="AB10687" s="38"/>
    </row>
    <row r="10688">
      <c r="P10688" s="42"/>
      <c r="AB10688" s="38"/>
    </row>
    <row r="10689">
      <c r="P10689" s="42"/>
      <c r="AB10689" s="38"/>
    </row>
    <row r="10690">
      <c r="P10690" s="42"/>
      <c r="AB10690" s="38"/>
    </row>
    <row r="10691">
      <c r="P10691" s="42"/>
      <c r="AB10691" s="38"/>
    </row>
    <row r="10692">
      <c r="P10692" s="42"/>
      <c r="AB10692" s="38"/>
    </row>
    <row r="10693">
      <c r="P10693" s="42"/>
      <c r="AB10693" s="38"/>
    </row>
    <row r="10694">
      <c r="P10694" s="42"/>
      <c r="AB10694" s="38"/>
    </row>
    <row r="10695">
      <c r="P10695" s="42"/>
      <c r="AB10695" s="38"/>
    </row>
    <row r="10696">
      <c r="P10696" s="42"/>
      <c r="AB10696" s="38"/>
    </row>
    <row r="10697">
      <c r="P10697" s="42"/>
      <c r="AB10697" s="38"/>
    </row>
    <row r="10698">
      <c r="P10698" s="42"/>
      <c r="AB10698" s="38"/>
    </row>
    <row r="10699">
      <c r="P10699" s="42"/>
      <c r="AB10699" s="38"/>
    </row>
    <row r="10700">
      <c r="P10700" s="42"/>
      <c r="AB10700" s="38"/>
    </row>
    <row r="10701">
      <c r="P10701" s="42"/>
      <c r="AB10701" s="38"/>
    </row>
    <row r="10702">
      <c r="P10702" s="42"/>
      <c r="AB10702" s="38"/>
    </row>
    <row r="10703">
      <c r="P10703" s="42"/>
      <c r="AB10703" s="38"/>
    </row>
    <row r="10704">
      <c r="P10704" s="42"/>
      <c r="AB10704" s="38"/>
    </row>
    <row r="10705">
      <c r="P10705" s="42"/>
      <c r="AB10705" s="38"/>
    </row>
    <row r="10706">
      <c r="P10706" s="42"/>
      <c r="AB10706" s="38"/>
    </row>
    <row r="10707">
      <c r="P10707" s="42"/>
      <c r="AB10707" s="38"/>
    </row>
    <row r="10708">
      <c r="P10708" s="42"/>
      <c r="AB10708" s="38"/>
    </row>
    <row r="10709">
      <c r="P10709" s="42"/>
      <c r="AB10709" s="38"/>
    </row>
    <row r="10710">
      <c r="P10710" s="42"/>
      <c r="AB10710" s="38"/>
    </row>
    <row r="10711">
      <c r="P10711" s="42"/>
      <c r="AB10711" s="38"/>
    </row>
    <row r="10712">
      <c r="P10712" s="42"/>
      <c r="AB10712" s="38"/>
    </row>
    <row r="10713">
      <c r="P10713" s="42"/>
      <c r="AB10713" s="38"/>
    </row>
    <row r="10714">
      <c r="P10714" s="42"/>
      <c r="AB10714" s="38"/>
    </row>
    <row r="10715">
      <c r="P10715" s="42"/>
      <c r="AB10715" s="38"/>
    </row>
    <row r="10716">
      <c r="P10716" s="42"/>
      <c r="AB10716" s="38"/>
    </row>
    <row r="10717">
      <c r="P10717" s="42"/>
      <c r="AB10717" s="38"/>
    </row>
    <row r="10718">
      <c r="P10718" s="42"/>
      <c r="AB10718" s="38"/>
    </row>
    <row r="10719">
      <c r="P10719" s="42"/>
      <c r="AB10719" s="38"/>
    </row>
    <row r="10720">
      <c r="P10720" s="42"/>
      <c r="AB10720" s="38"/>
    </row>
    <row r="10721">
      <c r="P10721" s="42"/>
      <c r="AB10721" s="38"/>
    </row>
    <row r="10722">
      <c r="P10722" s="42"/>
      <c r="AB10722" s="38"/>
    </row>
    <row r="10723">
      <c r="P10723" s="42"/>
      <c r="AB10723" s="38"/>
    </row>
    <row r="10724">
      <c r="P10724" s="42"/>
      <c r="AB10724" s="38"/>
    </row>
    <row r="10725">
      <c r="P10725" s="42"/>
      <c r="AB10725" s="38"/>
    </row>
    <row r="10726">
      <c r="P10726" s="42"/>
      <c r="AB10726" s="38"/>
    </row>
    <row r="10727">
      <c r="P10727" s="42"/>
      <c r="AB10727" s="38"/>
    </row>
    <row r="10728">
      <c r="P10728" s="42"/>
      <c r="AB10728" s="38"/>
    </row>
    <row r="10729">
      <c r="P10729" s="42"/>
      <c r="AB10729" s="38"/>
    </row>
    <row r="10730">
      <c r="P10730" s="42"/>
      <c r="AB10730" s="38"/>
    </row>
    <row r="10731">
      <c r="P10731" s="42"/>
      <c r="AB10731" s="38"/>
    </row>
    <row r="10732">
      <c r="P10732" s="42"/>
      <c r="AB10732" s="38"/>
    </row>
    <row r="10733">
      <c r="P10733" s="42"/>
      <c r="AB10733" s="38"/>
    </row>
    <row r="10734">
      <c r="P10734" s="42"/>
      <c r="AB10734" s="38"/>
    </row>
    <row r="10735">
      <c r="P10735" s="42"/>
      <c r="AB10735" s="38"/>
    </row>
    <row r="10736">
      <c r="P10736" s="42"/>
      <c r="AB10736" s="38"/>
    </row>
    <row r="10737">
      <c r="P10737" s="42"/>
      <c r="AB10737" s="38"/>
    </row>
    <row r="10738">
      <c r="P10738" s="42"/>
      <c r="AB10738" s="38"/>
    </row>
    <row r="10739">
      <c r="P10739" s="42"/>
      <c r="AB10739" s="38"/>
    </row>
    <row r="10740">
      <c r="P10740" s="42"/>
      <c r="AB10740" s="38"/>
    </row>
    <row r="10741">
      <c r="P10741" s="42"/>
      <c r="AB10741" s="38"/>
    </row>
    <row r="10742">
      <c r="P10742" s="42"/>
      <c r="AB10742" s="38"/>
    </row>
    <row r="10743">
      <c r="P10743" s="42"/>
      <c r="AB10743" s="38"/>
    </row>
    <row r="10744">
      <c r="P10744" s="42"/>
      <c r="AB10744" s="38"/>
    </row>
    <row r="10745">
      <c r="P10745" s="42"/>
      <c r="AB10745" s="38"/>
    </row>
    <row r="10746">
      <c r="P10746" s="42"/>
      <c r="AB10746" s="38"/>
    </row>
    <row r="10747">
      <c r="P10747" s="42"/>
      <c r="AB10747" s="38"/>
    </row>
    <row r="10748">
      <c r="P10748" s="42"/>
      <c r="AB10748" s="38"/>
    </row>
    <row r="10749">
      <c r="P10749" s="42"/>
      <c r="AB10749" s="38"/>
    </row>
    <row r="10750">
      <c r="P10750" s="42"/>
      <c r="AB10750" s="38"/>
    </row>
    <row r="10751">
      <c r="P10751" s="42"/>
      <c r="AB10751" s="38"/>
    </row>
    <row r="10752">
      <c r="P10752" s="42"/>
      <c r="AB10752" s="38"/>
    </row>
    <row r="10753">
      <c r="P10753" s="42"/>
      <c r="AB10753" s="38"/>
    </row>
    <row r="10754">
      <c r="P10754" s="42"/>
      <c r="AB10754" s="38"/>
    </row>
    <row r="10755">
      <c r="P10755" s="42"/>
      <c r="AB10755" s="38"/>
    </row>
    <row r="10756">
      <c r="P10756" s="42"/>
      <c r="AB10756" s="38"/>
    </row>
    <row r="10757">
      <c r="P10757" s="42"/>
      <c r="AB10757" s="38"/>
    </row>
    <row r="10758">
      <c r="P10758" s="42"/>
      <c r="AB10758" s="38"/>
    </row>
    <row r="10759">
      <c r="P10759" s="42"/>
      <c r="AB10759" s="38"/>
    </row>
    <row r="10760">
      <c r="P10760" s="42"/>
      <c r="AB10760" s="38"/>
    </row>
    <row r="10761">
      <c r="P10761" s="42"/>
      <c r="AB10761" s="38"/>
    </row>
    <row r="10762">
      <c r="P10762" s="42"/>
      <c r="AB10762" s="38"/>
    </row>
    <row r="10763">
      <c r="P10763" s="42"/>
      <c r="AB10763" s="38"/>
    </row>
    <row r="10764">
      <c r="P10764" s="42"/>
      <c r="AB10764" s="38"/>
    </row>
    <row r="10765">
      <c r="P10765" s="42"/>
      <c r="AB10765" s="38"/>
    </row>
    <row r="10766">
      <c r="P10766" s="42"/>
      <c r="AB10766" s="38"/>
    </row>
    <row r="10767">
      <c r="P10767" s="42"/>
      <c r="AB10767" s="38"/>
    </row>
    <row r="10768">
      <c r="P10768" s="42"/>
      <c r="AB10768" s="38"/>
    </row>
    <row r="10769">
      <c r="P10769" s="42"/>
      <c r="AB10769" s="38"/>
    </row>
    <row r="10770">
      <c r="P10770" s="42"/>
      <c r="AB10770" s="38"/>
    </row>
    <row r="10771">
      <c r="P10771" s="42"/>
      <c r="AB10771" s="38"/>
    </row>
    <row r="10772">
      <c r="P10772" s="42"/>
      <c r="AB10772" s="38"/>
    </row>
    <row r="10773">
      <c r="P10773" s="42"/>
      <c r="AB10773" s="38"/>
    </row>
    <row r="10774">
      <c r="P10774" s="42"/>
      <c r="AB10774" s="38"/>
    </row>
    <row r="10775">
      <c r="P10775" s="42"/>
      <c r="AB10775" s="38"/>
    </row>
    <row r="10776">
      <c r="P10776" s="42"/>
      <c r="AB10776" s="38"/>
    </row>
    <row r="10777">
      <c r="P10777" s="42"/>
      <c r="AB10777" s="38"/>
    </row>
    <row r="10778">
      <c r="P10778" s="42"/>
      <c r="AB10778" s="38"/>
    </row>
    <row r="10779">
      <c r="P10779" s="42"/>
      <c r="AB10779" s="38"/>
    </row>
    <row r="10780">
      <c r="P10780" s="42"/>
      <c r="AB10780" s="38"/>
    </row>
    <row r="10781">
      <c r="P10781" s="42"/>
      <c r="AB10781" s="38"/>
    </row>
    <row r="10782">
      <c r="P10782" s="42"/>
      <c r="AB10782" s="38"/>
    </row>
    <row r="10783">
      <c r="P10783" s="42"/>
      <c r="AB10783" s="38"/>
    </row>
    <row r="10784">
      <c r="P10784" s="42"/>
      <c r="AB10784" s="38"/>
    </row>
    <row r="10785">
      <c r="P10785" s="42"/>
      <c r="AB10785" s="38"/>
    </row>
    <row r="10786">
      <c r="P10786" s="42"/>
      <c r="AB10786" s="38"/>
    </row>
    <row r="10787">
      <c r="P10787" s="42"/>
      <c r="AB10787" s="38"/>
    </row>
    <row r="10788">
      <c r="P10788" s="42"/>
      <c r="AB10788" s="38"/>
    </row>
    <row r="10789">
      <c r="P10789" s="42"/>
      <c r="AB10789" s="38"/>
    </row>
    <row r="10790">
      <c r="P10790" s="42"/>
      <c r="AB10790" s="38"/>
    </row>
    <row r="10791">
      <c r="P10791" s="42"/>
      <c r="AB10791" s="38"/>
    </row>
    <row r="10792">
      <c r="P10792" s="42"/>
      <c r="AB10792" s="38"/>
    </row>
    <row r="10793">
      <c r="P10793" s="42"/>
      <c r="AB10793" s="38"/>
    </row>
    <row r="10794">
      <c r="P10794" s="42"/>
      <c r="AB10794" s="38"/>
    </row>
    <row r="10795">
      <c r="P10795" s="42"/>
      <c r="AB10795" s="38"/>
    </row>
    <row r="10796">
      <c r="P10796" s="42"/>
      <c r="AB10796" s="38"/>
    </row>
    <row r="10797">
      <c r="P10797" s="42"/>
      <c r="AB10797" s="38"/>
    </row>
    <row r="10798">
      <c r="P10798" s="42"/>
      <c r="AB10798" s="38"/>
    </row>
    <row r="10799">
      <c r="P10799" s="42"/>
      <c r="AB10799" s="38"/>
    </row>
    <row r="10800">
      <c r="P10800" s="42"/>
      <c r="AB10800" s="38"/>
    </row>
    <row r="10801">
      <c r="P10801" s="42"/>
      <c r="AB10801" s="38"/>
    </row>
    <row r="10802">
      <c r="P10802" s="42"/>
      <c r="AB10802" s="38"/>
    </row>
    <row r="10803">
      <c r="P10803" s="42"/>
      <c r="AB10803" s="38"/>
    </row>
    <row r="10804">
      <c r="P10804" s="42"/>
      <c r="AB10804" s="38"/>
    </row>
    <row r="10805">
      <c r="P10805" s="42"/>
      <c r="AB10805" s="38"/>
    </row>
    <row r="10806">
      <c r="P10806" s="42"/>
      <c r="AB10806" s="38"/>
    </row>
    <row r="10807">
      <c r="P10807" s="42"/>
      <c r="AB10807" s="38"/>
    </row>
    <row r="10808">
      <c r="P10808" s="42"/>
      <c r="AB10808" s="38"/>
    </row>
    <row r="10809">
      <c r="P10809" s="42"/>
      <c r="AB10809" s="38"/>
    </row>
    <row r="10810">
      <c r="P10810" s="42"/>
      <c r="AB10810" s="38"/>
    </row>
    <row r="10811">
      <c r="P10811" s="42"/>
      <c r="AB10811" s="38"/>
    </row>
    <row r="10812">
      <c r="P10812" s="42"/>
      <c r="AB10812" s="38"/>
    </row>
    <row r="10813">
      <c r="P10813" s="42"/>
      <c r="AB10813" s="38"/>
    </row>
    <row r="10814">
      <c r="P10814" s="42"/>
      <c r="AB10814" s="38"/>
    </row>
    <row r="10815">
      <c r="P10815" s="42"/>
      <c r="AB10815" s="38"/>
    </row>
    <row r="10816">
      <c r="P10816" s="42"/>
      <c r="AB10816" s="38"/>
    </row>
    <row r="10817">
      <c r="P10817" s="42"/>
      <c r="AB10817" s="38"/>
    </row>
    <row r="10818">
      <c r="P10818" s="42"/>
      <c r="AB10818" s="38"/>
    </row>
    <row r="10819">
      <c r="P10819" s="42"/>
      <c r="AB10819" s="38"/>
    </row>
    <row r="10820">
      <c r="P10820" s="42"/>
      <c r="AB10820" s="38"/>
    </row>
    <row r="10821">
      <c r="P10821" s="42"/>
      <c r="AB10821" s="38"/>
    </row>
    <row r="10822">
      <c r="P10822" s="42"/>
      <c r="AB10822" s="38"/>
    </row>
    <row r="10823">
      <c r="P10823" s="42"/>
      <c r="AB10823" s="38"/>
    </row>
    <row r="10824">
      <c r="P10824" s="42"/>
      <c r="AB10824" s="38"/>
    </row>
    <row r="10825">
      <c r="P10825" s="42"/>
      <c r="AB10825" s="38"/>
    </row>
    <row r="10826">
      <c r="P10826" s="42"/>
      <c r="AB10826" s="38"/>
    </row>
    <row r="10827">
      <c r="P10827" s="42"/>
      <c r="AB10827" s="38"/>
    </row>
    <row r="10828">
      <c r="P10828" s="42"/>
      <c r="AB10828" s="38"/>
    </row>
    <row r="10829">
      <c r="P10829" s="42"/>
      <c r="AB10829" s="38"/>
    </row>
    <row r="10830">
      <c r="P10830" s="42"/>
      <c r="AB10830" s="38"/>
    </row>
    <row r="10831">
      <c r="P10831" s="42"/>
      <c r="AB10831" s="38"/>
    </row>
    <row r="10832">
      <c r="P10832" s="42"/>
      <c r="AB10832" s="38"/>
    </row>
    <row r="10833">
      <c r="P10833" s="42"/>
      <c r="AB10833" s="38"/>
    </row>
    <row r="10834">
      <c r="P10834" s="42"/>
      <c r="AB10834" s="38"/>
    </row>
    <row r="10835">
      <c r="P10835" s="42"/>
      <c r="AB10835" s="38"/>
    </row>
    <row r="10836">
      <c r="P10836" s="42"/>
      <c r="AB10836" s="38"/>
    </row>
    <row r="10837">
      <c r="P10837" s="42"/>
      <c r="AB10837" s="38"/>
    </row>
    <row r="10838">
      <c r="P10838" s="42"/>
      <c r="AB10838" s="38"/>
    </row>
    <row r="10839">
      <c r="P10839" s="42"/>
      <c r="AB10839" s="38"/>
    </row>
    <row r="10840">
      <c r="P10840" s="42"/>
      <c r="AB10840" s="38"/>
    </row>
    <row r="10841">
      <c r="P10841" s="42"/>
      <c r="AB10841" s="38"/>
    </row>
    <row r="10842">
      <c r="P10842" s="42"/>
      <c r="AB10842" s="38"/>
    </row>
    <row r="10843">
      <c r="P10843" s="42"/>
      <c r="AB10843" s="38"/>
    </row>
    <row r="10844">
      <c r="P10844" s="42"/>
      <c r="AB10844" s="38"/>
    </row>
    <row r="10845">
      <c r="P10845" s="42"/>
      <c r="AB10845" s="38"/>
    </row>
    <row r="10846">
      <c r="P10846" s="42"/>
      <c r="AB10846" s="38"/>
    </row>
    <row r="10847">
      <c r="P10847" s="42"/>
      <c r="AB10847" s="38"/>
    </row>
    <row r="10848">
      <c r="P10848" s="42"/>
      <c r="AB10848" s="38"/>
    </row>
    <row r="10849">
      <c r="P10849" s="42"/>
      <c r="AB10849" s="38"/>
    </row>
    <row r="10850">
      <c r="P10850" s="42"/>
      <c r="AB10850" s="38"/>
    </row>
    <row r="10851">
      <c r="P10851" s="42"/>
      <c r="AB10851" s="38"/>
    </row>
    <row r="10852">
      <c r="P10852" s="42"/>
      <c r="AB10852" s="38"/>
    </row>
    <row r="10853">
      <c r="P10853" s="42"/>
      <c r="AB10853" s="38"/>
    </row>
    <row r="10854">
      <c r="P10854" s="42"/>
      <c r="AB10854" s="38"/>
    </row>
    <row r="10855">
      <c r="P10855" s="42"/>
      <c r="AB10855" s="38"/>
    </row>
    <row r="10856">
      <c r="P10856" s="42"/>
      <c r="AB10856" s="38"/>
    </row>
    <row r="10857">
      <c r="P10857" s="42"/>
      <c r="AB10857" s="38"/>
    </row>
    <row r="10858">
      <c r="P10858" s="42"/>
      <c r="AB10858" s="38"/>
    </row>
    <row r="10859">
      <c r="P10859" s="42"/>
      <c r="AB10859" s="38"/>
    </row>
    <row r="10860">
      <c r="P10860" s="42"/>
      <c r="AB10860" s="38"/>
    </row>
    <row r="10861">
      <c r="P10861" s="42"/>
      <c r="AB10861" s="38"/>
    </row>
    <row r="10862">
      <c r="P10862" s="42"/>
      <c r="AB10862" s="38"/>
    </row>
    <row r="10863">
      <c r="P10863" s="42"/>
      <c r="AB10863" s="38"/>
    </row>
    <row r="10864">
      <c r="P10864" s="42"/>
      <c r="AB10864" s="38"/>
    </row>
    <row r="10865">
      <c r="P10865" s="42"/>
      <c r="AB10865" s="38"/>
    </row>
    <row r="10866">
      <c r="P10866" s="42"/>
      <c r="AB10866" s="38"/>
    </row>
    <row r="10867">
      <c r="P10867" s="42"/>
      <c r="AB10867" s="38"/>
    </row>
    <row r="10868">
      <c r="P10868" s="42"/>
      <c r="AB10868" s="38"/>
    </row>
    <row r="10869">
      <c r="P10869" s="42"/>
      <c r="AB10869" s="38"/>
    </row>
    <row r="10870">
      <c r="P10870" s="42"/>
      <c r="AB10870" s="38"/>
    </row>
    <row r="10871">
      <c r="P10871" s="42"/>
      <c r="AB10871" s="38"/>
    </row>
    <row r="10872">
      <c r="P10872" s="42"/>
      <c r="AB10872" s="38"/>
    </row>
    <row r="10873">
      <c r="P10873" s="42"/>
      <c r="AB10873" s="38"/>
    </row>
    <row r="10874">
      <c r="P10874" s="42"/>
      <c r="AB10874" s="38"/>
    </row>
    <row r="10875">
      <c r="P10875" s="42"/>
      <c r="AB10875" s="38"/>
    </row>
    <row r="10876">
      <c r="P10876" s="42"/>
      <c r="AB10876" s="38"/>
    </row>
    <row r="10877">
      <c r="P10877" s="42"/>
      <c r="AB10877" s="38"/>
    </row>
    <row r="10878">
      <c r="P10878" s="42"/>
      <c r="AB10878" s="38"/>
    </row>
    <row r="10879">
      <c r="P10879" s="42"/>
      <c r="AB10879" s="38"/>
    </row>
    <row r="10880">
      <c r="P10880" s="42"/>
      <c r="AB10880" s="38"/>
    </row>
    <row r="10881">
      <c r="P10881" s="42"/>
      <c r="AB10881" s="38"/>
    </row>
    <row r="10882">
      <c r="P10882" s="42"/>
      <c r="AB10882" s="38"/>
    </row>
    <row r="10883">
      <c r="P10883" s="42"/>
      <c r="AB10883" s="38"/>
    </row>
    <row r="10884">
      <c r="P10884" s="42"/>
      <c r="AB10884" s="38"/>
    </row>
    <row r="10885">
      <c r="P10885" s="42"/>
      <c r="AB10885" s="38"/>
    </row>
    <row r="10886">
      <c r="P10886" s="42"/>
      <c r="AB10886" s="38"/>
    </row>
    <row r="10887">
      <c r="P10887" s="42"/>
      <c r="AB10887" s="38"/>
    </row>
    <row r="10888">
      <c r="P10888" s="42"/>
      <c r="AB10888" s="38"/>
    </row>
    <row r="10889">
      <c r="P10889" s="42"/>
      <c r="AB10889" s="38"/>
    </row>
    <row r="10890">
      <c r="P10890" s="42"/>
      <c r="AB10890" s="38"/>
    </row>
    <row r="10891">
      <c r="P10891" s="42"/>
      <c r="AB10891" s="38"/>
    </row>
    <row r="10892">
      <c r="P10892" s="42"/>
      <c r="AB10892" s="38"/>
    </row>
    <row r="10893">
      <c r="P10893" s="42"/>
      <c r="AB10893" s="38"/>
    </row>
    <row r="10894">
      <c r="P10894" s="42"/>
      <c r="AB10894" s="38"/>
    </row>
    <row r="10895">
      <c r="P10895" s="42"/>
      <c r="AB10895" s="38"/>
    </row>
    <row r="10896">
      <c r="P10896" s="42"/>
      <c r="AB10896" s="38"/>
    </row>
    <row r="10897">
      <c r="P10897" s="42"/>
      <c r="AB10897" s="38"/>
    </row>
    <row r="10898">
      <c r="P10898" s="42"/>
      <c r="AB10898" s="38"/>
    </row>
    <row r="10899">
      <c r="P10899" s="42"/>
      <c r="AB10899" s="38"/>
    </row>
    <row r="10900">
      <c r="P10900" s="42"/>
      <c r="AB10900" s="38"/>
    </row>
    <row r="10901">
      <c r="P10901" s="42"/>
      <c r="AB10901" s="38"/>
    </row>
    <row r="10902">
      <c r="P10902" s="42"/>
      <c r="AB10902" s="38"/>
    </row>
    <row r="10903">
      <c r="P10903" s="42"/>
      <c r="AB10903" s="38"/>
    </row>
    <row r="10904">
      <c r="P10904" s="42"/>
      <c r="AB10904" s="38"/>
    </row>
    <row r="10905">
      <c r="P10905" s="42"/>
      <c r="AB10905" s="38"/>
    </row>
    <row r="10906">
      <c r="P10906" s="42"/>
      <c r="AB10906" s="38"/>
    </row>
    <row r="10907">
      <c r="P10907" s="42"/>
      <c r="AB10907" s="38"/>
    </row>
    <row r="10908">
      <c r="P10908" s="42"/>
      <c r="AB10908" s="38"/>
    </row>
    <row r="10909">
      <c r="P10909" s="42"/>
      <c r="AB10909" s="38"/>
    </row>
    <row r="10910">
      <c r="P10910" s="42"/>
      <c r="AB10910" s="38"/>
    </row>
    <row r="10911">
      <c r="P10911" s="42"/>
      <c r="AB10911" s="38"/>
    </row>
    <row r="10912">
      <c r="P10912" s="42"/>
      <c r="AB10912" s="38"/>
    </row>
    <row r="10913">
      <c r="P10913" s="42"/>
      <c r="AB10913" s="38"/>
    </row>
    <row r="10914">
      <c r="P10914" s="42"/>
      <c r="AB10914" s="38"/>
    </row>
    <row r="10915">
      <c r="P10915" s="42"/>
      <c r="AB10915" s="38"/>
    </row>
    <row r="10916">
      <c r="P10916" s="42"/>
      <c r="AB10916" s="38"/>
    </row>
    <row r="10917">
      <c r="P10917" s="42"/>
      <c r="AB10917" s="38"/>
    </row>
    <row r="10918">
      <c r="P10918" s="42"/>
      <c r="AB10918" s="38"/>
    </row>
    <row r="10919">
      <c r="P10919" s="42"/>
      <c r="AB10919" s="38"/>
    </row>
    <row r="10920">
      <c r="P10920" s="42"/>
      <c r="AB10920" s="38"/>
    </row>
    <row r="10921">
      <c r="P10921" s="42"/>
      <c r="AB10921" s="38"/>
    </row>
    <row r="10922">
      <c r="P10922" s="42"/>
      <c r="AB10922" s="38"/>
    </row>
    <row r="10923">
      <c r="P10923" s="42"/>
      <c r="AB10923" s="38"/>
    </row>
    <row r="10924">
      <c r="P10924" s="42"/>
      <c r="AB10924" s="38"/>
    </row>
    <row r="10925">
      <c r="P10925" s="42"/>
      <c r="AB10925" s="38"/>
    </row>
    <row r="10926">
      <c r="P10926" s="42"/>
      <c r="AB10926" s="38"/>
    </row>
    <row r="10927">
      <c r="P10927" s="42"/>
      <c r="AB10927" s="38"/>
    </row>
    <row r="10928">
      <c r="P10928" s="42"/>
      <c r="AB10928" s="38"/>
    </row>
    <row r="10929">
      <c r="P10929" s="42"/>
      <c r="AB10929" s="38"/>
    </row>
    <row r="10930">
      <c r="P10930" s="42"/>
      <c r="AB10930" s="38"/>
    </row>
    <row r="10931">
      <c r="P10931" s="42"/>
      <c r="AB10931" s="38"/>
    </row>
    <row r="10932">
      <c r="P10932" s="42"/>
      <c r="AB10932" s="38"/>
    </row>
    <row r="10933">
      <c r="P10933" s="42"/>
      <c r="AB10933" s="38"/>
    </row>
    <row r="10934">
      <c r="P10934" s="42"/>
      <c r="AB10934" s="38"/>
    </row>
    <row r="10935">
      <c r="P10935" s="42"/>
      <c r="AB10935" s="38"/>
    </row>
    <row r="10936">
      <c r="P10936" s="42"/>
      <c r="AB10936" s="38"/>
    </row>
    <row r="10937">
      <c r="P10937" s="42"/>
      <c r="AB10937" s="38"/>
    </row>
    <row r="10938">
      <c r="P10938" s="42"/>
      <c r="AB10938" s="38"/>
    </row>
    <row r="10939">
      <c r="P10939" s="42"/>
      <c r="AB10939" s="38"/>
    </row>
    <row r="10940">
      <c r="P10940" s="42"/>
      <c r="AB10940" s="38"/>
    </row>
    <row r="10941">
      <c r="P10941" s="42"/>
      <c r="AB10941" s="38"/>
    </row>
    <row r="10942">
      <c r="P10942" s="42"/>
      <c r="AB10942" s="38"/>
    </row>
    <row r="10943">
      <c r="P10943" s="42"/>
      <c r="AB10943" s="38"/>
    </row>
    <row r="10944">
      <c r="P10944" s="42"/>
      <c r="AB10944" s="38"/>
    </row>
    <row r="10945">
      <c r="P10945" s="42"/>
      <c r="AB10945" s="38"/>
    </row>
    <row r="10946">
      <c r="P10946" s="42"/>
      <c r="AB10946" s="38"/>
    </row>
    <row r="10947">
      <c r="P10947" s="42"/>
      <c r="AB10947" s="38"/>
    </row>
    <row r="10948">
      <c r="P10948" s="42"/>
      <c r="AB10948" s="38"/>
    </row>
    <row r="10949">
      <c r="P10949" s="42"/>
      <c r="AB10949" s="38"/>
    </row>
    <row r="10950">
      <c r="P10950" s="42"/>
      <c r="AB10950" s="38"/>
    </row>
    <row r="10951">
      <c r="P10951" s="42"/>
      <c r="AB10951" s="38"/>
    </row>
    <row r="10952">
      <c r="P10952" s="42"/>
      <c r="AB10952" s="38"/>
    </row>
    <row r="10953">
      <c r="P10953" s="42"/>
      <c r="AB10953" s="38"/>
    </row>
    <row r="10954">
      <c r="P10954" s="42"/>
      <c r="AB10954" s="38"/>
    </row>
    <row r="10955">
      <c r="P10955" s="42"/>
      <c r="AB10955" s="38"/>
    </row>
    <row r="10956">
      <c r="P10956" s="42"/>
      <c r="AB10956" s="38"/>
    </row>
    <row r="10957">
      <c r="P10957" s="42"/>
      <c r="AB10957" s="38"/>
    </row>
    <row r="10958">
      <c r="P10958" s="42"/>
      <c r="AB10958" s="38"/>
    </row>
    <row r="10959">
      <c r="P10959" s="42"/>
      <c r="AB10959" s="38"/>
    </row>
    <row r="10960">
      <c r="P10960" s="42"/>
      <c r="AB10960" s="38"/>
    </row>
    <row r="10961">
      <c r="P10961" s="42"/>
      <c r="AB10961" s="38"/>
    </row>
    <row r="10962">
      <c r="P10962" s="42"/>
      <c r="AB10962" s="38"/>
    </row>
    <row r="10963">
      <c r="P10963" s="42"/>
      <c r="AB10963" s="38"/>
    </row>
    <row r="10964">
      <c r="P10964" s="42"/>
      <c r="AB10964" s="38"/>
    </row>
    <row r="10965">
      <c r="P10965" s="42"/>
      <c r="AB10965" s="38"/>
    </row>
    <row r="10966">
      <c r="P10966" s="42"/>
      <c r="AB10966" s="38"/>
    </row>
    <row r="10967">
      <c r="P10967" s="42"/>
      <c r="AB10967" s="38"/>
    </row>
    <row r="10968">
      <c r="P10968" s="42"/>
      <c r="AB10968" s="38"/>
    </row>
    <row r="10969">
      <c r="P10969" s="42"/>
      <c r="AB10969" s="38"/>
    </row>
    <row r="10970">
      <c r="P10970" s="42"/>
      <c r="AB10970" s="38"/>
    </row>
    <row r="10971">
      <c r="P10971" s="42"/>
      <c r="AB10971" s="38"/>
    </row>
    <row r="10972">
      <c r="P10972" s="42"/>
      <c r="AB10972" s="38"/>
    </row>
    <row r="10973">
      <c r="P10973" s="42"/>
      <c r="AB10973" s="38"/>
    </row>
    <row r="10974">
      <c r="P10974" s="42"/>
      <c r="AB10974" s="38"/>
    </row>
    <row r="10975">
      <c r="P10975" s="42"/>
      <c r="AB10975" s="38"/>
    </row>
    <row r="10976">
      <c r="P10976" s="42"/>
      <c r="AB10976" s="38"/>
    </row>
    <row r="10977">
      <c r="P10977" s="42"/>
      <c r="AB10977" s="38"/>
    </row>
    <row r="10978">
      <c r="P10978" s="42"/>
      <c r="AB10978" s="38"/>
    </row>
    <row r="10979">
      <c r="P10979" s="42"/>
      <c r="AB10979" s="38"/>
    </row>
    <row r="10980">
      <c r="P10980" s="42"/>
      <c r="AB10980" s="38"/>
    </row>
    <row r="10981">
      <c r="P10981" s="42"/>
      <c r="AB10981" s="38"/>
    </row>
    <row r="10982">
      <c r="P10982" s="42"/>
      <c r="AB10982" s="38"/>
    </row>
    <row r="10983">
      <c r="P10983" s="42"/>
      <c r="AB10983" s="38"/>
    </row>
    <row r="10984">
      <c r="P10984" s="42"/>
      <c r="AB10984" s="38"/>
    </row>
    <row r="10985">
      <c r="P10985" s="42"/>
      <c r="AB10985" s="38"/>
    </row>
    <row r="10986">
      <c r="P10986" s="42"/>
      <c r="AB10986" s="38"/>
    </row>
    <row r="10987">
      <c r="P10987" s="42"/>
      <c r="AB10987" s="38"/>
    </row>
    <row r="10988">
      <c r="P10988" s="42"/>
      <c r="AB10988" s="38"/>
    </row>
    <row r="10989">
      <c r="P10989" s="42"/>
      <c r="AB10989" s="38"/>
    </row>
    <row r="10990">
      <c r="P10990" s="42"/>
      <c r="AB10990" s="38"/>
    </row>
    <row r="10991">
      <c r="P10991" s="42"/>
      <c r="AB10991" s="38"/>
    </row>
    <row r="10992">
      <c r="P10992" s="42"/>
      <c r="AB10992" s="38"/>
    </row>
    <row r="10993">
      <c r="P10993" s="42"/>
      <c r="AB10993" s="38"/>
    </row>
    <row r="10994">
      <c r="P10994" s="42"/>
      <c r="AB10994" s="38"/>
    </row>
    <row r="10995">
      <c r="P10995" s="42"/>
      <c r="AB10995" s="38"/>
    </row>
    <row r="10996">
      <c r="P10996" s="42"/>
      <c r="AB10996" s="38"/>
    </row>
    <row r="10997">
      <c r="P10997" s="42"/>
      <c r="AB10997" s="38"/>
    </row>
    <row r="10998">
      <c r="P10998" s="42"/>
      <c r="AB10998" s="38"/>
    </row>
    <row r="10999">
      <c r="P10999" s="42"/>
      <c r="AB10999" s="38"/>
    </row>
    <row r="11000">
      <c r="P11000" s="42"/>
      <c r="AB11000" s="38"/>
    </row>
    <row r="11001">
      <c r="P11001" s="42"/>
      <c r="AB11001" s="38"/>
    </row>
    <row r="11002">
      <c r="P11002" s="42"/>
      <c r="AB11002" s="38"/>
    </row>
    <row r="11003">
      <c r="P11003" s="42"/>
      <c r="AB11003" s="38"/>
    </row>
    <row r="11004">
      <c r="P11004" s="42"/>
      <c r="AB11004" s="38"/>
    </row>
    <row r="11005">
      <c r="P11005" s="42"/>
      <c r="AB11005" s="38"/>
    </row>
    <row r="11006">
      <c r="P11006" s="42"/>
      <c r="AB11006" s="38"/>
    </row>
    <row r="11007">
      <c r="P11007" s="42"/>
      <c r="AB11007" s="38"/>
    </row>
    <row r="11008">
      <c r="P11008" s="42"/>
      <c r="AB11008" s="38"/>
    </row>
    <row r="11009">
      <c r="P11009" s="42"/>
      <c r="AB11009" s="38"/>
    </row>
    <row r="11010">
      <c r="P11010" s="42"/>
      <c r="AB11010" s="38"/>
    </row>
    <row r="11011">
      <c r="P11011" s="42"/>
      <c r="AB11011" s="38"/>
    </row>
    <row r="11012">
      <c r="P11012" s="42"/>
      <c r="AB11012" s="38"/>
    </row>
    <row r="11013">
      <c r="P11013" s="42"/>
      <c r="AB11013" s="38"/>
    </row>
    <row r="11014">
      <c r="P11014" s="42"/>
      <c r="AB11014" s="38"/>
    </row>
    <row r="11015">
      <c r="P11015" s="42"/>
      <c r="AB11015" s="38"/>
    </row>
    <row r="11016">
      <c r="P11016" s="42"/>
      <c r="AB11016" s="38"/>
    </row>
    <row r="11017">
      <c r="P11017" s="42"/>
      <c r="AB11017" s="38"/>
    </row>
    <row r="11018">
      <c r="P11018" s="42"/>
      <c r="AB11018" s="38"/>
    </row>
    <row r="11019">
      <c r="P11019" s="42"/>
      <c r="AB11019" s="38"/>
    </row>
    <row r="11020">
      <c r="P11020" s="42"/>
      <c r="AB11020" s="38"/>
    </row>
    <row r="11021">
      <c r="P11021" s="42"/>
      <c r="AB11021" s="38"/>
    </row>
    <row r="11022">
      <c r="P11022" s="42"/>
      <c r="AB11022" s="38"/>
    </row>
    <row r="11023">
      <c r="P11023" s="42"/>
      <c r="AB11023" s="38"/>
    </row>
    <row r="11024">
      <c r="P11024" s="42"/>
      <c r="AB11024" s="38"/>
    </row>
    <row r="11025">
      <c r="P11025" s="42"/>
      <c r="AB11025" s="38"/>
    </row>
    <row r="11026">
      <c r="P11026" s="42"/>
      <c r="AB11026" s="38"/>
    </row>
    <row r="11027">
      <c r="P11027" s="42"/>
      <c r="AB11027" s="38"/>
    </row>
    <row r="11028">
      <c r="P11028" s="42"/>
      <c r="AB11028" s="38"/>
    </row>
    <row r="11029">
      <c r="P11029" s="42"/>
      <c r="AB11029" s="38"/>
    </row>
    <row r="11030">
      <c r="P11030" s="42"/>
      <c r="AB11030" s="38"/>
    </row>
    <row r="11031">
      <c r="P11031" s="42"/>
      <c r="AB11031" s="38"/>
    </row>
    <row r="11032">
      <c r="P11032" s="42"/>
      <c r="AB11032" s="38"/>
    </row>
    <row r="11033">
      <c r="P11033" s="42"/>
      <c r="AB11033" s="38"/>
    </row>
    <row r="11034">
      <c r="P11034" s="42"/>
      <c r="AB11034" s="38"/>
    </row>
    <row r="11035">
      <c r="P11035" s="42"/>
      <c r="AB11035" s="38"/>
    </row>
    <row r="11036">
      <c r="P11036" s="42"/>
      <c r="AB11036" s="38"/>
    </row>
    <row r="11037">
      <c r="P11037" s="42"/>
      <c r="AB11037" s="38"/>
    </row>
    <row r="11038">
      <c r="P11038" s="42"/>
      <c r="AB11038" s="38"/>
    </row>
    <row r="11039">
      <c r="P11039" s="42"/>
      <c r="AB11039" s="38"/>
    </row>
    <row r="11040">
      <c r="P11040" s="42"/>
      <c r="AB11040" s="38"/>
    </row>
    <row r="11041">
      <c r="P11041" s="42"/>
      <c r="AB11041" s="38"/>
    </row>
    <row r="11042">
      <c r="P11042" s="42"/>
      <c r="AB11042" s="38"/>
    </row>
    <row r="11043">
      <c r="P11043" s="42"/>
      <c r="AB11043" s="38"/>
    </row>
    <row r="11044">
      <c r="P11044" s="42"/>
      <c r="AB11044" s="38"/>
    </row>
    <row r="11045">
      <c r="P11045" s="42"/>
      <c r="AB11045" s="38"/>
    </row>
    <row r="11046">
      <c r="P11046" s="42"/>
      <c r="AB11046" s="38"/>
    </row>
    <row r="11047">
      <c r="P11047" s="42"/>
      <c r="AB11047" s="38"/>
    </row>
    <row r="11048">
      <c r="P11048" s="42"/>
      <c r="AB11048" s="38"/>
    </row>
    <row r="11049">
      <c r="P11049" s="42"/>
      <c r="AB11049" s="38"/>
    </row>
    <row r="11050">
      <c r="P11050" s="42"/>
      <c r="AB11050" s="38"/>
    </row>
    <row r="11051">
      <c r="P11051" s="42"/>
      <c r="AB11051" s="38"/>
    </row>
    <row r="11052">
      <c r="P11052" s="42"/>
      <c r="AB11052" s="38"/>
    </row>
    <row r="11053">
      <c r="P11053" s="42"/>
      <c r="AB11053" s="38"/>
    </row>
    <row r="11054">
      <c r="P11054" s="42"/>
      <c r="AB11054" s="38"/>
    </row>
    <row r="11055">
      <c r="P11055" s="42"/>
      <c r="AB11055" s="38"/>
    </row>
    <row r="11056">
      <c r="P11056" s="42"/>
      <c r="AB11056" s="38"/>
    </row>
    <row r="11057">
      <c r="P11057" s="42"/>
      <c r="AB11057" s="38"/>
    </row>
    <row r="11058">
      <c r="P11058" s="42"/>
      <c r="AB11058" s="38"/>
    </row>
    <row r="11059">
      <c r="P11059" s="42"/>
      <c r="AB11059" s="38"/>
    </row>
    <row r="11060">
      <c r="P11060" s="42"/>
      <c r="AB11060" s="38"/>
    </row>
    <row r="11061">
      <c r="P11061" s="42"/>
      <c r="AB11061" s="38"/>
    </row>
    <row r="11062">
      <c r="P11062" s="42"/>
      <c r="AB11062" s="38"/>
    </row>
    <row r="11063">
      <c r="P11063" s="42"/>
      <c r="AB11063" s="38"/>
    </row>
    <row r="11064">
      <c r="P11064" s="42"/>
      <c r="AB11064" s="38"/>
    </row>
    <row r="11065">
      <c r="P11065" s="42"/>
      <c r="AB11065" s="38"/>
    </row>
    <row r="11066">
      <c r="P11066" s="42"/>
      <c r="AB11066" s="38"/>
    </row>
    <row r="11067">
      <c r="P11067" s="42"/>
      <c r="AB11067" s="38"/>
    </row>
    <row r="11068">
      <c r="P11068" s="42"/>
      <c r="AB11068" s="38"/>
    </row>
    <row r="11069">
      <c r="P11069" s="42"/>
      <c r="AB11069" s="38"/>
    </row>
    <row r="11070">
      <c r="P11070" s="42"/>
      <c r="AB11070" s="38"/>
    </row>
    <row r="11071">
      <c r="P11071" s="42"/>
      <c r="AB11071" s="38"/>
    </row>
    <row r="11072">
      <c r="P11072" s="42"/>
      <c r="AB11072" s="38"/>
    </row>
    <row r="11073">
      <c r="P11073" s="42"/>
      <c r="AB11073" s="38"/>
    </row>
    <row r="11074">
      <c r="P11074" s="42"/>
      <c r="AB11074" s="38"/>
    </row>
    <row r="11075">
      <c r="P11075" s="42"/>
      <c r="AB11075" s="38"/>
    </row>
    <row r="11076">
      <c r="P11076" s="42"/>
      <c r="AB11076" s="38"/>
    </row>
    <row r="11077">
      <c r="P11077" s="42"/>
      <c r="AB11077" s="38"/>
    </row>
    <row r="11078">
      <c r="P11078" s="42"/>
      <c r="AB11078" s="38"/>
    </row>
    <row r="11079">
      <c r="P11079" s="42"/>
      <c r="AB11079" s="38"/>
    </row>
    <row r="11080">
      <c r="P11080" s="42"/>
      <c r="AB11080" s="38"/>
    </row>
    <row r="11081">
      <c r="P11081" s="42"/>
      <c r="AB11081" s="38"/>
    </row>
    <row r="11082">
      <c r="P11082" s="42"/>
      <c r="AB11082" s="38"/>
    </row>
    <row r="11083">
      <c r="P11083" s="42"/>
      <c r="AB11083" s="38"/>
    </row>
    <row r="11084">
      <c r="P11084" s="42"/>
      <c r="AB11084" s="38"/>
    </row>
    <row r="11085">
      <c r="P11085" s="42"/>
      <c r="AB11085" s="38"/>
    </row>
    <row r="11086">
      <c r="P11086" s="42"/>
      <c r="AB11086" s="38"/>
    </row>
    <row r="11087">
      <c r="P11087" s="42"/>
      <c r="AB11087" s="38"/>
    </row>
    <row r="11088">
      <c r="P11088" s="42"/>
      <c r="AB11088" s="38"/>
    </row>
    <row r="11089">
      <c r="P11089" s="42"/>
      <c r="AB11089" s="38"/>
    </row>
    <row r="11090">
      <c r="P11090" s="42"/>
      <c r="AB11090" s="38"/>
    </row>
    <row r="11091">
      <c r="P11091" s="42"/>
      <c r="AB11091" s="38"/>
    </row>
    <row r="11092">
      <c r="P11092" s="42"/>
      <c r="AB11092" s="38"/>
    </row>
    <row r="11093">
      <c r="P11093" s="42"/>
      <c r="AB11093" s="38"/>
    </row>
    <row r="11094">
      <c r="P11094" s="42"/>
      <c r="AB11094" s="38"/>
    </row>
    <row r="11095">
      <c r="P11095" s="42"/>
      <c r="AB11095" s="38"/>
    </row>
    <row r="11096">
      <c r="P11096" s="42"/>
      <c r="AB11096" s="38"/>
    </row>
    <row r="11097">
      <c r="P11097" s="42"/>
      <c r="AB11097" s="38"/>
    </row>
    <row r="11098">
      <c r="P11098" s="42"/>
      <c r="AB11098" s="38"/>
    </row>
    <row r="11099">
      <c r="P11099" s="42"/>
      <c r="AB11099" s="38"/>
    </row>
    <row r="11100">
      <c r="P11100" s="42"/>
      <c r="AB11100" s="38"/>
    </row>
    <row r="11101">
      <c r="P11101" s="42"/>
      <c r="AB11101" s="38"/>
    </row>
    <row r="11102">
      <c r="P11102" s="42"/>
      <c r="AB11102" s="38"/>
    </row>
    <row r="11103">
      <c r="P11103" s="42"/>
      <c r="AB11103" s="38"/>
    </row>
    <row r="11104">
      <c r="P11104" s="42"/>
      <c r="AB11104" s="38"/>
    </row>
    <row r="11105">
      <c r="P11105" s="42"/>
      <c r="AB11105" s="38"/>
    </row>
    <row r="11106">
      <c r="P11106" s="42"/>
      <c r="AB11106" s="38"/>
    </row>
    <row r="11107">
      <c r="P11107" s="42"/>
      <c r="AB11107" s="38"/>
    </row>
    <row r="11108">
      <c r="P11108" s="42"/>
      <c r="AB11108" s="38"/>
    </row>
    <row r="11109">
      <c r="P11109" s="42"/>
      <c r="AB11109" s="38"/>
    </row>
    <row r="11110">
      <c r="P11110" s="42"/>
      <c r="AB11110" s="38"/>
    </row>
    <row r="11111">
      <c r="P11111" s="42"/>
      <c r="AB11111" s="38"/>
    </row>
    <row r="11112">
      <c r="P11112" s="42"/>
      <c r="AB11112" s="38"/>
    </row>
    <row r="11113">
      <c r="P11113" s="42"/>
      <c r="AB11113" s="38"/>
    </row>
    <row r="11114">
      <c r="P11114" s="42"/>
      <c r="AB11114" s="38"/>
    </row>
    <row r="11115">
      <c r="P11115" s="42"/>
      <c r="AB11115" s="38"/>
    </row>
    <row r="11116">
      <c r="P11116" s="42"/>
      <c r="AB11116" s="38"/>
    </row>
    <row r="11117">
      <c r="P11117" s="42"/>
      <c r="AB11117" s="38"/>
    </row>
    <row r="11118">
      <c r="P11118" s="42"/>
      <c r="AB11118" s="38"/>
    </row>
    <row r="11119">
      <c r="P11119" s="42"/>
      <c r="AB11119" s="38"/>
    </row>
    <row r="11120">
      <c r="P11120" s="42"/>
      <c r="AB11120" s="38"/>
    </row>
    <row r="11121">
      <c r="P11121" s="42"/>
      <c r="AB11121" s="38"/>
    </row>
    <row r="11122">
      <c r="P11122" s="42"/>
      <c r="AB11122" s="38"/>
    </row>
    <row r="11123">
      <c r="P11123" s="42"/>
      <c r="AB11123" s="38"/>
    </row>
    <row r="11124">
      <c r="P11124" s="42"/>
      <c r="AB11124" s="38"/>
    </row>
    <row r="11125">
      <c r="P11125" s="42"/>
      <c r="AB11125" s="38"/>
    </row>
    <row r="11126">
      <c r="P11126" s="42"/>
      <c r="AB11126" s="38"/>
    </row>
    <row r="11127">
      <c r="P11127" s="42"/>
      <c r="AB11127" s="38"/>
    </row>
    <row r="11128">
      <c r="P11128" s="42"/>
      <c r="AB11128" s="38"/>
    </row>
    <row r="11129">
      <c r="P11129" s="42"/>
      <c r="AB11129" s="38"/>
    </row>
    <row r="11130">
      <c r="P11130" s="42"/>
      <c r="AB11130" s="38"/>
    </row>
    <row r="11131">
      <c r="P11131" s="42"/>
      <c r="AB11131" s="38"/>
    </row>
    <row r="11132">
      <c r="P11132" s="42"/>
      <c r="AB11132" s="38"/>
    </row>
    <row r="11133">
      <c r="P11133" s="42"/>
      <c r="AB11133" s="38"/>
    </row>
    <row r="11134">
      <c r="P11134" s="42"/>
      <c r="AB11134" s="38"/>
    </row>
    <row r="11135">
      <c r="P11135" s="42"/>
      <c r="AB11135" s="38"/>
    </row>
    <row r="11136">
      <c r="P11136" s="42"/>
      <c r="AB11136" s="38"/>
    </row>
    <row r="11137">
      <c r="P11137" s="42"/>
      <c r="AB11137" s="38"/>
    </row>
    <row r="11138">
      <c r="P11138" s="42"/>
      <c r="AB11138" s="38"/>
    </row>
    <row r="11139">
      <c r="P11139" s="42"/>
      <c r="AB11139" s="38"/>
    </row>
    <row r="11140">
      <c r="P11140" s="42"/>
      <c r="AB11140" s="38"/>
    </row>
    <row r="11141">
      <c r="P11141" s="42"/>
      <c r="AB11141" s="38"/>
    </row>
    <row r="11142">
      <c r="P11142" s="42"/>
      <c r="AB11142" s="38"/>
    </row>
    <row r="11143">
      <c r="P11143" s="42"/>
      <c r="AB11143" s="38"/>
    </row>
    <row r="11144">
      <c r="P11144" s="42"/>
      <c r="AB11144" s="38"/>
    </row>
    <row r="11145">
      <c r="P11145" s="42"/>
      <c r="AB11145" s="38"/>
    </row>
    <row r="11146">
      <c r="P11146" s="42"/>
      <c r="AB11146" s="38"/>
    </row>
    <row r="11147">
      <c r="P11147" s="42"/>
      <c r="AB11147" s="38"/>
    </row>
    <row r="11148">
      <c r="P11148" s="42"/>
      <c r="AB11148" s="38"/>
    </row>
    <row r="11149">
      <c r="P11149" s="42"/>
      <c r="AB11149" s="38"/>
    </row>
    <row r="11150">
      <c r="P11150" s="42"/>
      <c r="AB11150" s="38"/>
    </row>
    <row r="11151">
      <c r="P11151" s="42"/>
      <c r="AB11151" s="38"/>
    </row>
    <row r="11152">
      <c r="P11152" s="42"/>
      <c r="AB11152" s="38"/>
    </row>
    <row r="11153">
      <c r="P11153" s="42"/>
      <c r="AB11153" s="38"/>
    </row>
    <row r="11154">
      <c r="P11154" s="42"/>
      <c r="AB11154" s="38"/>
    </row>
    <row r="11155">
      <c r="P11155" s="42"/>
      <c r="AB11155" s="38"/>
    </row>
    <row r="11156">
      <c r="P11156" s="42"/>
      <c r="AB11156" s="38"/>
    </row>
    <row r="11157">
      <c r="P11157" s="42"/>
      <c r="AB11157" s="38"/>
    </row>
    <row r="11158">
      <c r="P11158" s="42"/>
      <c r="AB11158" s="38"/>
    </row>
    <row r="11159">
      <c r="P11159" s="42"/>
      <c r="AB11159" s="38"/>
    </row>
    <row r="11160">
      <c r="P11160" s="42"/>
      <c r="AB11160" s="38"/>
    </row>
    <row r="11161">
      <c r="P11161" s="42"/>
      <c r="AB11161" s="38"/>
    </row>
    <row r="11162">
      <c r="P11162" s="42"/>
      <c r="AB11162" s="38"/>
    </row>
    <row r="11163">
      <c r="P11163" s="42"/>
      <c r="AB11163" s="38"/>
    </row>
    <row r="11164">
      <c r="P11164" s="42"/>
      <c r="AB11164" s="38"/>
    </row>
    <row r="11165">
      <c r="P11165" s="42"/>
      <c r="AB11165" s="38"/>
    </row>
    <row r="11166">
      <c r="P11166" s="42"/>
      <c r="AB11166" s="38"/>
    </row>
    <row r="11167">
      <c r="P11167" s="42"/>
      <c r="AB11167" s="38"/>
    </row>
    <row r="11168">
      <c r="P11168" s="42"/>
      <c r="AB11168" s="38"/>
    </row>
    <row r="11169">
      <c r="P11169" s="42"/>
      <c r="AB11169" s="38"/>
    </row>
    <row r="11170">
      <c r="P11170" s="42"/>
      <c r="AB11170" s="38"/>
    </row>
    <row r="11171">
      <c r="P11171" s="42"/>
      <c r="AB11171" s="38"/>
    </row>
    <row r="11172">
      <c r="P11172" s="42"/>
      <c r="AB11172" s="38"/>
    </row>
    <row r="11173">
      <c r="P11173" s="42"/>
      <c r="AB11173" s="38"/>
    </row>
    <row r="11174">
      <c r="P11174" s="42"/>
      <c r="AB11174" s="38"/>
    </row>
    <row r="11175">
      <c r="P11175" s="42"/>
      <c r="AB11175" s="38"/>
    </row>
    <row r="11176">
      <c r="P11176" s="42"/>
      <c r="AB11176" s="38"/>
    </row>
    <row r="11177">
      <c r="P11177" s="42"/>
      <c r="AB11177" s="38"/>
    </row>
    <row r="11178">
      <c r="P11178" s="42"/>
      <c r="AB11178" s="38"/>
    </row>
    <row r="11179">
      <c r="P11179" s="42"/>
      <c r="AB11179" s="38"/>
    </row>
    <row r="11180">
      <c r="P11180" s="42"/>
      <c r="AB11180" s="38"/>
    </row>
    <row r="11181">
      <c r="P11181" s="42"/>
      <c r="AB11181" s="38"/>
    </row>
    <row r="11182">
      <c r="P11182" s="42"/>
      <c r="AB11182" s="38"/>
    </row>
    <row r="11183">
      <c r="P11183" s="42"/>
      <c r="AB11183" s="38"/>
    </row>
    <row r="11184">
      <c r="P11184" s="42"/>
      <c r="AB11184" s="38"/>
    </row>
    <row r="11185">
      <c r="P11185" s="42"/>
      <c r="AB11185" s="38"/>
    </row>
    <row r="11186">
      <c r="P11186" s="42"/>
      <c r="AB11186" s="38"/>
    </row>
    <row r="11187">
      <c r="P11187" s="42"/>
      <c r="AB11187" s="38"/>
    </row>
    <row r="11188">
      <c r="P11188" s="42"/>
      <c r="AB11188" s="38"/>
    </row>
    <row r="11189">
      <c r="P11189" s="42"/>
      <c r="AB11189" s="38"/>
    </row>
    <row r="11190">
      <c r="P11190" s="42"/>
      <c r="AB11190" s="38"/>
    </row>
    <row r="11191">
      <c r="P11191" s="42"/>
      <c r="AB11191" s="38"/>
    </row>
    <row r="11192">
      <c r="P11192" s="42"/>
      <c r="AB11192" s="38"/>
    </row>
    <row r="11193">
      <c r="P11193" s="42"/>
      <c r="AB11193" s="38"/>
    </row>
    <row r="11194">
      <c r="P11194" s="42"/>
      <c r="AB11194" s="38"/>
    </row>
    <row r="11195">
      <c r="P11195" s="42"/>
      <c r="AB11195" s="38"/>
    </row>
    <row r="11196">
      <c r="P11196" s="42"/>
      <c r="AB11196" s="38"/>
    </row>
    <row r="11197">
      <c r="P11197" s="42"/>
      <c r="AB11197" s="38"/>
    </row>
    <row r="11198">
      <c r="P11198" s="42"/>
      <c r="AB11198" s="38"/>
    </row>
    <row r="11199">
      <c r="P11199" s="42"/>
      <c r="AB11199" s="38"/>
    </row>
    <row r="11200">
      <c r="P11200" s="42"/>
      <c r="AB11200" s="38"/>
    </row>
    <row r="11201">
      <c r="P11201" s="42"/>
      <c r="AB11201" s="38"/>
    </row>
    <row r="11202">
      <c r="P11202" s="42"/>
      <c r="AB11202" s="38"/>
    </row>
    <row r="11203">
      <c r="P11203" s="42"/>
      <c r="AB11203" s="38"/>
    </row>
    <row r="11204">
      <c r="P11204" s="42"/>
      <c r="AB11204" s="38"/>
    </row>
    <row r="11205">
      <c r="P11205" s="42"/>
      <c r="AB11205" s="38"/>
    </row>
    <row r="11206">
      <c r="P11206" s="42"/>
      <c r="AB11206" s="38"/>
    </row>
    <row r="11207">
      <c r="P11207" s="42"/>
      <c r="AB11207" s="38"/>
    </row>
    <row r="11208">
      <c r="P11208" s="42"/>
      <c r="AB11208" s="38"/>
    </row>
    <row r="11209">
      <c r="P11209" s="42"/>
      <c r="AB11209" s="38"/>
    </row>
    <row r="11210">
      <c r="P11210" s="42"/>
      <c r="AB11210" s="38"/>
    </row>
    <row r="11211">
      <c r="P11211" s="42"/>
      <c r="AB11211" s="38"/>
    </row>
    <row r="11212">
      <c r="P11212" s="42"/>
      <c r="AB11212" s="38"/>
    </row>
    <row r="11213">
      <c r="P11213" s="42"/>
      <c r="AB11213" s="38"/>
    </row>
    <row r="11214">
      <c r="P11214" s="42"/>
      <c r="AB11214" s="38"/>
    </row>
    <row r="11215">
      <c r="P11215" s="42"/>
      <c r="AB11215" s="38"/>
    </row>
    <row r="11216">
      <c r="P11216" s="42"/>
      <c r="AB11216" s="38"/>
    </row>
    <row r="11217">
      <c r="P11217" s="42"/>
      <c r="AB11217" s="38"/>
    </row>
    <row r="11218">
      <c r="P11218" s="42"/>
      <c r="AB11218" s="38"/>
    </row>
    <row r="11219">
      <c r="P11219" s="42"/>
      <c r="AB11219" s="38"/>
    </row>
    <row r="11220">
      <c r="P11220" s="42"/>
      <c r="AB11220" s="38"/>
    </row>
    <row r="11221">
      <c r="P11221" s="42"/>
      <c r="AB11221" s="38"/>
    </row>
    <row r="11222">
      <c r="P11222" s="42"/>
      <c r="AB11222" s="38"/>
    </row>
    <row r="11223">
      <c r="P11223" s="42"/>
      <c r="AB11223" s="38"/>
    </row>
    <row r="11224">
      <c r="P11224" s="42"/>
      <c r="AB11224" s="38"/>
    </row>
    <row r="11225">
      <c r="P11225" s="42"/>
      <c r="AB11225" s="38"/>
    </row>
    <row r="11226">
      <c r="P11226" s="42"/>
      <c r="AB11226" s="38"/>
    </row>
    <row r="11227">
      <c r="P11227" s="42"/>
      <c r="AB11227" s="38"/>
    </row>
    <row r="11228">
      <c r="P11228" s="42"/>
      <c r="AB11228" s="38"/>
    </row>
    <row r="11229">
      <c r="P11229" s="42"/>
      <c r="AB11229" s="38"/>
    </row>
    <row r="11230">
      <c r="P11230" s="42"/>
      <c r="AB11230" s="38"/>
    </row>
    <row r="11231">
      <c r="P11231" s="42"/>
      <c r="AB11231" s="38"/>
    </row>
    <row r="11232">
      <c r="P11232" s="42"/>
      <c r="AB11232" s="38"/>
    </row>
    <row r="11233">
      <c r="P11233" s="42"/>
      <c r="AB11233" s="38"/>
    </row>
    <row r="11234">
      <c r="P11234" s="42"/>
      <c r="AB11234" s="38"/>
    </row>
    <row r="11235">
      <c r="P11235" s="42"/>
      <c r="AB11235" s="38"/>
    </row>
    <row r="11236">
      <c r="P11236" s="42"/>
      <c r="AB11236" s="38"/>
    </row>
    <row r="11237">
      <c r="P11237" s="42"/>
      <c r="AB11237" s="38"/>
    </row>
    <row r="11238">
      <c r="P11238" s="42"/>
      <c r="AB11238" s="38"/>
    </row>
    <row r="11239">
      <c r="P11239" s="42"/>
      <c r="AB11239" s="38"/>
    </row>
    <row r="11240">
      <c r="P11240" s="42"/>
      <c r="AB11240" s="38"/>
    </row>
    <row r="11241">
      <c r="P11241" s="42"/>
      <c r="AB11241" s="38"/>
    </row>
    <row r="11242">
      <c r="P11242" s="42"/>
      <c r="AB11242" s="38"/>
    </row>
    <row r="11243">
      <c r="P11243" s="42"/>
      <c r="AB11243" s="38"/>
    </row>
    <row r="11244">
      <c r="P11244" s="42"/>
      <c r="AB11244" s="38"/>
    </row>
    <row r="11245">
      <c r="P11245" s="42"/>
      <c r="AB11245" s="38"/>
    </row>
    <row r="11246">
      <c r="P11246" s="42"/>
      <c r="AB11246" s="38"/>
    </row>
    <row r="11247">
      <c r="P11247" s="42"/>
      <c r="AB11247" s="38"/>
    </row>
    <row r="11248">
      <c r="P11248" s="42"/>
      <c r="AB11248" s="38"/>
    </row>
    <row r="11249">
      <c r="P11249" s="42"/>
      <c r="AB11249" s="38"/>
    </row>
    <row r="11250">
      <c r="P11250" s="42"/>
      <c r="AB11250" s="38"/>
    </row>
    <row r="11251">
      <c r="P11251" s="42"/>
      <c r="AB11251" s="38"/>
    </row>
    <row r="11252">
      <c r="P11252" s="42"/>
      <c r="AB11252" s="38"/>
    </row>
    <row r="11253">
      <c r="P11253" s="42"/>
      <c r="AB11253" s="38"/>
    </row>
    <row r="11254">
      <c r="P11254" s="42"/>
      <c r="AB11254" s="38"/>
    </row>
    <row r="11255">
      <c r="P11255" s="42"/>
      <c r="AB11255" s="38"/>
    </row>
    <row r="11256">
      <c r="P11256" s="42"/>
      <c r="AB11256" s="38"/>
    </row>
    <row r="11257">
      <c r="P11257" s="42"/>
      <c r="AB11257" s="38"/>
    </row>
    <row r="11258">
      <c r="P11258" s="42"/>
      <c r="AB11258" s="38"/>
    </row>
    <row r="11259">
      <c r="P11259" s="42"/>
      <c r="AB11259" s="38"/>
    </row>
    <row r="11260">
      <c r="P11260" s="42"/>
      <c r="AB11260" s="38"/>
    </row>
    <row r="11261">
      <c r="P11261" s="42"/>
      <c r="AB11261" s="38"/>
    </row>
    <row r="11262">
      <c r="P11262" s="42"/>
      <c r="AB11262" s="38"/>
    </row>
    <row r="11263">
      <c r="P11263" s="42"/>
      <c r="AB11263" s="38"/>
    </row>
    <row r="11264">
      <c r="P11264" s="42"/>
      <c r="AB11264" s="38"/>
    </row>
    <row r="11265">
      <c r="P11265" s="42"/>
      <c r="AB11265" s="38"/>
    </row>
    <row r="11266">
      <c r="P11266" s="42"/>
      <c r="AB11266" s="38"/>
    </row>
    <row r="11267">
      <c r="P11267" s="42"/>
      <c r="AB11267" s="38"/>
    </row>
    <row r="11268">
      <c r="P11268" s="42"/>
      <c r="AB11268" s="38"/>
    </row>
    <row r="11269">
      <c r="P11269" s="42"/>
      <c r="AB11269" s="38"/>
    </row>
    <row r="11270">
      <c r="P11270" s="42"/>
      <c r="AB11270" s="38"/>
    </row>
    <row r="11271">
      <c r="P11271" s="42"/>
      <c r="AB11271" s="38"/>
    </row>
    <row r="11272">
      <c r="P11272" s="42"/>
      <c r="AB11272" s="38"/>
    </row>
    <row r="11273">
      <c r="P11273" s="42"/>
      <c r="AB11273" s="38"/>
    </row>
    <row r="11274">
      <c r="P11274" s="42"/>
      <c r="AB11274" s="38"/>
    </row>
    <row r="11275">
      <c r="P11275" s="42"/>
      <c r="AB11275" s="38"/>
    </row>
    <row r="11276">
      <c r="P11276" s="42"/>
      <c r="AB11276" s="38"/>
    </row>
    <row r="11277">
      <c r="P11277" s="42"/>
      <c r="AB11277" s="38"/>
    </row>
    <row r="11278">
      <c r="P11278" s="42"/>
      <c r="AB11278" s="38"/>
    </row>
    <row r="11279">
      <c r="P11279" s="42"/>
      <c r="AB11279" s="38"/>
    </row>
    <row r="11280">
      <c r="P11280" s="42"/>
      <c r="AB11280" s="38"/>
    </row>
    <row r="11281">
      <c r="P11281" s="42"/>
      <c r="AB11281" s="38"/>
    </row>
    <row r="11282">
      <c r="P11282" s="42"/>
      <c r="AB11282" s="38"/>
    </row>
    <row r="11283">
      <c r="P11283" s="42"/>
      <c r="AB11283" s="38"/>
    </row>
    <row r="11284">
      <c r="P11284" s="42"/>
      <c r="AB11284" s="38"/>
    </row>
    <row r="11285">
      <c r="P11285" s="42"/>
      <c r="AB11285" s="38"/>
    </row>
    <row r="11286">
      <c r="P11286" s="42"/>
      <c r="AB11286" s="38"/>
    </row>
    <row r="11287">
      <c r="P11287" s="42"/>
      <c r="AB11287" s="38"/>
    </row>
    <row r="11288">
      <c r="P11288" s="42"/>
      <c r="AB11288" s="38"/>
    </row>
    <row r="11289">
      <c r="P11289" s="42"/>
      <c r="AB11289" s="38"/>
    </row>
    <row r="11290">
      <c r="P11290" s="42"/>
      <c r="AB11290" s="38"/>
    </row>
    <row r="11291">
      <c r="P11291" s="42"/>
      <c r="AB11291" s="38"/>
    </row>
    <row r="11292">
      <c r="P11292" s="42"/>
      <c r="AB11292" s="38"/>
    </row>
    <row r="11293">
      <c r="P11293" s="42"/>
      <c r="AB11293" s="38"/>
    </row>
    <row r="11294">
      <c r="P11294" s="42"/>
      <c r="AB11294" s="38"/>
    </row>
    <row r="11295">
      <c r="P11295" s="42"/>
      <c r="AB11295" s="38"/>
    </row>
    <row r="11296">
      <c r="P11296" s="42"/>
      <c r="AB11296" s="38"/>
    </row>
    <row r="11297">
      <c r="P11297" s="42"/>
      <c r="AB11297" s="38"/>
    </row>
    <row r="11298">
      <c r="P11298" s="42"/>
      <c r="AB11298" s="38"/>
    </row>
    <row r="11299">
      <c r="P11299" s="42"/>
      <c r="AB11299" s="38"/>
    </row>
    <row r="11300">
      <c r="P11300" s="42"/>
      <c r="AB11300" s="38"/>
    </row>
    <row r="11301">
      <c r="P11301" s="42"/>
      <c r="AB11301" s="38"/>
    </row>
    <row r="11302">
      <c r="P11302" s="42"/>
      <c r="AB11302" s="38"/>
    </row>
    <row r="11303">
      <c r="P11303" s="42"/>
      <c r="AB11303" s="38"/>
    </row>
    <row r="11304">
      <c r="P11304" s="42"/>
      <c r="AB11304" s="38"/>
    </row>
    <row r="11305">
      <c r="P11305" s="42"/>
      <c r="AB11305" s="38"/>
    </row>
    <row r="11306">
      <c r="P11306" s="42"/>
      <c r="AB11306" s="38"/>
    </row>
    <row r="11307">
      <c r="P11307" s="42"/>
      <c r="AB11307" s="38"/>
    </row>
    <row r="11308">
      <c r="P11308" s="42"/>
      <c r="AB11308" s="38"/>
    </row>
    <row r="11309">
      <c r="P11309" s="42"/>
      <c r="AB11309" s="38"/>
    </row>
    <row r="11310">
      <c r="P11310" s="42"/>
      <c r="AB11310" s="38"/>
    </row>
    <row r="11311">
      <c r="P11311" s="42"/>
      <c r="AB11311" s="38"/>
    </row>
    <row r="11312">
      <c r="P11312" s="42"/>
      <c r="AB11312" s="38"/>
    </row>
    <row r="11313">
      <c r="P11313" s="42"/>
      <c r="AB11313" s="38"/>
    </row>
    <row r="11314">
      <c r="P11314" s="42"/>
      <c r="AB11314" s="38"/>
    </row>
    <row r="11315">
      <c r="P11315" s="42"/>
      <c r="AB11315" s="38"/>
    </row>
    <row r="11316">
      <c r="P11316" s="42"/>
      <c r="AB11316" s="38"/>
    </row>
    <row r="11317">
      <c r="P11317" s="42"/>
      <c r="AB11317" s="38"/>
    </row>
    <row r="11318">
      <c r="P11318" s="42"/>
      <c r="AB11318" s="38"/>
    </row>
    <row r="11319">
      <c r="P11319" s="42"/>
      <c r="AB11319" s="38"/>
    </row>
    <row r="11320">
      <c r="P11320" s="42"/>
      <c r="AB11320" s="38"/>
    </row>
    <row r="11321">
      <c r="P11321" s="42"/>
      <c r="AB11321" s="38"/>
    </row>
    <row r="11322">
      <c r="P11322" s="42"/>
      <c r="AB11322" s="38"/>
    </row>
    <row r="11323">
      <c r="P11323" s="42"/>
      <c r="AB11323" s="38"/>
    </row>
    <row r="11324">
      <c r="P11324" s="42"/>
      <c r="AB11324" s="38"/>
    </row>
    <row r="11325">
      <c r="P11325" s="42"/>
      <c r="AB11325" s="38"/>
    </row>
    <row r="11326">
      <c r="P11326" s="42"/>
      <c r="AB11326" s="38"/>
    </row>
    <row r="11327">
      <c r="P11327" s="42"/>
      <c r="AB11327" s="38"/>
    </row>
    <row r="11328">
      <c r="P11328" s="42"/>
      <c r="AB11328" s="38"/>
    </row>
    <row r="11329">
      <c r="P11329" s="42"/>
      <c r="AB11329" s="38"/>
    </row>
    <row r="11330">
      <c r="P11330" s="42"/>
      <c r="AB11330" s="38"/>
    </row>
    <row r="11331">
      <c r="P11331" s="42"/>
      <c r="AB11331" s="38"/>
    </row>
    <row r="11332">
      <c r="P11332" s="42"/>
      <c r="AB11332" s="38"/>
    </row>
    <row r="11333">
      <c r="P11333" s="42"/>
      <c r="AB11333" s="38"/>
    </row>
    <row r="11334">
      <c r="P11334" s="42"/>
      <c r="AB11334" s="38"/>
    </row>
    <row r="11335">
      <c r="P11335" s="42"/>
      <c r="AB11335" s="38"/>
    </row>
    <row r="11336">
      <c r="P11336" s="42"/>
      <c r="AB11336" s="38"/>
    </row>
    <row r="11337">
      <c r="P11337" s="42"/>
      <c r="AB11337" s="38"/>
    </row>
    <row r="11338">
      <c r="P11338" s="42"/>
      <c r="AB11338" s="38"/>
    </row>
    <row r="11339">
      <c r="P11339" s="42"/>
      <c r="AB11339" s="38"/>
    </row>
    <row r="11340">
      <c r="P11340" s="42"/>
      <c r="AB11340" s="38"/>
    </row>
    <row r="11341">
      <c r="P11341" s="42"/>
      <c r="AB11341" s="38"/>
    </row>
    <row r="11342">
      <c r="P11342" s="42"/>
      <c r="AB11342" s="38"/>
    </row>
    <row r="11343">
      <c r="P11343" s="42"/>
      <c r="AB11343" s="38"/>
    </row>
    <row r="11344">
      <c r="P11344" s="42"/>
      <c r="AB11344" s="38"/>
    </row>
    <row r="11345">
      <c r="P11345" s="42"/>
      <c r="AB11345" s="38"/>
    </row>
    <row r="11346">
      <c r="P11346" s="42"/>
      <c r="AB11346" s="38"/>
    </row>
    <row r="11347">
      <c r="P11347" s="42"/>
      <c r="AB11347" s="38"/>
    </row>
    <row r="11348">
      <c r="P11348" s="42"/>
      <c r="AB11348" s="38"/>
    </row>
    <row r="11349">
      <c r="P11349" s="42"/>
      <c r="AB11349" s="38"/>
    </row>
    <row r="11350">
      <c r="P11350" s="42"/>
      <c r="AB11350" s="38"/>
    </row>
    <row r="11351">
      <c r="P11351" s="42"/>
      <c r="AB11351" s="38"/>
    </row>
    <row r="11352">
      <c r="P11352" s="42"/>
      <c r="AB11352" s="38"/>
    </row>
    <row r="11353">
      <c r="P11353" s="42"/>
      <c r="AB11353" s="38"/>
    </row>
    <row r="11354">
      <c r="P11354" s="42"/>
      <c r="AB11354" s="38"/>
    </row>
    <row r="11355">
      <c r="P11355" s="42"/>
      <c r="AB11355" s="38"/>
    </row>
    <row r="11356">
      <c r="P11356" s="42"/>
      <c r="AB11356" s="38"/>
    </row>
    <row r="11357">
      <c r="P11357" s="42"/>
      <c r="AB11357" s="38"/>
    </row>
    <row r="11358">
      <c r="P11358" s="42"/>
      <c r="AB11358" s="38"/>
    </row>
    <row r="11359">
      <c r="P11359" s="42"/>
      <c r="AB11359" s="38"/>
    </row>
    <row r="11360">
      <c r="P11360" s="42"/>
      <c r="AB11360" s="38"/>
    </row>
    <row r="11361">
      <c r="P11361" s="42"/>
      <c r="AB11361" s="38"/>
    </row>
    <row r="11362">
      <c r="P11362" s="42"/>
      <c r="AB11362" s="38"/>
    </row>
    <row r="11363">
      <c r="P11363" s="42"/>
      <c r="AB11363" s="38"/>
    </row>
    <row r="11364">
      <c r="P11364" s="42"/>
      <c r="AB11364" s="38"/>
    </row>
    <row r="11365">
      <c r="P11365" s="42"/>
      <c r="AB11365" s="38"/>
    </row>
    <row r="11366">
      <c r="P11366" s="42"/>
      <c r="AB11366" s="38"/>
    </row>
    <row r="11367">
      <c r="P11367" s="42"/>
      <c r="AB11367" s="38"/>
    </row>
    <row r="11368">
      <c r="P11368" s="42"/>
      <c r="AB11368" s="38"/>
    </row>
    <row r="11369">
      <c r="P11369" s="42"/>
      <c r="AB11369" s="38"/>
    </row>
    <row r="11370">
      <c r="P11370" s="42"/>
      <c r="AB11370" s="38"/>
    </row>
    <row r="11371">
      <c r="P11371" s="42"/>
      <c r="AB11371" s="38"/>
    </row>
    <row r="11372">
      <c r="P11372" s="42"/>
      <c r="AB11372" s="38"/>
    </row>
    <row r="11373">
      <c r="P11373" s="42"/>
      <c r="AB11373" s="38"/>
    </row>
    <row r="11374">
      <c r="P11374" s="42"/>
      <c r="AB11374" s="38"/>
    </row>
    <row r="11375">
      <c r="P11375" s="42"/>
      <c r="AB11375" s="38"/>
    </row>
    <row r="11376">
      <c r="P11376" s="42"/>
      <c r="AB11376" s="38"/>
    </row>
    <row r="11377">
      <c r="P11377" s="42"/>
      <c r="AB11377" s="38"/>
    </row>
    <row r="11378">
      <c r="P11378" s="42"/>
      <c r="AB11378" s="38"/>
    </row>
    <row r="11379">
      <c r="P11379" s="42"/>
      <c r="AB11379" s="38"/>
    </row>
    <row r="11380">
      <c r="P11380" s="42"/>
      <c r="AB11380" s="38"/>
    </row>
    <row r="11381">
      <c r="P11381" s="42"/>
      <c r="AB11381" s="38"/>
    </row>
    <row r="11382">
      <c r="P11382" s="42"/>
      <c r="AB11382" s="38"/>
    </row>
    <row r="11383">
      <c r="P11383" s="42"/>
      <c r="AB11383" s="38"/>
    </row>
    <row r="11384">
      <c r="P11384" s="42"/>
      <c r="AB11384" s="38"/>
    </row>
    <row r="11385">
      <c r="P11385" s="42"/>
      <c r="AB11385" s="38"/>
    </row>
    <row r="11386">
      <c r="P11386" s="42"/>
      <c r="AB11386" s="38"/>
    </row>
    <row r="11387">
      <c r="P11387" s="42"/>
      <c r="AB11387" s="38"/>
    </row>
    <row r="11388">
      <c r="P11388" s="42"/>
      <c r="AB11388" s="38"/>
    </row>
    <row r="11389">
      <c r="P11389" s="42"/>
      <c r="AB11389" s="38"/>
    </row>
    <row r="11390">
      <c r="P11390" s="42"/>
      <c r="AB11390" s="38"/>
    </row>
    <row r="11391">
      <c r="P11391" s="42"/>
      <c r="AB11391" s="38"/>
    </row>
    <row r="11392">
      <c r="P11392" s="42"/>
      <c r="AB11392" s="38"/>
    </row>
    <row r="11393">
      <c r="P11393" s="42"/>
      <c r="AB11393" s="38"/>
    </row>
    <row r="11394">
      <c r="P11394" s="42"/>
      <c r="AB11394" s="38"/>
    </row>
    <row r="11395">
      <c r="P11395" s="42"/>
      <c r="AB11395" s="38"/>
    </row>
    <row r="11396">
      <c r="P11396" s="42"/>
      <c r="AB11396" s="38"/>
    </row>
    <row r="11397">
      <c r="P11397" s="42"/>
      <c r="AB11397" s="38"/>
    </row>
    <row r="11398">
      <c r="P11398" s="42"/>
      <c r="AB11398" s="38"/>
    </row>
    <row r="11399">
      <c r="P11399" s="42"/>
      <c r="AB11399" s="38"/>
    </row>
    <row r="11400">
      <c r="P11400" s="42"/>
      <c r="AB11400" s="38"/>
    </row>
    <row r="11401">
      <c r="P11401" s="42"/>
      <c r="AB11401" s="38"/>
    </row>
    <row r="11402">
      <c r="P11402" s="42"/>
      <c r="AB11402" s="38"/>
    </row>
    <row r="11403">
      <c r="P11403" s="42"/>
      <c r="AB11403" s="38"/>
    </row>
    <row r="11404">
      <c r="P11404" s="42"/>
      <c r="AB11404" s="38"/>
    </row>
    <row r="11405">
      <c r="P11405" s="42"/>
      <c r="AB11405" s="38"/>
    </row>
    <row r="11406">
      <c r="P11406" s="42"/>
      <c r="AB11406" s="38"/>
    </row>
    <row r="11407">
      <c r="P11407" s="42"/>
      <c r="AB11407" s="38"/>
    </row>
    <row r="11408">
      <c r="P11408" s="42"/>
      <c r="AB11408" s="38"/>
    </row>
    <row r="11409">
      <c r="P11409" s="42"/>
      <c r="AB11409" s="38"/>
    </row>
    <row r="11410">
      <c r="P11410" s="42"/>
      <c r="AB11410" s="38"/>
    </row>
    <row r="11411">
      <c r="P11411" s="42"/>
      <c r="AB11411" s="38"/>
    </row>
    <row r="11412">
      <c r="P11412" s="42"/>
      <c r="AB11412" s="38"/>
    </row>
    <row r="11413">
      <c r="P11413" s="42"/>
      <c r="AB11413" s="38"/>
    </row>
    <row r="11414">
      <c r="P11414" s="42"/>
      <c r="AB11414" s="38"/>
    </row>
    <row r="11415">
      <c r="P11415" s="42"/>
      <c r="AB11415" s="38"/>
    </row>
    <row r="11416">
      <c r="P11416" s="42"/>
      <c r="AB11416" s="38"/>
    </row>
    <row r="11417">
      <c r="P11417" s="42"/>
      <c r="AB11417" s="38"/>
    </row>
    <row r="11418">
      <c r="P11418" s="42"/>
      <c r="AB11418" s="38"/>
    </row>
    <row r="11419">
      <c r="P11419" s="42"/>
      <c r="AB11419" s="38"/>
    </row>
    <row r="11420">
      <c r="P11420" s="42"/>
      <c r="AB11420" s="38"/>
    </row>
    <row r="11421">
      <c r="P11421" s="42"/>
      <c r="AB11421" s="38"/>
    </row>
    <row r="11422">
      <c r="P11422" s="42"/>
      <c r="AB11422" s="38"/>
    </row>
    <row r="11423">
      <c r="P11423" s="42"/>
      <c r="AB11423" s="38"/>
    </row>
    <row r="11424">
      <c r="P11424" s="42"/>
      <c r="AB11424" s="38"/>
    </row>
    <row r="11425">
      <c r="P11425" s="42"/>
      <c r="AB11425" s="38"/>
    </row>
    <row r="11426">
      <c r="P11426" s="42"/>
      <c r="AB11426" s="38"/>
    </row>
    <row r="11427">
      <c r="P11427" s="42"/>
      <c r="AB11427" s="38"/>
    </row>
    <row r="11428">
      <c r="P11428" s="42"/>
      <c r="AB11428" s="38"/>
    </row>
    <row r="11429">
      <c r="P11429" s="42"/>
      <c r="AB11429" s="38"/>
    </row>
    <row r="11430">
      <c r="P11430" s="42"/>
      <c r="AB11430" s="38"/>
    </row>
    <row r="11431">
      <c r="P11431" s="42"/>
      <c r="AB11431" s="38"/>
    </row>
    <row r="11432">
      <c r="P11432" s="42"/>
      <c r="AB11432" s="38"/>
    </row>
    <row r="11433">
      <c r="P11433" s="42"/>
      <c r="AB11433" s="38"/>
    </row>
    <row r="11434">
      <c r="P11434" s="42"/>
      <c r="AB11434" s="38"/>
    </row>
    <row r="11435">
      <c r="P11435" s="42"/>
      <c r="AB11435" s="38"/>
    </row>
    <row r="11436">
      <c r="P11436" s="42"/>
      <c r="AB11436" s="38"/>
    </row>
    <row r="11437">
      <c r="P11437" s="42"/>
      <c r="AB11437" s="38"/>
    </row>
    <row r="11438">
      <c r="P11438" s="42"/>
      <c r="AB11438" s="38"/>
    </row>
    <row r="11439">
      <c r="P11439" s="42"/>
      <c r="AB11439" s="38"/>
    </row>
    <row r="11440">
      <c r="P11440" s="42"/>
      <c r="AB11440" s="38"/>
    </row>
    <row r="11441">
      <c r="P11441" s="42"/>
      <c r="AB11441" s="38"/>
    </row>
    <row r="11442">
      <c r="P11442" s="42"/>
      <c r="AB11442" s="38"/>
    </row>
    <row r="11443">
      <c r="P11443" s="42"/>
      <c r="AB11443" s="38"/>
    </row>
    <row r="11444">
      <c r="P11444" s="42"/>
      <c r="AB11444" s="38"/>
    </row>
    <row r="11445">
      <c r="P11445" s="42"/>
      <c r="AB11445" s="38"/>
    </row>
    <row r="11446">
      <c r="P11446" s="42"/>
      <c r="AB11446" s="38"/>
    </row>
    <row r="11447">
      <c r="P11447" s="42"/>
      <c r="AB11447" s="38"/>
    </row>
    <row r="11448">
      <c r="P11448" s="42"/>
      <c r="AB11448" s="38"/>
    </row>
    <row r="11449">
      <c r="P11449" s="42"/>
      <c r="AB11449" s="38"/>
    </row>
    <row r="11450">
      <c r="P11450" s="42"/>
      <c r="AB11450" s="38"/>
    </row>
    <row r="11451">
      <c r="P11451" s="42"/>
      <c r="AB11451" s="38"/>
    </row>
    <row r="11452">
      <c r="P11452" s="42"/>
      <c r="AB11452" s="38"/>
    </row>
    <row r="11453">
      <c r="P11453" s="42"/>
      <c r="AB11453" s="38"/>
    </row>
    <row r="11454">
      <c r="P11454" s="42"/>
      <c r="AB11454" s="38"/>
    </row>
    <row r="11455">
      <c r="P11455" s="42"/>
      <c r="AB11455" s="38"/>
    </row>
    <row r="11456">
      <c r="P11456" s="42"/>
      <c r="AB11456" s="38"/>
    </row>
    <row r="11457">
      <c r="P11457" s="42"/>
      <c r="AB11457" s="38"/>
    </row>
    <row r="11458">
      <c r="P11458" s="42"/>
      <c r="AB11458" s="38"/>
    </row>
    <row r="11459">
      <c r="P11459" s="42"/>
      <c r="AB11459" s="38"/>
    </row>
    <row r="11460">
      <c r="P11460" s="42"/>
      <c r="AB11460" s="38"/>
    </row>
    <row r="11461">
      <c r="P11461" s="42"/>
      <c r="AB11461" s="38"/>
    </row>
    <row r="11462">
      <c r="P11462" s="42"/>
      <c r="AB11462" s="38"/>
    </row>
    <row r="11463">
      <c r="P11463" s="42"/>
      <c r="AB11463" s="38"/>
    </row>
    <row r="11464">
      <c r="P11464" s="42"/>
      <c r="AB11464" s="38"/>
    </row>
    <row r="11465">
      <c r="P11465" s="42"/>
      <c r="AB11465" s="38"/>
    </row>
    <row r="11466">
      <c r="P11466" s="42"/>
      <c r="AB11466" s="38"/>
    </row>
    <row r="11467">
      <c r="P11467" s="42"/>
      <c r="AB11467" s="38"/>
    </row>
    <row r="11468">
      <c r="P11468" s="42"/>
      <c r="AB11468" s="38"/>
    </row>
    <row r="11469">
      <c r="P11469" s="42"/>
      <c r="AB11469" s="38"/>
    </row>
    <row r="11470">
      <c r="P11470" s="42"/>
      <c r="AB11470" s="38"/>
    </row>
    <row r="11471">
      <c r="P11471" s="42"/>
      <c r="AB11471" s="38"/>
    </row>
    <row r="11472">
      <c r="P11472" s="42"/>
      <c r="AB11472" s="38"/>
    </row>
    <row r="11473">
      <c r="P11473" s="42"/>
      <c r="AB11473" s="38"/>
    </row>
    <row r="11474">
      <c r="P11474" s="42"/>
      <c r="AB11474" s="38"/>
    </row>
    <row r="11475">
      <c r="P11475" s="42"/>
      <c r="AB11475" s="38"/>
    </row>
    <row r="11476">
      <c r="P11476" s="42"/>
      <c r="AB11476" s="38"/>
    </row>
    <row r="11477">
      <c r="P11477" s="42"/>
      <c r="AB11477" s="38"/>
    </row>
    <row r="11478">
      <c r="P11478" s="42"/>
      <c r="AB11478" s="38"/>
    </row>
    <row r="11479">
      <c r="P11479" s="42"/>
      <c r="AB11479" s="38"/>
    </row>
    <row r="11480">
      <c r="P11480" s="42"/>
      <c r="AB11480" s="38"/>
    </row>
    <row r="11481">
      <c r="P11481" s="42"/>
      <c r="AB11481" s="38"/>
    </row>
    <row r="11482">
      <c r="P11482" s="42"/>
      <c r="AB11482" s="38"/>
    </row>
    <row r="11483">
      <c r="P11483" s="42"/>
      <c r="AB11483" s="38"/>
    </row>
    <row r="11484">
      <c r="P11484" s="42"/>
      <c r="AB11484" s="38"/>
    </row>
    <row r="11485">
      <c r="P11485" s="42"/>
      <c r="AB11485" s="38"/>
    </row>
    <row r="11486">
      <c r="P11486" s="42"/>
      <c r="AB11486" s="38"/>
    </row>
    <row r="11487">
      <c r="P11487" s="42"/>
      <c r="AB11487" s="38"/>
    </row>
    <row r="11488">
      <c r="P11488" s="42"/>
      <c r="AB11488" s="38"/>
    </row>
    <row r="11489">
      <c r="P11489" s="42"/>
      <c r="AB11489" s="38"/>
    </row>
    <row r="11490">
      <c r="P11490" s="42"/>
      <c r="AB11490" s="38"/>
    </row>
    <row r="11491">
      <c r="P11491" s="42"/>
      <c r="AB11491" s="38"/>
    </row>
    <row r="11492">
      <c r="P11492" s="42"/>
      <c r="AB11492" s="38"/>
    </row>
    <row r="11493">
      <c r="P11493" s="42"/>
      <c r="AB11493" s="38"/>
    </row>
    <row r="11494">
      <c r="P11494" s="42"/>
      <c r="AB11494" s="38"/>
    </row>
    <row r="11495">
      <c r="P11495" s="42"/>
      <c r="AB11495" s="38"/>
    </row>
    <row r="11496">
      <c r="P11496" s="42"/>
      <c r="AB11496" s="38"/>
    </row>
    <row r="11497">
      <c r="P11497" s="42"/>
      <c r="AB11497" s="38"/>
    </row>
    <row r="11498">
      <c r="P11498" s="42"/>
      <c r="AB11498" s="38"/>
    </row>
    <row r="11499">
      <c r="P11499" s="42"/>
      <c r="AB11499" s="38"/>
    </row>
    <row r="11500">
      <c r="P11500" s="42"/>
      <c r="AB11500" s="38"/>
    </row>
    <row r="11501">
      <c r="P11501" s="42"/>
      <c r="AB11501" s="38"/>
    </row>
    <row r="11502">
      <c r="P11502" s="42"/>
      <c r="AB11502" s="38"/>
    </row>
    <row r="11503">
      <c r="P11503" s="42"/>
      <c r="AB11503" s="38"/>
    </row>
    <row r="11504">
      <c r="P11504" s="42"/>
      <c r="AB11504" s="38"/>
    </row>
    <row r="11505">
      <c r="P11505" s="42"/>
      <c r="AB11505" s="38"/>
    </row>
    <row r="11506">
      <c r="P11506" s="42"/>
      <c r="AB11506" s="38"/>
    </row>
    <row r="11507">
      <c r="P11507" s="42"/>
      <c r="AB11507" s="38"/>
    </row>
    <row r="11508">
      <c r="P11508" s="42"/>
      <c r="AB11508" s="38"/>
    </row>
    <row r="11509">
      <c r="P11509" s="42"/>
      <c r="AB11509" s="38"/>
    </row>
    <row r="11510">
      <c r="P11510" s="42"/>
      <c r="AB11510" s="38"/>
    </row>
    <row r="11511">
      <c r="P11511" s="42"/>
      <c r="AB11511" s="38"/>
    </row>
    <row r="11512">
      <c r="P11512" s="42"/>
      <c r="AB11512" s="38"/>
    </row>
    <row r="11513">
      <c r="P11513" s="42"/>
      <c r="AB11513" s="38"/>
    </row>
    <row r="11514">
      <c r="P11514" s="42"/>
      <c r="AB11514" s="38"/>
    </row>
    <row r="11515">
      <c r="P11515" s="42"/>
      <c r="AB11515" s="38"/>
    </row>
    <row r="11516">
      <c r="P11516" s="42"/>
      <c r="AB11516" s="38"/>
    </row>
    <row r="11517">
      <c r="P11517" s="42"/>
      <c r="AB11517" s="38"/>
    </row>
    <row r="11518">
      <c r="P11518" s="42"/>
      <c r="AB11518" s="38"/>
    </row>
    <row r="11519">
      <c r="P11519" s="42"/>
      <c r="AB11519" s="38"/>
    </row>
    <row r="11520">
      <c r="P11520" s="42"/>
      <c r="AB11520" s="38"/>
    </row>
    <row r="11521">
      <c r="P11521" s="42"/>
      <c r="AB11521" s="38"/>
    </row>
    <row r="11522">
      <c r="P11522" s="42"/>
      <c r="AB11522" s="38"/>
    </row>
    <row r="11523">
      <c r="P11523" s="42"/>
      <c r="AB11523" s="38"/>
    </row>
    <row r="11524">
      <c r="P11524" s="42"/>
      <c r="AB11524" s="38"/>
    </row>
    <row r="11525">
      <c r="P11525" s="42"/>
      <c r="AB11525" s="38"/>
    </row>
    <row r="11526">
      <c r="P11526" s="42"/>
      <c r="AB11526" s="38"/>
    </row>
    <row r="11527">
      <c r="P11527" s="42"/>
      <c r="AB11527" s="38"/>
    </row>
    <row r="11528">
      <c r="P11528" s="42"/>
      <c r="AB11528" s="38"/>
    </row>
    <row r="11529">
      <c r="P11529" s="42"/>
      <c r="AB11529" s="38"/>
    </row>
    <row r="11530">
      <c r="P11530" s="42"/>
      <c r="AB11530" s="38"/>
    </row>
    <row r="11531">
      <c r="P11531" s="42"/>
      <c r="AB11531" s="38"/>
    </row>
    <row r="11532">
      <c r="P11532" s="42"/>
      <c r="AB11532" s="38"/>
    </row>
    <row r="11533">
      <c r="P11533" s="42"/>
      <c r="AB11533" s="38"/>
    </row>
    <row r="11534">
      <c r="P11534" s="42"/>
      <c r="AB11534" s="38"/>
    </row>
    <row r="11535">
      <c r="P11535" s="42"/>
      <c r="AB11535" s="38"/>
    </row>
    <row r="11536">
      <c r="P11536" s="42"/>
      <c r="AB11536" s="38"/>
    </row>
    <row r="11537">
      <c r="P11537" s="42"/>
      <c r="AB11537" s="38"/>
    </row>
    <row r="11538">
      <c r="P11538" s="42"/>
      <c r="AB11538" s="38"/>
    </row>
    <row r="11539">
      <c r="P11539" s="42"/>
      <c r="AB11539" s="38"/>
    </row>
    <row r="11540">
      <c r="P11540" s="42"/>
      <c r="AB11540" s="38"/>
    </row>
    <row r="11541">
      <c r="P11541" s="42"/>
      <c r="AB11541" s="38"/>
    </row>
    <row r="11542">
      <c r="P11542" s="42"/>
      <c r="AB11542" s="38"/>
    </row>
    <row r="11543">
      <c r="P11543" s="42"/>
      <c r="AB11543" s="38"/>
    </row>
    <row r="11544">
      <c r="P11544" s="42"/>
      <c r="AB11544" s="38"/>
    </row>
    <row r="11545">
      <c r="P11545" s="42"/>
      <c r="AB11545" s="38"/>
    </row>
    <row r="11546">
      <c r="P11546" s="42"/>
      <c r="AB11546" s="38"/>
    </row>
    <row r="11547">
      <c r="P11547" s="42"/>
      <c r="AB11547" s="38"/>
    </row>
    <row r="11548">
      <c r="P11548" s="42"/>
      <c r="AB11548" s="38"/>
    </row>
    <row r="11549">
      <c r="P11549" s="42"/>
      <c r="AB11549" s="38"/>
    </row>
    <row r="11550">
      <c r="P11550" s="42"/>
      <c r="AB11550" s="38"/>
    </row>
    <row r="11551">
      <c r="P11551" s="42"/>
      <c r="AB11551" s="38"/>
    </row>
    <row r="11552">
      <c r="P11552" s="42"/>
      <c r="AB11552" s="38"/>
    </row>
    <row r="11553">
      <c r="P11553" s="42"/>
      <c r="AB11553" s="38"/>
    </row>
    <row r="11554">
      <c r="P11554" s="42"/>
      <c r="AB11554" s="38"/>
    </row>
    <row r="11555">
      <c r="P11555" s="42"/>
      <c r="AB11555" s="38"/>
    </row>
    <row r="11556">
      <c r="P11556" s="42"/>
      <c r="AB11556" s="38"/>
    </row>
    <row r="11557">
      <c r="P11557" s="42"/>
      <c r="AB11557" s="38"/>
    </row>
    <row r="11558">
      <c r="P11558" s="42"/>
      <c r="AB11558" s="38"/>
    </row>
    <row r="11559">
      <c r="P11559" s="42"/>
      <c r="AB11559" s="38"/>
    </row>
    <row r="11560">
      <c r="P11560" s="42"/>
      <c r="AB11560" s="38"/>
    </row>
    <row r="11561">
      <c r="P11561" s="42"/>
      <c r="AB11561" s="38"/>
    </row>
    <row r="11562">
      <c r="P11562" s="42"/>
      <c r="AB11562" s="38"/>
    </row>
    <row r="11563">
      <c r="P11563" s="42"/>
      <c r="AB11563" s="38"/>
    </row>
    <row r="11564">
      <c r="P11564" s="42"/>
      <c r="AB11564" s="38"/>
    </row>
    <row r="11565">
      <c r="P11565" s="42"/>
      <c r="AB11565" s="38"/>
    </row>
    <row r="11566">
      <c r="P11566" s="42"/>
      <c r="AB11566" s="38"/>
    </row>
    <row r="11567">
      <c r="P11567" s="42"/>
      <c r="AB11567" s="38"/>
    </row>
    <row r="11568">
      <c r="P11568" s="42"/>
      <c r="AB11568" s="38"/>
    </row>
    <row r="11569">
      <c r="P11569" s="42"/>
      <c r="AB11569" s="38"/>
    </row>
    <row r="11570">
      <c r="P11570" s="42"/>
      <c r="AB11570" s="38"/>
    </row>
    <row r="11571">
      <c r="P11571" s="42"/>
      <c r="AB11571" s="38"/>
    </row>
    <row r="11572">
      <c r="P11572" s="42"/>
      <c r="AB11572" s="38"/>
    </row>
    <row r="11573">
      <c r="P11573" s="42"/>
      <c r="AB11573" s="38"/>
    </row>
    <row r="11574">
      <c r="P11574" s="42"/>
      <c r="AB11574" s="38"/>
    </row>
    <row r="11575">
      <c r="P11575" s="42"/>
      <c r="AB11575" s="38"/>
    </row>
    <row r="11576">
      <c r="P11576" s="42"/>
      <c r="AB11576" s="38"/>
    </row>
    <row r="11577">
      <c r="P11577" s="42"/>
      <c r="AB11577" s="38"/>
    </row>
    <row r="11578">
      <c r="P11578" s="42"/>
      <c r="AB11578" s="38"/>
    </row>
    <row r="11579">
      <c r="P11579" s="42"/>
      <c r="AB11579" s="38"/>
    </row>
    <row r="11580">
      <c r="P11580" s="42"/>
      <c r="AB11580" s="38"/>
    </row>
    <row r="11581">
      <c r="P11581" s="42"/>
      <c r="AB11581" s="38"/>
    </row>
    <row r="11582">
      <c r="P11582" s="42"/>
      <c r="AB11582" s="38"/>
    </row>
    <row r="11583">
      <c r="P11583" s="42"/>
      <c r="AB11583" s="38"/>
    </row>
    <row r="11584">
      <c r="P11584" s="42"/>
      <c r="AB11584" s="38"/>
    </row>
    <row r="11585">
      <c r="P11585" s="42"/>
      <c r="AB11585" s="38"/>
    </row>
    <row r="11586">
      <c r="P11586" s="42"/>
      <c r="AB11586" s="38"/>
    </row>
    <row r="11587">
      <c r="P11587" s="42"/>
      <c r="AB11587" s="38"/>
    </row>
    <row r="11588">
      <c r="P11588" s="42"/>
      <c r="AB11588" s="38"/>
    </row>
    <row r="11589">
      <c r="P11589" s="42"/>
      <c r="AB11589" s="38"/>
    </row>
    <row r="11590">
      <c r="P11590" s="42"/>
      <c r="AB11590" s="38"/>
    </row>
    <row r="11591">
      <c r="P11591" s="42"/>
      <c r="AB11591" s="38"/>
    </row>
    <row r="11592">
      <c r="P11592" s="42"/>
      <c r="AB11592" s="38"/>
    </row>
    <row r="11593">
      <c r="P11593" s="42"/>
      <c r="AB11593" s="38"/>
    </row>
    <row r="11594">
      <c r="P11594" s="42"/>
      <c r="AB11594" s="38"/>
    </row>
    <row r="11595">
      <c r="P11595" s="42"/>
      <c r="AB11595" s="38"/>
    </row>
    <row r="11596">
      <c r="P11596" s="42"/>
      <c r="AB11596" s="38"/>
    </row>
    <row r="11597">
      <c r="P11597" s="42"/>
      <c r="AB11597" s="38"/>
    </row>
    <row r="11598">
      <c r="P11598" s="42"/>
      <c r="AB11598" s="38"/>
    </row>
    <row r="11599">
      <c r="P11599" s="42"/>
      <c r="AB11599" s="38"/>
    </row>
    <row r="11600">
      <c r="P11600" s="42"/>
      <c r="AB11600" s="38"/>
    </row>
    <row r="11601">
      <c r="P11601" s="42"/>
      <c r="AB11601" s="38"/>
    </row>
    <row r="11602">
      <c r="P11602" s="42"/>
      <c r="AB11602" s="38"/>
    </row>
    <row r="11603">
      <c r="P11603" s="42"/>
      <c r="AB11603" s="38"/>
    </row>
    <row r="11604">
      <c r="P11604" s="42"/>
      <c r="AB11604" s="38"/>
    </row>
    <row r="11605">
      <c r="P11605" s="42"/>
      <c r="AB11605" s="38"/>
    </row>
    <row r="11606">
      <c r="P11606" s="42"/>
      <c r="AB11606" s="38"/>
    </row>
    <row r="11607">
      <c r="P11607" s="42"/>
      <c r="AB11607" s="38"/>
    </row>
    <row r="11608">
      <c r="P11608" s="42"/>
      <c r="AB11608" s="38"/>
    </row>
    <row r="11609">
      <c r="P11609" s="42"/>
      <c r="AB11609" s="38"/>
    </row>
    <row r="11610">
      <c r="P11610" s="42"/>
      <c r="AB11610" s="38"/>
    </row>
    <row r="11611">
      <c r="P11611" s="42"/>
      <c r="AB11611" s="38"/>
    </row>
    <row r="11612">
      <c r="P11612" s="42"/>
      <c r="AB11612" s="38"/>
    </row>
    <row r="11613">
      <c r="P11613" s="42"/>
      <c r="AB11613" s="38"/>
    </row>
    <row r="11614">
      <c r="P11614" s="42"/>
      <c r="AB11614" s="38"/>
    </row>
    <row r="11615">
      <c r="P11615" s="42"/>
      <c r="AB11615" s="38"/>
    </row>
    <row r="11616">
      <c r="P11616" s="42"/>
      <c r="AB11616" s="38"/>
    </row>
    <row r="11617">
      <c r="P11617" s="42"/>
      <c r="AB11617" s="38"/>
    </row>
    <row r="11618">
      <c r="P11618" s="42"/>
      <c r="AB11618" s="38"/>
    </row>
    <row r="11619">
      <c r="P11619" s="42"/>
      <c r="AB11619" s="38"/>
    </row>
    <row r="11620">
      <c r="P11620" s="42"/>
      <c r="AB11620" s="38"/>
    </row>
    <row r="11621">
      <c r="P11621" s="42"/>
      <c r="AB11621" s="38"/>
    </row>
    <row r="11622">
      <c r="P11622" s="42"/>
      <c r="AB11622" s="38"/>
    </row>
    <row r="11623">
      <c r="P11623" s="42"/>
      <c r="AB11623" s="38"/>
    </row>
    <row r="11624">
      <c r="P11624" s="42"/>
      <c r="AB11624" s="38"/>
    </row>
    <row r="11625">
      <c r="P11625" s="42"/>
      <c r="AB11625" s="38"/>
    </row>
    <row r="11626">
      <c r="P11626" s="42"/>
      <c r="AB11626" s="38"/>
    </row>
    <row r="11627">
      <c r="P11627" s="42"/>
      <c r="AB11627" s="38"/>
    </row>
    <row r="11628">
      <c r="P11628" s="42"/>
      <c r="AB11628" s="38"/>
    </row>
    <row r="11629">
      <c r="P11629" s="42"/>
      <c r="AB11629" s="38"/>
    </row>
    <row r="11630">
      <c r="P11630" s="42"/>
      <c r="AB11630" s="38"/>
    </row>
    <row r="11631">
      <c r="P11631" s="42"/>
      <c r="AB11631" s="38"/>
    </row>
    <row r="11632">
      <c r="P11632" s="42"/>
      <c r="AB11632" s="38"/>
    </row>
    <row r="11633">
      <c r="P11633" s="42"/>
      <c r="AB11633" s="38"/>
    </row>
    <row r="11634">
      <c r="P11634" s="42"/>
      <c r="AB11634" s="38"/>
    </row>
    <row r="11635">
      <c r="P11635" s="42"/>
      <c r="AB11635" s="38"/>
    </row>
    <row r="11636">
      <c r="P11636" s="42"/>
      <c r="AB11636" s="38"/>
    </row>
    <row r="11637">
      <c r="P11637" s="42"/>
      <c r="AB11637" s="38"/>
    </row>
    <row r="11638">
      <c r="P11638" s="42"/>
      <c r="AB11638" s="38"/>
    </row>
    <row r="11639">
      <c r="P11639" s="42"/>
      <c r="AB11639" s="38"/>
    </row>
    <row r="11640">
      <c r="P11640" s="42"/>
      <c r="AB11640" s="38"/>
    </row>
    <row r="11641">
      <c r="P11641" s="42"/>
      <c r="AB11641" s="38"/>
    </row>
    <row r="11642">
      <c r="P11642" s="42"/>
      <c r="AB11642" s="38"/>
    </row>
    <row r="11643">
      <c r="P11643" s="42"/>
      <c r="AB11643" s="38"/>
    </row>
    <row r="11644">
      <c r="P11644" s="42"/>
      <c r="AB11644" s="38"/>
    </row>
    <row r="11645">
      <c r="P11645" s="42"/>
      <c r="AB11645" s="38"/>
    </row>
    <row r="11646">
      <c r="P11646" s="42"/>
      <c r="AB11646" s="38"/>
    </row>
    <row r="11647">
      <c r="P11647" s="42"/>
      <c r="AB11647" s="38"/>
    </row>
    <row r="11648">
      <c r="P11648" s="42"/>
      <c r="AB11648" s="38"/>
    </row>
    <row r="11649">
      <c r="P11649" s="42"/>
      <c r="AB11649" s="38"/>
    </row>
    <row r="11650">
      <c r="P11650" s="42"/>
      <c r="AB11650" s="38"/>
    </row>
    <row r="11651">
      <c r="P11651" s="42"/>
      <c r="AB11651" s="38"/>
    </row>
    <row r="11652">
      <c r="P11652" s="42"/>
      <c r="AB11652" s="38"/>
    </row>
    <row r="11653">
      <c r="P11653" s="42"/>
      <c r="AB11653" s="38"/>
    </row>
    <row r="11654">
      <c r="P11654" s="42"/>
      <c r="AB11654" s="38"/>
    </row>
    <row r="11655">
      <c r="P11655" s="42"/>
      <c r="AB11655" s="38"/>
    </row>
    <row r="11656">
      <c r="P11656" s="42"/>
      <c r="AB11656" s="38"/>
    </row>
    <row r="11657">
      <c r="P11657" s="42"/>
      <c r="AB11657" s="38"/>
    </row>
    <row r="11658">
      <c r="P11658" s="42"/>
      <c r="AB11658" s="38"/>
    </row>
    <row r="11659">
      <c r="P11659" s="42"/>
      <c r="AB11659" s="38"/>
    </row>
    <row r="11660">
      <c r="P11660" s="42"/>
      <c r="AB11660" s="38"/>
    </row>
    <row r="11661">
      <c r="P11661" s="42"/>
      <c r="AB11661" s="38"/>
    </row>
    <row r="11662">
      <c r="P11662" s="42"/>
      <c r="AB11662" s="38"/>
    </row>
    <row r="11663">
      <c r="P11663" s="42"/>
      <c r="AB11663" s="38"/>
    </row>
    <row r="11664">
      <c r="P11664" s="42"/>
      <c r="AB11664" s="38"/>
    </row>
    <row r="11665">
      <c r="P11665" s="42"/>
      <c r="AB11665" s="38"/>
    </row>
    <row r="11666">
      <c r="P11666" s="42"/>
      <c r="AB11666" s="38"/>
    </row>
    <row r="11667">
      <c r="P11667" s="42"/>
      <c r="AB11667" s="38"/>
    </row>
    <row r="11668">
      <c r="P11668" s="42"/>
      <c r="AB11668" s="38"/>
    </row>
    <row r="11669">
      <c r="P11669" s="42"/>
      <c r="AB11669" s="38"/>
    </row>
    <row r="11670">
      <c r="P11670" s="42"/>
      <c r="AB11670" s="38"/>
    </row>
    <row r="11671">
      <c r="P11671" s="42"/>
      <c r="AB11671" s="38"/>
    </row>
    <row r="11672">
      <c r="P11672" s="42"/>
      <c r="AB11672" s="38"/>
    </row>
    <row r="11673">
      <c r="P11673" s="42"/>
      <c r="AB11673" s="38"/>
    </row>
    <row r="11674">
      <c r="P11674" s="42"/>
      <c r="AB11674" s="38"/>
    </row>
    <row r="11675">
      <c r="P11675" s="42"/>
      <c r="AB11675" s="38"/>
    </row>
    <row r="11676">
      <c r="P11676" s="42"/>
      <c r="AB11676" s="38"/>
    </row>
    <row r="11677">
      <c r="P11677" s="42"/>
      <c r="AB11677" s="38"/>
    </row>
    <row r="11678">
      <c r="P11678" s="42"/>
      <c r="AB11678" s="38"/>
    </row>
    <row r="11679">
      <c r="P11679" s="42"/>
      <c r="AB11679" s="38"/>
    </row>
    <row r="11680">
      <c r="P11680" s="42"/>
      <c r="AB11680" s="38"/>
    </row>
    <row r="11681">
      <c r="P11681" s="42"/>
      <c r="AB11681" s="38"/>
    </row>
    <row r="11682">
      <c r="P11682" s="42"/>
      <c r="AB11682" s="38"/>
    </row>
    <row r="11683">
      <c r="P11683" s="42"/>
      <c r="AB11683" s="38"/>
    </row>
    <row r="11684">
      <c r="P11684" s="42"/>
      <c r="AB11684" s="38"/>
    </row>
    <row r="11685">
      <c r="P11685" s="42"/>
      <c r="AB11685" s="38"/>
    </row>
    <row r="11686">
      <c r="P11686" s="42"/>
      <c r="AB11686" s="38"/>
    </row>
    <row r="11687">
      <c r="P11687" s="42"/>
      <c r="AB11687" s="38"/>
    </row>
    <row r="11688">
      <c r="P11688" s="42"/>
      <c r="AB11688" s="38"/>
    </row>
    <row r="11689">
      <c r="P11689" s="42"/>
      <c r="AB11689" s="38"/>
    </row>
    <row r="11690">
      <c r="P11690" s="42"/>
      <c r="AB11690" s="38"/>
    </row>
    <row r="11691">
      <c r="P11691" s="42"/>
      <c r="AB11691" s="38"/>
    </row>
    <row r="11692">
      <c r="P11692" s="42"/>
      <c r="AB11692" s="38"/>
    </row>
    <row r="11693">
      <c r="P11693" s="42"/>
      <c r="AB11693" s="38"/>
    </row>
    <row r="11694">
      <c r="P11694" s="42"/>
      <c r="AB11694" s="38"/>
    </row>
    <row r="11695">
      <c r="P11695" s="42"/>
      <c r="AB11695" s="38"/>
    </row>
    <row r="11696">
      <c r="P11696" s="42"/>
      <c r="AB11696" s="38"/>
    </row>
    <row r="11697">
      <c r="P11697" s="42"/>
      <c r="AB11697" s="38"/>
    </row>
    <row r="11698">
      <c r="P11698" s="42"/>
      <c r="AB11698" s="38"/>
    </row>
    <row r="11699">
      <c r="P11699" s="42"/>
      <c r="AB11699" s="38"/>
    </row>
    <row r="11700">
      <c r="P11700" s="42"/>
      <c r="AB11700" s="38"/>
    </row>
    <row r="11701">
      <c r="P11701" s="42"/>
      <c r="AB11701" s="38"/>
    </row>
    <row r="11702">
      <c r="P11702" s="42"/>
      <c r="AB11702" s="38"/>
    </row>
    <row r="11703">
      <c r="P11703" s="42"/>
      <c r="AB11703" s="38"/>
    </row>
    <row r="11704">
      <c r="P11704" s="42"/>
      <c r="AB11704" s="38"/>
    </row>
    <row r="11705">
      <c r="P11705" s="42"/>
      <c r="AB11705" s="38"/>
    </row>
    <row r="11706">
      <c r="P11706" s="42"/>
      <c r="AB11706" s="38"/>
    </row>
    <row r="11707">
      <c r="P11707" s="42"/>
      <c r="AB11707" s="38"/>
    </row>
    <row r="11708">
      <c r="P11708" s="42"/>
      <c r="AB11708" s="38"/>
    </row>
    <row r="11709">
      <c r="P11709" s="42"/>
      <c r="AB11709" s="38"/>
    </row>
    <row r="11710">
      <c r="P11710" s="42"/>
      <c r="AB11710" s="38"/>
    </row>
    <row r="11711">
      <c r="P11711" s="42"/>
      <c r="AB11711" s="38"/>
    </row>
    <row r="11712">
      <c r="P11712" s="42"/>
      <c r="AB11712" s="38"/>
    </row>
    <row r="11713">
      <c r="P11713" s="42"/>
      <c r="AB11713" s="38"/>
    </row>
    <row r="11714">
      <c r="P11714" s="42"/>
      <c r="AB11714" s="38"/>
    </row>
    <row r="11715">
      <c r="P11715" s="42"/>
      <c r="AB11715" s="38"/>
    </row>
    <row r="11716">
      <c r="P11716" s="42"/>
      <c r="AB11716" s="38"/>
    </row>
    <row r="11717">
      <c r="P11717" s="42"/>
      <c r="AB11717" s="38"/>
    </row>
    <row r="11718">
      <c r="P11718" s="42"/>
      <c r="AB11718" s="38"/>
    </row>
    <row r="11719">
      <c r="P11719" s="42"/>
      <c r="AB11719" s="38"/>
    </row>
    <row r="11720">
      <c r="P11720" s="42"/>
      <c r="AB11720" s="38"/>
    </row>
    <row r="11721">
      <c r="P11721" s="42"/>
      <c r="AB11721" s="38"/>
    </row>
    <row r="11722">
      <c r="P11722" s="42"/>
      <c r="AB11722" s="38"/>
    </row>
    <row r="11723">
      <c r="P11723" s="42"/>
      <c r="AB11723" s="38"/>
    </row>
    <row r="11724">
      <c r="P11724" s="42"/>
      <c r="AB11724" s="38"/>
    </row>
    <row r="11725">
      <c r="P11725" s="42"/>
      <c r="AB11725" s="38"/>
    </row>
    <row r="11726">
      <c r="P11726" s="42"/>
      <c r="AB11726" s="38"/>
    </row>
    <row r="11727">
      <c r="P11727" s="42"/>
      <c r="AB11727" s="38"/>
    </row>
    <row r="11728">
      <c r="P11728" s="42"/>
      <c r="AB11728" s="38"/>
    </row>
    <row r="11729">
      <c r="P11729" s="42"/>
      <c r="AB11729" s="38"/>
    </row>
    <row r="11730">
      <c r="P11730" s="42"/>
      <c r="AB11730" s="38"/>
    </row>
    <row r="11731">
      <c r="P11731" s="42"/>
      <c r="AB11731" s="38"/>
    </row>
    <row r="11732">
      <c r="P11732" s="42"/>
      <c r="AB11732" s="38"/>
    </row>
    <row r="11733">
      <c r="P11733" s="42"/>
      <c r="AB11733" s="38"/>
    </row>
    <row r="11734">
      <c r="P11734" s="42"/>
      <c r="AB11734" s="38"/>
    </row>
    <row r="11735">
      <c r="P11735" s="42"/>
      <c r="AB11735" s="38"/>
    </row>
    <row r="11736">
      <c r="P11736" s="42"/>
      <c r="AB11736" s="38"/>
    </row>
    <row r="11737">
      <c r="P11737" s="42"/>
      <c r="AB11737" s="38"/>
    </row>
    <row r="11738">
      <c r="P11738" s="42"/>
      <c r="AB11738" s="38"/>
    </row>
    <row r="11739">
      <c r="P11739" s="42"/>
      <c r="AB11739" s="38"/>
    </row>
    <row r="11740">
      <c r="P11740" s="42"/>
      <c r="AB11740" s="38"/>
    </row>
    <row r="11741">
      <c r="P11741" s="42"/>
      <c r="AB11741" s="38"/>
    </row>
    <row r="11742">
      <c r="P11742" s="42"/>
      <c r="AB11742" s="38"/>
    </row>
    <row r="11743">
      <c r="P11743" s="42"/>
      <c r="AB11743" s="38"/>
    </row>
    <row r="11744">
      <c r="P11744" s="42"/>
      <c r="AB11744" s="38"/>
    </row>
    <row r="11745">
      <c r="P11745" s="42"/>
      <c r="AB11745" s="38"/>
    </row>
    <row r="11746">
      <c r="P11746" s="42"/>
      <c r="AB11746" s="38"/>
    </row>
    <row r="11747">
      <c r="P11747" s="42"/>
      <c r="AB11747" s="38"/>
    </row>
    <row r="11748">
      <c r="P11748" s="42"/>
      <c r="AB11748" s="38"/>
    </row>
    <row r="11749">
      <c r="P11749" s="42"/>
      <c r="AB11749" s="38"/>
    </row>
    <row r="11750">
      <c r="P11750" s="42"/>
      <c r="AB11750" s="38"/>
    </row>
    <row r="11751">
      <c r="P11751" s="42"/>
      <c r="AB11751" s="38"/>
    </row>
    <row r="11752">
      <c r="P11752" s="42"/>
      <c r="AB11752" s="38"/>
    </row>
    <row r="11753">
      <c r="P11753" s="42"/>
      <c r="AB11753" s="38"/>
    </row>
    <row r="11754">
      <c r="P11754" s="42"/>
      <c r="AB11754" s="38"/>
    </row>
    <row r="11755">
      <c r="P11755" s="42"/>
      <c r="AB11755" s="38"/>
    </row>
    <row r="11756">
      <c r="P11756" s="42"/>
      <c r="AB11756" s="38"/>
    </row>
    <row r="11757">
      <c r="P11757" s="42"/>
      <c r="AB11757" s="38"/>
    </row>
    <row r="11758">
      <c r="P11758" s="42"/>
      <c r="AB11758" s="38"/>
    </row>
    <row r="11759">
      <c r="P11759" s="42"/>
      <c r="AB11759" s="38"/>
    </row>
    <row r="11760">
      <c r="P11760" s="42"/>
      <c r="AB11760" s="38"/>
    </row>
    <row r="11761">
      <c r="P11761" s="42"/>
      <c r="AB11761" s="38"/>
    </row>
    <row r="11762">
      <c r="P11762" s="42"/>
      <c r="AB11762" s="38"/>
    </row>
    <row r="11763">
      <c r="P11763" s="42"/>
      <c r="AB11763" s="38"/>
    </row>
    <row r="11764">
      <c r="P11764" s="42"/>
      <c r="AB11764" s="38"/>
    </row>
    <row r="11765">
      <c r="P11765" s="42"/>
      <c r="AB11765" s="38"/>
    </row>
    <row r="11766">
      <c r="P11766" s="42"/>
      <c r="AB11766" s="38"/>
    </row>
    <row r="11767">
      <c r="P11767" s="42"/>
      <c r="AB11767" s="38"/>
    </row>
    <row r="11768">
      <c r="P11768" s="42"/>
      <c r="AB11768" s="38"/>
    </row>
    <row r="11769">
      <c r="P11769" s="42"/>
      <c r="AB11769" s="38"/>
    </row>
    <row r="11770">
      <c r="P11770" s="42"/>
      <c r="AB11770" s="38"/>
    </row>
    <row r="11771">
      <c r="P11771" s="42"/>
      <c r="AB11771" s="38"/>
    </row>
    <row r="11772">
      <c r="P11772" s="42"/>
      <c r="AB11772" s="38"/>
    </row>
    <row r="11773">
      <c r="P11773" s="42"/>
      <c r="AB11773" s="38"/>
    </row>
    <row r="11774">
      <c r="P11774" s="42"/>
      <c r="AB11774" s="38"/>
    </row>
    <row r="11775">
      <c r="P11775" s="42"/>
      <c r="AB11775" s="38"/>
    </row>
    <row r="11776">
      <c r="P11776" s="42"/>
      <c r="AB11776" s="38"/>
    </row>
    <row r="11777">
      <c r="P11777" s="42"/>
      <c r="AB11777" s="38"/>
    </row>
    <row r="11778">
      <c r="P11778" s="42"/>
      <c r="AB11778" s="38"/>
    </row>
    <row r="11779">
      <c r="P11779" s="42"/>
      <c r="AB11779" s="38"/>
    </row>
    <row r="11780">
      <c r="P11780" s="42"/>
      <c r="AB11780" s="38"/>
    </row>
    <row r="11781">
      <c r="P11781" s="42"/>
      <c r="AB11781" s="38"/>
    </row>
    <row r="11782">
      <c r="P11782" s="42"/>
      <c r="AB11782" s="38"/>
    </row>
    <row r="11783">
      <c r="P11783" s="42"/>
      <c r="AB11783" s="38"/>
    </row>
    <row r="11784">
      <c r="P11784" s="42"/>
      <c r="AB11784" s="38"/>
    </row>
    <row r="11785">
      <c r="P11785" s="42"/>
      <c r="AB11785" s="38"/>
    </row>
    <row r="11786">
      <c r="P11786" s="42"/>
      <c r="AB11786" s="38"/>
    </row>
    <row r="11787">
      <c r="P11787" s="42"/>
      <c r="AB11787" s="38"/>
    </row>
    <row r="11788">
      <c r="P11788" s="42"/>
      <c r="AB11788" s="38"/>
    </row>
    <row r="11789">
      <c r="P11789" s="42"/>
      <c r="AB11789" s="38"/>
    </row>
    <row r="11790">
      <c r="P11790" s="42"/>
      <c r="AB11790" s="38"/>
    </row>
    <row r="11791">
      <c r="P11791" s="42"/>
      <c r="AB11791" s="38"/>
    </row>
    <row r="11792">
      <c r="P11792" s="42"/>
      <c r="AB11792" s="38"/>
    </row>
    <row r="11793">
      <c r="P11793" s="42"/>
      <c r="AB11793" s="38"/>
    </row>
    <row r="11794">
      <c r="P11794" s="42"/>
      <c r="AB11794" s="38"/>
    </row>
    <row r="11795">
      <c r="P11795" s="42"/>
      <c r="AB11795" s="38"/>
    </row>
    <row r="11796">
      <c r="P11796" s="42"/>
      <c r="AB11796" s="38"/>
    </row>
    <row r="11797">
      <c r="P11797" s="42"/>
      <c r="AB11797" s="38"/>
    </row>
    <row r="11798">
      <c r="P11798" s="42"/>
      <c r="AB11798" s="38"/>
    </row>
    <row r="11799">
      <c r="P11799" s="42"/>
      <c r="AB11799" s="38"/>
    </row>
    <row r="11800">
      <c r="P11800" s="42"/>
      <c r="AB11800" s="38"/>
    </row>
    <row r="11801">
      <c r="P11801" s="42"/>
      <c r="AB11801" s="38"/>
    </row>
    <row r="11802">
      <c r="P11802" s="42"/>
      <c r="AB11802" s="38"/>
    </row>
    <row r="11803">
      <c r="P11803" s="42"/>
      <c r="AB11803" s="38"/>
    </row>
    <row r="11804">
      <c r="P11804" s="42"/>
      <c r="AB11804" s="38"/>
    </row>
    <row r="11805">
      <c r="P11805" s="42"/>
      <c r="AB11805" s="38"/>
    </row>
    <row r="11806">
      <c r="P11806" s="42"/>
      <c r="AB11806" s="38"/>
    </row>
    <row r="11807">
      <c r="P11807" s="42"/>
      <c r="AB11807" s="38"/>
    </row>
    <row r="11808">
      <c r="P11808" s="42"/>
      <c r="AB11808" s="38"/>
    </row>
    <row r="11809">
      <c r="P11809" s="42"/>
      <c r="AB11809" s="38"/>
    </row>
    <row r="11810">
      <c r="P11810" s="42"/>
      <c r="AB11810" s="38"/>
    </row>
    <row r="11811">
      <c r="P11811" s="42"/>
      <c r="AB11811" s="38"/>
    </row>
    <row r="11812">
      <c r="P11812" s="42"/>
      <c r="AB11812" s="38"/>
    </row>
    <row r="11813">
      <c r="P11813" s="42"/>
      <c r="AB11813" s="38"/>
    </row>
    <row r="11814">
      <c r="P11814" s="42"/>
      <c r="AB11814" s="38"/>
    </row>
    <row r="11815">
      <c r="P11815" s="42"/>
      <c r="AB11815" s="38"/>
    </row>
    <row r="11816">
      <c r="P11816" s="42"/>
      <c r="AB11816" s="38"/>
    </row>
    <row r="11817">
      <c r="P11817" s="42"/>
      <c r="AB11817" s="38"/>
    </row>
    <row r="11818">
      <c r="P11818" s="42"/>
      <c r="AB11818" s="38"/>
    </row>
    <row r="11819">
      <c r="P11819" s="42"/>
      <c r="AB11819" s="38"/>
    </row>
    <row r="11820">
      <c r="P11820" s="42"/>
      <c r="AB11820" s="38"/>
    </row>
    <row r="11821">
      <c r="P11821" s="42"/>
      <c r="AB11821" s="38"/>
    </row>
    <row r="11822">
      <c r="P11822" s="42"/>
      <c r="AB11822" s="38"/>
    </row>
    <row r="11823">
      <c r="P11823" s="42"/>
      <c r="AB11823" s="38"/>
    </row>
    <row r="11824">
      <c r="P11824" s="42"/>
      <c r="AB11824" s="38"/>
    </row>
    <row r="11825">
      <c r="P11825" s="42"/>
      <c r="AB11825" s="38"/>
    </row>
    <row r="11826">
      <c r="P11826" s="42"/>
      <c r="AB11826" s="38"/>
    </row>
    <row r="11827">
      <c r="P11827" s="42"/>
      <c r="AB11827" s="38"/>
    </row>
    <row r="11828">
      <c r="P11828" s="42"/>
      <c r="AB11828" s="38"/>
    </row>
    <row r="11829">
      <c r="P11829" s="42"/>
      <c r="AB11829" s="38"/>
    </row>
    <row r="11830">
      <c r="P11830" s="42"/>
      <c r="AB11830" s="38"/>
    </row>
    <row r="11831">
      <c r="P11831" s="42"/>
      <c r="AB11831" s="38"/>
    </row>
    <row r="11832">
      <c r="P11832" s="42"/>
      <c r="AB11832" s="38"/>
    </row>
    <row r="11833">
      <c r="P11833" s="42"/>
      <c r="AB11833" s="38"/>
    </row>
    <row r="11834">
      <c r="P11834" s="42"/>
      <c r="AB11834" s="38"/>
    </row>
    <row r="11835">
      <c r="P11835" s="42"/>
      <c r="AB11835" s="38"/>
    </row>
    <row r="11836">
      <c r="P11836" s="42"/>
      <c r="AB11836" s="38"/>
    </row>
    <row r="11837">
      <c r="P11837" s="42"/>
      <c r="AB11837" s="38"/>
    </row>
    <row r="11838">
      <c r="P11838" s="42"/>
      <c r="AB11838" s="38"/>
    </row>
    <row r="11839">
      <c r="P11839" s="42"/>
      <c r="AB11839" s="38"/>
    </row>
    <row r="11840">
      <c r="P11840" s="42"/>
      <c r="AB11840" s="38"/>
    </row>
    <row r="11841">
      <c r="P11841" s="42"/>
      <c r="AB11841" s="38"/>
    </row>
    <row r="11842">
      <c r="P11842" s="42"/>
      <c r="AB11842" s="38"/>
    </row>
    <row r="11843">
      <c r="P11843" s="42"/>
      <c r="AB11843" s="38"/>
    </row>
    <row r="11844">
      <c r="P11844" s="42"/>
      <c r="AB11844" s="38"/>
    </row>
    <row r="11845">
      <c r="P11845" s="42"/>
      <c r="AB11845" s="38"/>
    </row>
    <row r="11846">
      <c r="P11846" s="42"/>
      <c r="AB11846" s="38"/>
    </row>
    <row r="11847">
      <c r="P11847" s="42"/>
      <c r="AB11847" s="38"/>
    </row>
    <row r="11848">
      <c r="P11848" s="42"/>
      <c r="AB11848" s="38"/>
    </row>
    <row r="11849">
      <c r="P11849" s="42"/>
      <c r="AB11849" s="38"/>
    </row>
    <row r="11850">
      <c r="P11850" s="42"/>
      <c r="AB11850" s="38"/>
    </row>
    <row r="11851">
      <c r="P11851" s="42"/>
      <c r="AB11851" s="38"/>
    </row>
    <row r="11852">
      <c r="P11852" s="42"/>
      <c r="AB11852" s="38"/>
    </row>
    <row r="11853">
      <c r="P11853" s="42"/>
      <c r="AB11853" s="38"/>
    </row>
    <row r="11854">
      <c r="P11854" s="42"/>
      <c r="AB11854" s="38"/>
    </row>
    <row r="11855">
      <c r="P11855" s="42"/>
      <c r="AB11855" s="38"/>
    </row>
    <row r="11856">
      <c r="P11856" s="42"/>
      <c r="AB11856" s="38"/>
    </row>
    <row r="11857">
      <c r="P11857" s="42"/>
      <c r="AB11857" s="38"/>
    </row>
    <row r="11858">
      <c r="P11858" s="42"/>
      <c r="AB11858" s="38"/>
    </row>
    <row r="11859">
      <c r="P11859" s="42"/>
      <c r="AB11859" s="38"/>
    </row>
    <row r="11860">
      <c r="P11860" s="42"/>
      <c r="AB11860" s="38"/>
    </row>
    <row r="11861">
      <c r="P11861" s="42"/>
      <c r="AB11861" s="38"/>
    </row>
    <row r="11862">
      <c r="P11862" s="42"/>
      <c r="AB11862" s="38"/>
    </row>
    <row r="11863">
      <c r="P11863" s="42"/>
      <c r="AB11863" s="38"/>
    </row>
    <row r="11864">
      <c r="P11864" s="42"/>
      <c r="AB11864" s="38"/>
    </row>
    <row r="11865">
      <c r="P11865" s="42"/>
      <c r="AB11865" s="38"/>
    </row>
    <row r="11866">
      <c r="P11866" s="42"/>
      <c r="AB11866" s="38"/>
    </row>
    <row r="11867">
      <c r="P11867" s="42"/>
      <c r="AB11867" s="38"/>
    </row>
    <row r="11868">
      <c r="P11868" s="42"/>
      <c r="AB11868" s="38"/>
    </row>
    <row r="11869">
      <c r="P11869" s="42"/>
      <c r="AB11869" s="38"/>
    </row>
    <row r="11870">
      <c r="P11870" s="42"/>
      <c r="AB11870" s="38"/>
    </row>
    <row r="11871">
      <c r="P11871" s="42"/>
      <c r="AB11871" s="38"/>
    </row>
    <row r="11872">
      <c r="P11872" s="42"/>
      <c r="AB11872" s="38"/>
    </row>
    <row r="11873">
      <c r="P11873" s="42"/>
      <c r="AB11873" s="38"/>
    </row>
    <row r="11874">
      <c r="P11874" s="42"/>
      <c r="AB11874" s="38"/>
    </row>
    <row r="11875">
      <c r="P11875" s="42"/>
      <c r="AB11875" s="38"/>
    </row>
    <row r="11876">
      <c r="P11876" s="42"/>
      <c r="AB11876" s="38"/>
    </row>
    <row r="11877">
      <c r="P11877" s="42"/>
      <c r="AB11877" s="38"/>
    </row>
    <row r="11878">
      <c r="P11878" s="42"/>
      <c r="AB11878" s="38"/>
    </row>
    <row r="11879">
      <c r="P11879" s="42"/>
      <c r="AB11879" s="38"/>
    </row>
    <row r="11880">
      <c r="P11880" s="42"/>
      <c r="AB11880" s="38"/>
    </row>
    <row r="11881">
      <c r="P11881" s="42"/>
      <c r="AB11881" s="38"/>
    </row>
    <row r="11882">
      <c r="P11882" s="42"/>
      <c r="AB11882" s="38"/>
    </row>
    <row r="11883">
      <c r="P11883" s="42"/>
      <c r="AB11883" s="38"/>
    </row>
    <row r="11884">
      <c r="P11884" s="42"/>
      <c r="AB11884" s="38"/>
    </row>
    <row r="11885">
      <c r="P11885" s="42"/>
      <c r="AB11885" s="38"/>
    </row>
    <row r="11886">
      <c r="P11886" s="42"/>
      <c r="AB11886" s="38"/>
    </row>
    <row r="11887">
      <c r="P11887" s="42"/>
      <c r="AB11887" s="38"/>
    </row>
    <row r="11888">
      <c r="P11888" s="42"/>
      <c r="AB11888" s="38"/>
    </row>
    <row r="11889">
      <c r="P11889" s="42"/>
      <c r="AB11889" s="38"/>
    </row>
    <row r="11890">
      <c r="P11890" s="42"/>
      <c r="AB11890" s="38"/>
    </row>
    <row r="11891">
      <c r="P11891" s="42"/>
      <c r="AB11891" s="38"/>
    </row>
    <row r="11892">
      <c r="P11892" s="42"/>
      <c r="AB11892" s="38"/>
    </row>
    <row r="11893">
      <c r="P11893" s="42"/>
      <c r="AB11893" s="38"/>
    </row>
    <row r="11894">
      <c r="P11894" s="42"/>
      <c r="AB11894" s="38"/>
    </row>
    <row r="11895">
      <c r="P11895" s="42"/>
      <c r="AB11895" s="38"/>
    </row>
    <row r="11896">
      <c r="P11896" s="42"/>
      <c r="AB11896" s="38"/>
    </row>
    <row r="11897">
      <c r="P11897" s="42"/>
      <c r="AB11897" s="38"/>
    </row>
    <row r="11898">
      <c r="P11898" s="42"/>
      <c r="AB11898" s="38"/>
    </row>
    <row r="11899">
      <c r="P11899" s="42"/>
      <c r="AB11899" s="38"/>
    </row>
    <row r="11900">
      <c r="P11900" s="42"/>
      <c r="AB11900" s="38"/>
    </row>
    <row r="11901">
      <c r="P11901" s="42"/>
      <c r="AB11901" s="38"/>
    </row>
    <row r="11902">
      <c r="P11902" s="42"/>
      <c r="AB11902" s="38"/>
    </row>
    <row r="11903">
      <c r="P11903" s="42"/>
      <c r="AB11903" s="38"/>
    </row>
    <row r="11904">
      <c r="P11904" s="42"/>
      <c r="AB11904" s="38"/>
    </row>
    <row r="11905">
      <c r="P11905" s="42"/>
      <c r="AB11905" s="38"/>
    </row>
    <row r="11906">
      <c r="P11906" s="42"/>
      <c r="AB11906" s="38"/>
    </row>
    <row r="11907">
      <c r="P11907" s="42"/>
      <c r="AB11907" s="38"/>
    </row>
    <row r="11908">
      <c r="P11908" s="42"/>
      <c r="AB11908" s="38"/>
    </row>
    <row r="11909">
      <c r="P11909" s="42"/>
      <c r="AB11909" s="38"/>
    </row>
    <row r="11910">
      <c r="P11910" s="42"/>
      <c r="AB11910" s="38"/>
    </row>
    <row r="11911">
      <c r="P11911" s="42"/>
      <c r="AB11911" s="38"/>
    </row>
    <row r="11912">
      <c r="P11912" s="42"/>
      <c r="AB11912" s="38"/>
    </row>
    <row r="11913">
      <c r="P11913" s="42"/>
      <c r="AB11913" s="38"/>
    </row>
    <row r="11914">
      <c r="P11914" s="42"/>
      <c r="AB11914" s="38"/>
    </row>
    <row r="11915">
      <c r="P11915" s="42"/>
      <c r="AB11915" s="38"/>
    </row>
    <row r="11916">
      <c r="P11916" s="42"/>
      <c r="AB11916" s="38"/>
    </row>
    <row r="11917">
      <c r="P11917" s="42"/>
      <c r="AB11917" s="38"/>
    </row>
    <row r="11918">
      <c r="P11918" s="42"/>
      <c r="AB11918" s="38"/>
    </row>
    <row r="11919">
      <c r="P11919" s="42"/>
      <c r="AB11919" s="38"/>
    </row>
    <row r="11920">
      <c r="P11920" s="42"/>
      <c r="AB11920" s="38"/>
    </row>
    <row r="11921">
      <c r="P11921" s="42"/>
      <c r="AB11921" s="38"/>
    </row>
    <row r="11922">
      <c r="P11922" s="42"/>
      <c r="AB11922" s="38"/>
    </row>
    <row r="11923">
      <c r="P11923" s="42"/>
      <c r="AB11923" s="38"/>
    </row>
    <row r="11924">
      <c r="P11924" s="42"/>
      <c r="AB11924" s="38"/>
    </row>
    <row r="11925">
      <c r="P11925" s="42"/>
      <c r="AB11925" s="38"/>
    </row>
    <row r="11926">
      <c r="P11926" s="42"/>
      <c r="AB11926" s="38"/>
    </row>
    <row r="11927">
      <c r="P11927" s="42"/>
      <c r="AB11927" s="38"/>
    </row>
    <row r="11928">
      <c r="P11928" s="42"/>
      <c r="AB11928" s="38"/>
    </row>
    <row r="11929">
      <c r="P11929" s="42"/>
      <c r="AB11929" s="38"/>
    </row>
    <row r="11930">
      <c r="P11930" s="42"/>
      <c r="AB11930" s="38"/>
    </row>
    <row r="11931">
      <c r="P11931" s="42"/>
      <c r="AB11931" s="38"/>
    </row>
    <row r="11932">
      <c r="P11932" s="42"/>
      <c r="AB11932" s="38"/>
    </row>
    <row r="11933">
      <c r="P11933" s="42"/>
      <c r="AB11933" s="38"/>
    </row>
    <row r="11934">
      <c r="P11934" s="42"/>
      <c r="AB11934" s="38"/>
    </row>
    <row r="11935">
      <c r="P11935" s="42"/>
      <c r="AB11935" s="38"/>
    </row>
    <row r="11936">
      <c r="P11936" s="42"/>
      <c r="AB11936" s="38"/>
    </row>
    <row r="11937">
      <c r="P11937" s="42"/>
      <c r="AB11937" s="38"/>
    </row>
    <row r="11938">
      <c r="P11938" s="42"/>
      <c r="AB11938" s="38"/>
    </row>
    <row r="11939">
      <c r="P11939" s="42"/>
      <c r="AB11939" s="38"/>
    </row>
    <row r="11940">
      <c r="P11940" s="42"/>
      <c r="AB11940" s="38"/>
    </row>
    <row r="11941">
      <c r="P11941" s="42"/>
      <c r="AB11941" s="38"/>
    </row>
    <row r="11942">
      <c r="P11942" s="42"/>
      <c r="AB11942" s="38"/>
    </row>
    <row r="11943">
      <c r="P11943" s="42"/>
      <c r="AB11943" s="38"/>
    </row>
    <row r="11944">
      <c r="P11944" s="42"/>
      <c r="AB11944" s="38"/>
    </row>
    <row r="11945">
      <c r="P11945" s="42"/>
      <c r="AB11945" s="38"/>
    </row>
    <row r="11946">
      <c r="P11946" s="42"/>
      <c r="AB11946" s="38"/>
    </row>
    <row r="11947">
      <c r="P11947" s="42"/>
      <c r="AB11947" s="38"/>
    </row>
    <row r="11948">
      <c r="P11948" s="42"/>
      <c r="AB11948" s="38"/>
    </row>
    <row r="11949">
      <c r="P11949" s="42"/>
      <c r="AB11949" s="38"/>
    </row>
    <row r="11950">
      <c r="P11950" s="42"/>
      <c r="AB11950" s="38"/>
    </row>
    <row r="11951">
      <c r="P11951" s="42"/>
      <c r="AB11951" s="38"/>
    </row>
    <row r="11952">
      <c r="P11952" s="42"/>
      <c r="AB11952" s="38"/>
    </row>
    <row r="11953">
      <c r="P11953" s="42"/>
      <c r="AB11953" s="38"/>
    </row>
    <row r="11954">
      <c r="P11954" s="42"/>
      <c r="AB11954" s="38"/>
    </row>
    <row r="11955">
      <c r="P11955" s="42"/>
      <c r="AB11955" s="38"/>
    </row>
    <row r="11956">
      <c r="P11956" s="42"/>
      <c r="AB11956" s="38"/>
    </row>
    <row r="11957">
      <c r="P11957" s="42"/>
      <c r="AB11957" s="38"/>
    </row>
    <row r="11958">
      <c r="P11958" s="42"/>
      <c r="AB11958" s="38"/>
    </row>
    <row r="11959">
      <c r="P11959" s="42"/>
      <c r="AB11959" s="38"/>
    </row>
    <row r="11960">
      <c r="P11960" s="42"/>
      <c r="AB11960" s="38"/>
    </row>
    <row r="11961">
      <c r="P11961" s="42"/>
      <c r="AB11961" s="38"/>
    </row>
    <row r="11962">
      <c r="P11962" s="42"/>
      <c r="AB11962" s="38"/>
    </row>
    <row r="11963">
      <c r="P11963" s="42"/>
      <c r="AB11963" s="38"/>
    </row>
    <row r="11964">
      <c r="P11964" s="42"/>
      <c r="AB11964" s="38"/>
    </row>
    <row r="11965">
      <c r="P11965" s="42"/>
      <c r="AB11965" s="38"/>
    </row>
    <row r="11966">
      <c r="P11966" s="42"/>
      <c r="AB11966" s="38"/>
    </row>
    <row r="11967">
      <c r="P11967" s="42"/>
      <c r="AB11967" s="38"/>
    </row>
    <row r="11968">
      <c r="P11968" s="42"/>
      <c r="AB11968" s="38"/>
    </row>
    <row r="11969">
      <c r="P11969" s="42"/>
      <c r="AB11969" s="38"/>
    </row>
    <row r="11970">
      <c r="P11970" s="42"/>
      <c r="AB11970" s="38"/>
    </row>
    <row r="11971">
      <c r="P11971" s="42"/>
      <c r="AB11971" s="38"/>
    </row>
    <row r="11972">
      <c r="P11972" s="42"/>
      <c r="AB11972" s="38"/>
    </row>
    <row r="11973">
      <c r="P11973" s="42"/>
      <c r="AB11973" s="38"/>
    </row>
    <row r="11974">
      <c r="P11974" s="42"/>
      <c r="AB11974" s="38"/>
    </row>
    <row r="11975">
      <c r="P11975" s="42"/>
      <c r="AB11975" s="38"/>
    </row>
    <row r="11976">
      <c r="P11976" s="42"/>
      <c r="AB11976" s="38"/>
    </row>
    <row r="11977">
      <c r="P11977" s="42"/>
      <c r="AB11977" s="38"/>
    </row>
    <row r="11978">
      <c r="P11978" s="42"/>
      <c r="AB11978" s="38"/>
    </row>
    <row r="11979">
      <c r="P11979" s="42"/>
      <c r="AB11979" s="38"/>
    </row>
    <row r="11980">
      <c r="P11980" s="42"/>
      <c r="AB11980" s="38"/>
    </row>
    <row r="11981">
      <c r="P11981" s="42"/>
      <c r="AB11981" s="38"/>
    </row>
    <row r="11982">
      <c r="P11982" s="42"/>
      <c r="AB11982" s="38"/>
    </row>
    <row r="11983">
      <c r="P11983" s="42"/>
      <c r="AB11983" s="38"/>
    </row>
    <row r="11984">
      <c r="P11984" s="42"/>
      <c r="AB11984" s="38"/>
    </row>
    <row r="11985">
      <c r="P11985" s="42"/>
      <c r="AB11985" s="38"/>
    </row>
    <row r="11986">
      <c r="P11986" s="42"/>
      <c r="AB11986" s="38"/>
    </row>
    <row r="11987">
      <c r="P11987" s="42"/>
      <c r="AB11987" s="38"/>
    </row>
    <row r="11988">
      <c r="P11988" s="42"/>
      <c r="AB11988" s="38"/>
    </row>
    <row r="11989">
      <c r="P11989" s="42"/>
      <c r="AB11989" s="38"/>
    </row>
    <row r="11990">
      <c r="P11990" s="42"/>
      <c r="AB11990" s="38"/>
    </row>
    <row r="11991">
      <c r="P11991" s="42"/>
      <c r="AB11991" s="38"/>
    </row>
    <row r="11992">
      <c r="P11992" s="42"/>
      <c r="AB11992" s="38"/>
    </row>
    <row r="11993">
      <c r="P11993" s="42"/>
      <c r="AB11993" s="38"/>
    </row>
    <row r="11994">
      <c r="P11994" s="42"/>
      <c r="AB11994" s="38"/>
    </row>
    <row r="11995">
      <c r="P11995" s="42"/>
      <c r="AB11995" s="38"/>
    </row>
    <row r="11996">
      <c r="P11996" s="42"/>
      <c r="AB11996" s="38"/>
    </row>
    <row r="11997">
      <c r="P11997" s="42"/>
      <c r="AB11997" s="38"/>
    </row>
    <row r="11998">
      <c r="P11998" s="42"/>
      <c r="AB11998" s="38"/>
    </row>
    <row r="11999">
      <c r="P11999" s="42"/>
      <c r="AB11999" s="38"/>
    </row>
    <row r="12000">
      <c r="P12000" s="42"/>
      <c r="AB12000" s="38"/>
    </row>
    <row r="12001">
      <c r="P12001" s="42"/>
      <c r="AB12001" s="38"/>
    </row>
    <row r="12002">
      <c r="P12002" s="42"/>
      <c r="AB12002" s="38"/>
    </row>
    <row r="12003">
      <c r="P12003" s="42"/>
      <c r="AB12003" s="38"/>
    </row>
    <row r="12004">
      <c r="P12004" s="42"/>
      <c r="AB12004" s="38"/>
    </row>
    <row r="12005">
      <c r="P12005" s="42"/>
      <c r="AB12005" s="38"/>
    </row>
    <row r="12006">
      <c r="P12006" s="42"/>
      <c r="AB12006" s="38"/>
    </row>
    <row r="12007">
      <c r="P12007" s="42"/>
      <c r="AB12007" s="38"/>
    </row>
    <row r="12008">
      <c r="P12008" s="42"/>
      <c r="AB12008" s="38"/>
    </row>
    <row r="12009">
      <c r="P12009" s="42"/>
      <c r="AB12009" s="38"/>
    </row>
    <row r="12010">
      <c r="P12010" s="42"/>
      <c r="AB12010" s="38"/>
    </row>
    <row r="12011">
      <c r="P12011" s="42"/>
      <c r="AB12011" s="38"/>
    </row>
    <row r="12012">
      <c r="P12012" s="42"/>
      <c r="AB12012" s="38"/>
    </row>
    <row r="12013">
      <c r="P12013" s="42"/>
      <c r="AB12013" s="38"/>
    </row>
    <row r="12014">
      <c r="P12014" s="42"/>
      <c r="AB12014" s="38"/>
    </row>
    <row r="12015">
      <c r="P12015" s="42"/>
      <c r="AB12015" s="38"/>
    </row>
    <row r="12016">
      <c r="P12016" s="42"/>
      <c r="AB12016" s="38"/>
    </row>
    <row r="12017">
      <c r="P12017" s="42"/>
      <c r="AB12017" s="38"/>
    </row>
    <row r="12018">
      <c r="P12018" s="42"/>
      <c r="AB12018" s="38"/>
    </row>
    <row r="12019">
      <c r="P12019" s="42"/>
      <c r="AB12019" s="38"/>
    </row>
    <row r="12020">
      <c r="P12020" s="42"/>
      <c r="AB12020" s="38"/>
    </row>
    <row r="12021">
      <c r="P12021" s="42"/>
      <c r="AB12021" s="38"/>
    </row>
    <row r="12022">
      <c r="P12022" s="42"/>
      <c r="AB12022" s="38"/>
    </row>
    <row r="12023">
      <c r="P12023" s="42"/>
      <c r="AB12023" s="38"/>
    </row>
    <row r="12024">
      <c r="P12024" s="42"/>
      <c r="AB12024" s="38"/>
    </row>
    <row r="12025">
      <c r="P12025" s="42"/>
      <c r="AB12025" s="38"/>
    </row>
    <row r="12026">
      <c r="P12026" s="42"/>
      <c r="AB12026" s="38"/>
    </row>
    <row r="12027">
      <c r="P12027" s="42"/>
      <c r="AB12027" s="38"/>
    </row>
    <row r="12028">
      <c r="P12028" s="42"/>
      <c r="AB12028" s="38"/>
    </row>
    <row r="12029">
      <c r="P12029" s="42"/>
      <c r="AB12029" s="38"/>
    </row>
    <row r="12030">
      <c r="P12030" s="42"/>
      <c r="AB12030" s="38"/>
    </row>
    <row r="12031">
      <c r="P12031" s="42"/>
      <c r="AB12031" s="38"/>
    </row>
    <row r="12032">
      <c r="P12032" s="42"/>
      <c r="AB12032" s="38"/>
    </row>
    <row r="12033">
      <c r="P12033" s="42"/>
      <c r="AB12033" s="38"/>
    </row>
    <row r="12034">
      <c r="P12034" s="42"/>
      <c r="AB12034" s="38"/>
    </row>
    <row r="12035">
      <c r="P12035" s="42"/>
      <c r="AB12035" s="38"/>
    </row>
    <row r="12036">
      <c r="P12036" s="42"/>
      <c r="AB12036" s="38"/>
    </row>
    <row r="12037">
      <c r="P12037" s="42"/>
      <c r="AB12037" s="38"/>
    </row>
    <row r="12038">
      <c r="P12038" s="42"/>
      <c r="AB12038" s="38"/>
    </row>
    <row r="12039">
      <c r="P12039" s="42"/>
      <c r="AB12039" s="38"/>
    </row>
    <row r="12040">
      <c r="P12040" s="42"/>
      <c r="AB12040" s="38"/>
    </row>
    <row r="12041">
      <c r="P12041" s="42"/>
      <c r="AB12041" s="38"/>
    </row>
    <row r="12042">
      <c r="P12042" s="42"/>
      <c r="AB12042" s="38"/>
    </row>
    <row r="12043">
      <c r="P12043" s="42"/>
      <c r="AB12043" s="38"/>
    </row>
    <row r="12044">
      <c r="P12044" s="42"/>
      <c r="AB12044" s="38"/>
    </row>
    <row r="12045">
      <c r="P12045" s="42"/>
      <c r="AB12045" s="38"/>
    </row>
    <row r="12046">
      <c r="P12046" s="42"/>
      <c r="AB12046" s="38"/>
    </row>
    <row r="12047">
      <c r="P12047" s="42"/>
      <c r="AB12047" s="38"/>
    </row>
    <row r="12048">
      <c r="P12048" s="42"/>
      <c r="AB12048" s="38"/>
    </row>
    <row r="12049">
      <c r="P12049" s="42"/>
      <c r="AB12049" s="38"/>
    </row>
    <row r="12050">
      <c r="P12050" s="42"/>
      <c r="AB12050" s="38"/>
    </row>
    <row r="12051">
      <c r="P12051" s="42"/>
      <c r="AB12051" s="38"/>
    </row>
    <row r="12052">
      <c r="P12052" s="42"/>
      <c r="AB12052" s="38"/>
    </row>
    <row r="12053">
      <c r="P12053" s="42"/>
      <c r="AB12053" s="38"/>
    </row>
    <row r="12054">
      <c r="P12054" s="42"/>
      <c r="AB12054" s="38"/>
    </row>
    <row r="12055">
      <c r="P12055" s="42"/>
      <c r="AB12055" s="38"/>
    </row>
    <row r="12056">
      <c r="P12056" s="42"/>
      <c r="AB12056" s="38"/>
    </row>
    <row r="12057">
      <c r="P12057" s="42"/>
      <c r="AB12057" s="38"/>
    </row>
    <row r="12058">
      <c r="P12058" s="42"/>
      <c r="AB12058" s="38"/>
    </row>
    <row r="12059">
      <c r="P12059" s="42"/>
      <c r="AB12059" s="38"/>
    </row>
    <row r="12060">
      <c r="P12060" s="42"/>
      <c r="AB12060" s="38"/>
    </row>
    <row r="12061">
      <c r="P12061" s="42"/>
      <c r="AB12061" s="38"/>
    </row>
    <row r="12062">
      <c r="P12062" s="42"/>
      <c r="AB12062" s="38"/>
    </row>
    <row r="12063">
      <c r="P12063" s="42"/>
      <c r="AB12063" s="38"/>
    </row>
    <row r="12064">
      <c r="P12064" s="42"/>
      <c r="AB12064" s="38"/>
    </row>
    <row r="12065">
      <c r="P12065" s="42"/>
      <c r="AB12065" s="38"/>
    </row>
    <row r="12066">
      <c r="P12066" s="42"/>
      <c r="AB12066" s="38"/>
    </row>
    <row r="12067">
      <c r="P12067" s="42"/>
      <c r="AB12067" s="38"/>
    </row>
    <row r="12068">
      <c r="P12068" s="42"/>
      <c r="AB12068" s="38"/>
    </row>
    <row r="12069">
      <c r="P12069" s="42"/>
      <c r="AB12069" s="38"/>
    </row>
    <row r="12070">
      <c r="P12070" s="42"/>
      <c r="AB12070" s="38"/>
    </row>
    <row r="12071">
      <c r="P12071" s="42"/>
      <c r="AB12071" s="38"/>
    </row>
    <row r="12072">
      <c r="P12072" s="42"/>
      <c r="AB12072" s="38"/>
    </row>
    <row r="12073">
      <c r="P12073" s="42"/>
      <c r="AB12073" s="38"/>
    </row>
    <row r="12074">
      <c r="P12074" s="42"/>
      <c r="AB12074" s="38"/>
    </row>
    <row r="12075">
      <c r="P12075" s="42"/>
      <c r="AB12075" s="38"/>
    </row>
    <row r="12076">
      <c r="P12076" s="42"/>
      <c r="AB12076" s="38"/>
    </row>
    <row r="12077">
      <c r="P12077" s="42"/>
      <c r="AB12077" s="38"/>
    </row>
    <row r="12078">
      <c r="P12078" s="42"/>
      <c r="AB12078" s="38"/>
    </row>
    <row r="12079">
      <c r="P12079" s="42"/>
      <c r="AB12079" s="38"/>
    </row>
    <row r="12080">
      <c r="P12080" s="42"/>
      <c r="AB12080" s="38"/>
    </row>
    <row r="12081">
      <c r="P12081" s="42"/>
      <c r="AB12081" s="38"/>
    </row>
    <row r="12082">
      <c r="P12082" s="42"/>
      <c r="AB12082" s="38"/>
    </row>
    <row r="12083">
      <c r="P12083" s="42"/>
      <c r="AB12083" s="38"/>
    </row>
    <row r="12084">
      <c r="P12084" s="42"/>
      <c r="AB12084" s="38"/>
    </row>
    <row r="12085">
      <c r="P12085" s="42"/>
      <c r="AB12085" s="38"/>
    </row>
    <row r="12086">
      <c r="P12086" s="42"/>
      <c r="AB12086" s="38"/>
    </row>
    <row r="12087">
      <c r="P12087" s="42"/>
      <c r="AB12087" s="38"/>
    </row>
    <row r="12088">
      <c r="P12088" s="42"/>
      <c r="AB12088" s="38"/>
    </row>
    <row r="12089">
      <c r="P12089" s="42"/>
      <c r="AB12089" s="38"/>
    </row>
    <row r="12090">
      <c r="P12090" s="42"/>
      <c r="AB12090" s="38"/>
    </row>
    <row r="12091">
      <c r="P12091" s="42"/>
      <c r="AB12091" s="38"/>
    </row>
    <row r="12092">
      <c r="P12092" s="42"/>
      <c r="AB12092" s="38"/>
    </row>
    <row r="12093">
      <c r="P12093" s="42"/>
      <c r="AB12093" s="38"/>
    </row>
    <row r="12094">
      <c r="P12094" s="42"/>
      <c r="AB12094" s="38"/>
    </row>
    <row r="12095">
      <c r="P12095" s="42"/>
      <c r="AB12095" s="38"/>
    </row>
    <row r="12096">
      <c r="P12096" s="42"/>
      <c r="AB12096" s="38"/>
    </row>
    <row r="12097">
      <c r="P12097" s="42"/>
      <c r="AB12097" s="38"/>
    </row>
    <row r="12098">
      <c r="P12098" s="42"/>
      <c r="AB12098" s="38"/>
    </row>
    <row r="12099">
      <c r="P12099" s="42"/>
      <c r="AB12099" s="38"/>
    </row>
    <row r="12100">
      <c r="P12100" s="42"/>
      <c r="AB12100" s="38"/>
    </row>
    <row r="12101">
      <c r="P12101" s="42"/>
      <c r="AB12101" s="38"/>
    </row>
    <row r="12102">
      <c r="P12102" s="42"/>
      <c r="AB12102" s="38"/>
    </row>
    <row r="12103">
      <c r="P12103" s="42"/>
      <c r="AB12103" s="38"/>
    </row>
    <row r="12104">
      <c r="P12104" s="42"/>
      <c r="AB12104" s="38"/>
    </row>
    <row r="12105">
      <c r="P12105" s="42"/>
      <c r="AB12105" s="38"/>
    </row>
    <row r="12106">
      <c r="P12106" s="42"/>
      <c r="AB12106" s="38"/>
    </row>
    <row r="12107">
      <c r="P12107" s="42"/>
      <c r="AB12107" s="38"/>
    </row>
    <row r="12108">
      <c r="P12108" s="42"/>
      <c r="AB12108" s="38"/>
    </row>
    <row r="12109">
      <c r="P12109" s="42"/>
      <c r="AB12109" s="38"/>
    </row>
    <row r="12110">
      <c r="P12110" s="42"/>
      <c r="AB12110" s="38"/>
    </row>
    <row r="12111">
      <c r="P12111" s="42"/>
      <c r="AB12111" s="38"/>
    </row>
    <row r="12112">
      <c r="P12112" s="42"/>
      <c r="AB12112" s="38"/>
    </row>
    <row r="12113">
      <c r="P12113" s="42"/>
      <c r="AB12113" s="38"/>
    </row>
    <row r="12114">
      <c r="P12114" s="42"/>
      <c r="AB12114" s="38"/>
    </row>
    <row r="12115">
      <c r="P12115" s="42"/>
      <c r="AB12115" s="38"/>
    </row>
    <row r="12116">
      <c r="P12116" s="42"/>
      <c r="AB12116" s="38"/>
    </row>
    <row r="12117">
      <c r="P12117" s="42"/>
      <c r="AB12117" s="38"/>
    </row>
    <row r="12118">
      <c r="P12118" s="42"/>
      <c r="AB12118" s="38"/>
    </row>
    <row r="12119">
      <c r="P12119" s="42"/>
      <c r="AB12119" s="38"/>
    </row>
    <row r="12120">
      <c r="P12120" s="42"/>
      <c r="AB12120" s="38"/>
    </row>
    <row r="12121">
      <c r="P12121" s="42"/>
      <c r="AB12121" s="38"/>
    </row>
    <row r="12122">
      <c r="P12122" s="42"/>
      <c r="AB12122" s="38"/>
    </row>
    <row r="12123">
      <c r="P12123" s="42"/>
      <c r="AB12123" s="38"/>
    </row>
    <row r="12124">
      <c r="P12124" s="42"/>
      <c r="AB12124" s="38"/>
    </row>
    <row r="12125">
      <c r="P12125" s="42"/>
      <c r="AB12125" s="38"/>
    </row>
    <row r="12126">
      <c r="P12126" s="42"/>
      <c r="AB12126" s="38"/>
    </row>
    <row r="12127">
      <c r="P12127" s="42"/>
      <c r="AB12127" s="38"/>
    </row>
    <row r="12128">
      <c r="P12128" s="42"/>
      <c r="AB12128" s="38"/>
    </row>
    <row r="12129">
      <c r="P12129" s="42"/>
      <c r="AB12129" s="38"/>
    </row>
    <row r="12130">
      <c r="P12130" s="42"/>
      <c r="AB12130" s="38"/>
    </row>
    <row r="12131">
      <c r="P12131" s="42"/>
      <c r="AB12131" s="38"/>
    </row>
    <row r="12132">
      <c r="P12132" s="42"/>
      <c r="AB12132" s="38"/>
    </row>
    <row r="12133">
      <c r="P12133" s="42"/>
      <c r="AB12133" s="38"/>
    </row>
    <row r="12134">
      <c r="P12134" s="42"/>
      <c r="AB12134" s="38"/>
    </row>
    <row r="12135">
      <c r="P12135" s="42"/>
      <c r="AB12135" s="38"/>
    </row>
    <row r="12136">
      <c r="P12136" s="42"/>
      <c r="AB12136" s="38"/>
    </row>
    <row r="12137">
      <c r="P12137" s="42"/>
      <c r="AB12137" s="38"/>
    </row>
    <row r="12138">
      <c r="P12138" s="42"/>
      <c r="AB12138" s="38"/>
    </row>
    <row r="12139">
      <c r="P12139" s="42"/>
      <c r="AB12139" s="38"/>
    </row>
    <row r="12140">
      <c r="P12140" s="42"/>
      <c r="AB12140" s="38"/>
    </row>
    <row r="12141">
      <c r="P12141" s="42"/>
      <c r="AB12141" s="38"/>
    </row>
    <row r="12142">
      <c r="P12142" s="42"/>
      <c r="AB12142" s="38"/>
    </row>
    <row r="12143">
      <c r="P12143" s="42"/>
      <c r="AB12143" s="38"/>
    </row>
    <row r="12144">
      <c r="P12144" s="42"/>
      <c r="AB12144" s="38"/>
    </row>
    <row r="12145">
      <c r="P12145" s="42"/>
      <c r="AB12145" s="38"/>
    </row>
    <row r="12146">
      <c r="P12146" s="42"/>
      <c r="AB12146" s="38"/>
    </row>
    <row r="12147">
      <c r="P12147" s="42"/>
      <c r="AB12147" s="38"/>
    </row>
    <row r="12148">
      <c r="P12148" s="42"/>
      <c r="AB12148" s="38"/>
    </row>
    <row r="12149">
      <c r="P12149" s="42"/>
      <c r="AB12149" s="38"/>
    </row>
    <row r="12150">
      <c r="P12150" s="42"/>
      <c r="AB12150" s="38"/>
    </row>
    <row r="12151">
      <c r="P12151" s="42"/>
      <c r="AB12151" s="38"/>
    </row>
    <row r="12152">
      <c r="P12152" s="42"/>
      <c r="AB12152" s="38"/>
    </row>
    <row r="12153">
      <c r="P12153" s="42"/>
      <c r="AB12153" s="38"/>
    </row>
    <row r="12154">
      <c r="P12154" s="42"/>
      <c r="AB12154" s="38"/>
    </row>
    <row r="12155">
      <c r="P12155" s="42"/>
      <c r="AB12155" s="38"/>
    </row>
    <row r="12156">
      <c r="P12156" s="42"/>
      <c r="AB12156" s="38"/>
    </row>
    <row r="12157">
      <c r="P12157" s="42"/>
      <c r="AB12157" s="38"/>
    </row>
    <row r="12158">
      <c r="P12158" s="42"/>
      <c r="AB12158" s="38"/>
    </row>
    <row r="12159">
      <c r="P12159" s="42"/>
      <c r="AB12159" s="38"/>
    </row>
    <row r="12160">
      <c r="P12160" s="42"/>
      <c r="AB12160" s="38"/>
    </row>
    <row r="12161">
      <c r="P12161" s="42"/>
      <c r="AB12161" s="38"/>
    </row>
    <row r="12162">
      <c r="P12162" s="42"/>
      <c r="AB12162" s="38"/>
    </row>
    <row r="12163">
      <c r="P12163" s="42"/>
      <c r="AB12163" s="38"/>
    </row>
    <row r="12164">
      <c r="P12164" s="42"/>
      <c r="AB12164" s="38"/>
    </row>
    <row r="12165">
      <c r="P12165" s="42"/>
      <c r="AB12165" s="38"/>
    </row>
    <row r="12166">
      <c r="P12166" s="42"/>
      <c r="AB12166" s="38"/>
    </row>
    <row r="12167">
      <c r="P12167" s="42"/>
      <c r="AB12167" s="38"/>
    </row>
    <row r="12168">
      <c r="P12168" s="42"/>
      <c r="AB12168" s="38"/>
    </row>
    <row r="12169">
      <c r="P12169" s="42"/>
      <c r="AB12169" s="38"/>
    </row>
    <row r="12170">
      <c r="P12170" s="42"/>
      <c r="AB12170" s="38"/>
    </row>
    <row r="12171">
      <c r="P12171" s="42"/>
      <c r="AB12171" s="38"/>
    </row>
    <row r="12172">
      <c r="P12172" s="42"/>
      <c r="AB12172" s="38"/>
    </row>
    <row r="12173">
      <c r="P12173" s="42"/>
      <c r="AB12173" s="38"/>
    </row>
    <row r="12174">
      <c r="P12174" s="42"/>
      <c r="AB12174" s="38"/>
    </row>
    <row r="12175">
      <c r="P12175" s="42"/>
      <c r="AB12175" s="38"/>
    </row>
    <row r="12176">
      <c r="P12176" s="42"/>
      <c r="AB12176" s="38"/>
    </row>
    <row r="12177">
      <c r="P12177" s="42"/>
      <c r="AB12177" s="38"/>
    </row>
    <row r="12178">
      <c r="P12178" s="42"/>
      <c r="AB12178" s="38"/>
    </row>
    <row r="12179">
      <c r="P12179" s="42"/>
      <c r="AB12179" s="38"/>
    </row>
    <row r="12180">
      <c r="P12180" s="42"/>
      <c r="AB12180" s="38"/>
    </row>
    <row r="12181">
      <c r="P12181" s="42"/>
      <c r="AB12181" s="38"/>
    </row>
    <row r="12182">
      <c r="P12182" s="42"/>
      <c r="AB12182" s="38"/>
    </row>
    <row r="12183">
      <c r="P12183" s="42"/>
      <c r="AB12183" s="38"/>
    </row>
    <row r="12184">
      <c r="P12184" s="42"/>
      <c r="AB12184" s="38"/>
    </row>
    <row r="12185">
      <c r="P12185" s="42"/>
      <c r="AB12185" s="38"/>
    </row>
    <row r="12186">
      <c r="P12186" s="42"/>
      <c r="AB12186" s="38"/>
    </row>
    <row r="12187">
      <c r="P12187" s="42"/>
      <c r="AB12187" s="38"/>
    </row>
    <row r="12188">
      <c r="P12188" s="42"/>
      <c r="AB12188" s="38"/>
    </row>
    <row r="12189">
      <c r="P12189" s="42"/>
      <c r="AB12189" s="38"/>
    </row>
    <row r="12190">
      <c r="P12190" s="42"/>
      <c r="AB12190" s="38"/>
    </row>
    <row r="12191">
      <c r="P12191" s="42"/>
      <c r="AB12191" s="38"/>
    </row>
    <row r="12192">
      <c r="P12192" s="42"/>
      <c r="AB12192" s="38"/>
    </row>
    <row r="12193">
      <c r="P12193" s="42"/>
      <c r="AB12193" s="38"/>
    </row>
    <row r="12194">
      <c r="P12194" s="42"/>
      <c r="AB12194" s="38"/>
    </row>
    <row r="12195">
      <c r="P12195" s="42"/>
      <c r="AB12195" s="38"/>
    </row>
    <row r="12196">
      <c r="P12196" s="42"/>
      <c r="AB12196" s="38"/>
    </row>
    <row r="12197">
      <c r="P12197" s="42"/>
      <c r="AB12197" s="38"/>
    </row>
    <row r="12198">
      <c r="P12198" s="42"/>
      <c r="AB12198" s="38"/>
    </row>
    <row r="12199">
      <c r="P12199" s="42"/>
      <c r="AB12199" s="38"/>
    </row>
    <row r="12200">
      <c r="P12200" s="42"/>
      <c r="AB12200" s="38"/>
    </row>
    <row r="12201">
      <c r="P12201" s="42"/>
      <c r="AB12201" s="38"/>
    </row>
    <row r="12202">
      <c r="P12202" s="42"/>
      <c r="AB12202" s="38"/>
    </row>
    <row r="12203">
      <c r="P12203" s="42"/>
      <c r="AB12203" s="38"/>
    </row>
    <row r="12204">
      <c r="P12204" s="42"/>
      <c r="AB12204" s="38"/>
    </row>
    <row r="12205">
      <c r="P12205" s="42"/>
      <c r="AB12205" s="38"/>
    </row>
    <row r="12206">
      <c r="P12206" s="42"/>
      <c r="AB12206" s="38"/>
    </row>
    <row r="12207">
      <c r="P12207" s="42"/>
      <c r="AB12207" s="38"/>
    </row>
    <row r="12208">
      <c r="P12208" s="42"/>
      <c r="AB12208" s="38"/>
    </row>
    <row r="12209">
      <c r="P12209" s="42"/>
      <c r="AB12209" s="38"/>
    </row>
    <row r="12210">
      <c r="P12210" s="42"/>
      <c r="AB12210" s="38"/>
    </row>
    <row r="12211">
      <c r="P12211" s="42"/>
      <c r="AB12211" s="38"/>
    </row>
    <row r="12212">
      <c r="P12212" s="42"/>
      <c r="AB12212" s="38"/>
    </row>
    <row r="12213">
      <c r="P12213" s="42"/>
      <c r="AB12213" s="38"/>
    </row>
    <row r="12214">
      <c r="P12214" s="42"/>
      <c r="AB12214" s="38"/>
    </row>
    <row r="12215">
      <c r="P12215" s="42"/>
      <c r="AB12215" s="38"/>
    </row>
    <row r="12216">
      <c r="P12216" s="42"/>
      <c r="AB12216" s="38"/>
    </row>
    <row r="12217">
      <c r="P12217" s="42"/>
      <c r="AB12217" s="38"/>
    </row>
    <row r="12218">
      <c r="P12218" s="42"/>
      <c r="AB12218" s="38"/>
    </row>
    <row r="12219">
      <c r="P12219" s="42"/>
      <c r="AB12219" s="38"/>
    </row>
    <row r="12220">
      <c r="P12220" s="42"/>
      <c r="AB12220" s="38"/>
    </row>
    <row r="12221">
      <c r="P12221" s="42"/>
      <c r="AB12221" s="38"/>
    </row>
    <row r="12222">
      <c r="P12222" s="42"/>
      <c r="AB12222" s="38"/>
    </row>
    <row r="12223">
      <c r="P12223" s="42"/>
      <c r="AB12223" s="38"/>
    </row>
    <row r="12224">
      <c r="P12224" s="42"/>
      <c r="AB12224" s="38"/>
    </row>
    <row r="12225">
      <c r="P12225" s="42"/>
      <c r="AB12225" s="38"/>
    </row>
    <row r="12226">
      <c r="P12226" s="42"/>
      <c r="AB12226" s="38"/>
    </row>
    <row r="12227">
      <c r="P12227" s="42"/>
      <c r="AB12227" s="38"/>
    </row>
    <row r="12228">
      <c r="P12228" s="42"/>
      <c r="AB12228" s="38"/>
    </row>
    <row r="12229">
      <c r="P12229" s="42"/>
      <c r="AB12229" s="38"/>
    </row>
    <row r="12230">
      <c r="P12230" s="42"/>
      <c r="AB12230" s="38"/>
    </row>
    <row r="12231">
      <c r="P12231" s="42"/>
      <c r="AB12231" s="38"/>
    </row>
    <row r="12232">
      <c r="P12232" s="42"/>
      <c r="AB12232" s="38"/>
    </row>
    <row r="12233">
      <c r="P12233" s="42"/>
      <c r="AB12233" s="38"/>
    </row>
    <row r="12234">
      <c r="P12234" s="42"/>
      <c r="AB12234" s="38"/>
    </row>
    <row r="12235">
      <c r="P12235" s="42"/>
      <c r="AB12235" s="38"/>
    </row>
    <row r="12236">
      <c r="P12236" s="42"/>
      <c r="AB12236" s="38"/>
    </row>
    <row r="12237">
      <c r="P12237" s="42"/>
      <c r="AB12237" s="38"/>
    </row>
    <row r="12238">
      <c r="P12238" s="42"/>
      <c r="AB12238" s="38"/>
    </row>
    <row r="12239">
      <c r="P12239" s="42"/>
      <c r="AB12239" s="38"/>
    </row>
    <row r="12240">
      <c r="P12240" s="42"/>
      <c r="AB12240" s="38"/>
    </row>
    <row r="12241">
      <c r="P12241" s="42"/>
      <c r="AB12241" s="38"/>
    </row>
    <row r="12242">
      <c r="P12242" s="42"/>
      <c r="AB12242" s="38"/>
    </row>
    <row r="12243">
      <c r="P12243" s="42"/>
      <c r="AB12243" s="38"/>
    </row>
    <row r="12244">
      <c r="P12244" s="42"/>
      <c r="AB12244" s="38"/>
    </row>
    <row r="12245">
      <c r="P12245" s="42"/>
      <c r="AB12245" s="38"/>
    </row>
    <row r="12246">
      <c r="P12246" s="42"/>
      <c r="AB12246" s="38"/>
    </row>
    <row r="12247">
      <c r="P12247" s="42"/>
      <c r="AB12247" s="38"/>
    </row>
    <row r="12248">
      <c r="P12248" s="42"/>
      <c r="AB12248" s="38"/>
    </row>
    <row r="12249">
      <c r="P12249" s="42"/>
      <c r="AB12249" s="38"/>
    </row>
    <row r="12250">
      <c r="P12250" s="42"/>
      <c r="AB12250" s="38"/>
    </row>
    <row r="12251">
      <c r="P12251" s="42"/>
      <c r="AB12251" s="38"/>
    </row>
    <row r="12252">
      <c r="P12252" s="42"/>
      <c r="AB12252" s="38"/>
    </row>
    <row r="12253">
      <c r="P12253" s="42"/>
      <c r="AB12253" s="38"/>
    </row>
    <row r="12254">
      <c r="P12254" s="42"/>
      <c r="AB12254" s="38"/>
    </row>
    <row r="12255">
      <c r="P12255" s="42"/>
      <c r="AB12255" s="38"/>
    </row>
    <row r="12256">
      <c r="P12256" s="42"/>
      <c r="AB12256" s="38"/>
    </row>
    <row r="12257">
      <c r="P12257" s="42"/>
      <c r="AB12257" s="38"/>
    </row>
    <row r="12258">
      <c r="P12258" s="42"/>
      <c r="AB12258" s="38"/>
    </row>
    <row r="12259">
      <c r="P12259" s="42"/>
      <c r="AB12259" s="38"/>
    </row>
    <row r="12260">
      <c r="P12260" s="42"/>
      <c r="AB12260" s="38"/>
    </row>
    <row r="12261">
      <c r="P12261" s="42"/>
      <c r="AB12261" s="38"/>
    </row>
    <row r="12262">
      <c r="P12262" s="42"/>
      <c r="AB12262" s="38"/>
    </row>
    <row r="12263">
      <c r="P12263" s="42"/>
      <c r="AB12263" s="38"/>
    </row>
    <row r="12264">
      <c r="P12264" s="42"/>
      <c r="AB12264" s="38"/>
    </row>
    <row r="12265">
      <c r="P12265" s="42"/>
      <c r="AB12265" s="38"/>
    </row>
    <row r="12266">
      <c r="P12266" s="42"/>
      <c r="AB12266" s="38"/>
    </row>
    <row r="12267">
      <c r="P12267" s="42"/>
      <c r="AB12267" s="38"/>
    </row>
    <row r="12268">
      <c r="P12268" s="42"/>
      <c r="AB12268" s="38"/>
    </row>
    <row r="12269">
      <c r="P12269" s="42"/>
      <c r="AB12269" s="38"/>
    </row>
    <row r="12270">
      <c r="P12270" s="42"/>
      <c r="AB12270" s="38"/>
    </row>
    <row r="12271">
      <c r="P12271" s="42"/>
      <c r="AB12271" s="38"/>
    </row>
    <row r="12272">
      <c r="P12272" s="42"/>
      <c r="AB12272" s="38"/>
    </row>
    <row r="12273">
      <c r="P12273" s="42"/>
      <c r="AB12273" s="38"/>
    </row>
    <row r="12274">
      <c r="P12274" s="42"/>
      <c r="AB12274" s="38"/>
    </row>
    <row r="12275">
      <c r="P12275" s="42"/>
      <c r="AB12275" s="38"/>
    </row>
    <row r="12276">
      <c r="P12276" s="42"/>
      <c r="AB12276" s="38"/>
    </row>
    <row r="12277">
      <c r="P12277" s="42"/>
      <c r="AB12277" s="38"/>
    </row>
    <row r="12278">
      <c r="P12278" s="42"/>
      <c r="AB12278" s="38"/>
    </row>
    <row r="12279">
      <c r="P12279" s="42"/>
      <c r="AB12279" s="38"/>
    </row>
    <row r="12280">
      <c r="P12280" s="42"/>
      <c r="AB12280" s="38"/>
    </row>
    <row r="12281">
      <c r="P12281" s="42"/>
      <c r="AB12281" s="38"/>
    </row>
    <row r="12282">
      <c r="P12282" s="42"/>
      <c r="AB12282" s="38"/>
    </row>
    <row r="12283">
      <c r="P12283" s="42"/>
      <c r="AB12283" s="38"/>
    </row>
    <row r="12284">
      <c r="P12284" s="42"/>
      <c r="AB12284" s="38"/>
    </row>
    <row r="12285">
      <c r="P12285" s="42"/>
      <c r="AB12285" s="38"/>
    </row>
    <row r="12286">
      <c r="P12286" s="42"/>
      <c r="AB12286" s="38"/>
    </row>
    <row r="12287">
      <c r="P12287" s="42"/>
      <c r="AB12287" s="38"/>
    </row>
    <row r="12288">
      <c r="P12288" s="42"/>
      <c r="AB12288" s="38"/>
    </row>
    <row r="12289">
      <c r="P12289" s="42"/>
      <c r="AB12289" s="38"/>
    </row>
    <row r="12290">
      <c r="P12290" s="42"/>
      <c r="AB12290" s="38"/>
    </row>
    <row r="12291">
      <c r="P12291" s="42"/>
      <c r="AB12291" s="38"/>
    </row>
    <row r="12292">
      <c r="P12292" s="42"/>
      <c r="AB12292" s="38"/>
    </row>
    <row r="12293">
      <c r="P12293" s="42"/>
      <c r="AB12293" s="38"/>
    </row>
    <row r="12294">
      <c r="P12294" s="42"/>
      <c r="AB12294" s="38"/>
    </row>
    <row r="12295">
      <c r="P12295" s="42"/>
      <c r="AB12295" s="38"/>
    </row>
    <row r="12296">
      <c r="P12296" s="42"/>
      <c r="AB12296" s="38"/>
    </row>
    <row r="12297">
      <c r="P12297" s="42"/>
      <c r="AB12297" s="38"/>
    </row>
    <row r="12298">
      <c r="P12298" s="42"/>
      <c r="AB12298" s="38"/>
    </row>
    <row r="12299">
      <c r="P12299" s="42"/>
      <c r="AB12299" s="38"/>
    </row>
    <row r="12300">
      <c r="P12300" s="42"/>
      <c r="AB12300" s="38"/>
    </row>
    <row r="12301">
      <c r="P12301" s="42"/>
      <c r="AB12301" s="38"/>
    </row>
    <row r="12302">
      <c r="P12302" s="42"/>
      <c r="AB12302" s="38"/>
    </row>
    <row r="12303">
      <c r="P12303" s="42"/>
      <c r="AB12303" s="38"/>
    </row>
    <row r="12304">
      <c r="P12304" s="42"/>
      <c r="AB12304" s="38"/>
    </row>
    <row r="12305">
      <c r="P12305" s="42"/>
      <c r="AB12305" s="38"/>
    </row>
    <row r="12306">
      <c r="P12306" s="42"/>
      <c r="AB12306" s="38"/>
    </row>
    <row r="12307">
      <c r="P12307" s="42"/>
      <c r="AB12307" s="38"/>
    </row>
    <row r="12308">
      <c r="P12308" s="42"/>
      <c r="AB12308" s="38"/>
    </row>
    <row r="12309">
      <c r="P12309" s="42"/>
      <c r="AB12309" s="38"/>
    </row>
    <row r="12310">
      <c r="P12310" s="42"/>
      <c r="AB12310" s="38"/>
    </row>
    <row r="12311">
      <c r="P12311" s="42"/>
      <c r="AB12311" s="38"/>
    </row>
    <row r="12312">
      <c r="P12312" s="42"/>
      <c r="AB12312" s="38"/>
    </row>
    <row r="12313">
      <c r="P12313" s="42"/>
      <c r="AB12313" s="38"/>
    </row>
    <row r="12314">
      <c r="P12314" s="42"/>
      <c r="AB12314" s="38"/>
    </row>
    <row r="12315">
      <c r="P12315" s="42"/>
      <c r="AB12315" s="38"/>
    </row>
    <row r="12316">
      <c r="P12316" s="42"/>
      <c r="AB12316" s="38"/>
    </row>
    <row r="12317">
      <c r="P12317" s="42"/>
      <c r="AB12317" s="38"/>
    </row>
    <row r="12318">
      <c r="P12318" s="42"/>
      <c r="AB12318" s="38"/>
    </row>
    <row r="12319">
      <c r="P12319" s="42"/>
      <c r="AB12319" s="38"/>
    </row>
    <row r="12320">
      <c r="P12320" s="42"/>
      <c r="AB12320" s="38"/>
    </row>
    <row r="12321">
      <c r="P12321" s="42"/>
      <c r="AB12321" s="38"/>
    </row>
    <row r="12322">
      <c r="P12322" s="42"/>
      <c r="AB12322" s="38"/>
    </row>
    <row r="12323">
      <c r="P12323" s="42"/>
      <c r="AB12323" s="38"/>
    </row>
    <row r="12324">
      <c r="P12324" s="42"/>
      <c r="AB12324" s="38"/>
    </row>
    <row r="12325">
      <c r="P12325" s="42"/>
      <c r="AB12325" s="38"/>
    </row>
    <row r="12326">
      <c r="P12326" s="42"/>
      <c r="AB12326" s="38"/>
    </row>
    <row r="12327">
      <c r="P12327" s="42"/>
      <c r="AB12327" s="38"/>
    </row>
    <row r="12328">
      <c r="P12328" s="42"/>
      <c r="AB12328" s="38"/>
    </row>
    <row r="12329">
      <c r="P12329" s="42"/>
      <c r="AB12329" s="38"/>
    </row>
    <row r="12330">
      <c r="P12330" s="42"/>
      <c r="AB12330" s="38"/>
    </row>
    <row r="12331">
      <c r="P12331" s="42"/>
      <c r="AB12331" s="38"/>
    </row>
    <row r="12332">
      <c r="P12332" s="42"/>
      <c r="AB12332" s="38"/>
    </row>
    <row r="12333">
      <c r="P12333" s="42"/>
      <c r="AB12333" s="38"/>
    </row>
    <row r="12334">
      <c r="P12334" s="42"/>
      <c r="AB12334" s="38"/>
    </row>
    <row r="12335">
      <c r="P12335" s="42"/>
      <c r="AB12335" s="38"/>
    </row>
    <row r="12336">
      <c r="P12336" s="42"/>
      <c r="AB12336" s="38"/>
    </row>
    <row r="12337">
      <c r="P12337" s="42"/>
      <c r="AB12337" s="38"/>
    </row>
    <row r="12338">
      <c r="P12338" s="42"/>
      <c r="AB12338" s="38"/>
    </row>
    <row r="12339">
      <c r="P12339" s="42"/>
      <c r="AB12339" s="38"/>
    </row>
    <row r="12340">
      <c r="P12340" s="42"/>
      <c r="AB12340" s="38"/>
    </row>
    <row r="12341">
      <c r="P12341" s="42"/>
      <c r="AB12341" s="38"/>
    </row>
    <row r="12342">
      <c r="P12342" s="42"/>
      <c r="AB12342" s="38"/>
    </row>
    <row r="12343">
      <c r="P12343" s="42"/>
      <c r="AB12343" s="38"/>
    </row>
    <row r="12344">
      <c r="P12344" s="42"/>
      <c r="AB12344" s="38"/>
    </row>
    <row r="12345">
      <c r="P12345" s="42"/>
      <c r="AB12345" s="38"/>
    </row>
    <row r="12346">
      <c r="P12346" s="42"/>
      <c r="AB12346" s="38"/>
    </row>
    <row r="12347">
      <c r="P12347" s="42"/>
      <c r="AB12347" s="38"/>
    </row>
    <row r="12348">
      <c r="P12348" s="42"/>
      <c r="AB12348" s="38"/>
    </row>
    <row r="12349">
      <c r="P12349" s="42"/>
      <c r="AB12349" s="38"/>
    </row>
    <row r="12350">
      <c r="P12350" s="42"/>
      <c r="AB12350" s="38"/>
    </row>
    <row r="12351">
      <c r="P12351" s="42"/>
      <c r="AB12351" s="38"/>
    </row>
    <row r="12352">
      <c r="P12352" s="42"/>
      <c r="AB12352" s="38"/>
    </row>
    <row r="12353">
      <c r="P12353" s="42"/>
      <c r="AB12353" s="38"/>
    </row>
    <row r="12354">
      <c r="P12354" s="42"/>
      <c r="AB12354" s="38"/>
    </row>
    <row r="12355">
      <c r="P12355" s="42"/>
      <c r="AB12355" s="38"/>
    </row>
    <row r="12356">
      <c r="P12356" s="42"/>
      <c r="AB12356" s="38"/>
    </row>
    <row r="12357">
      <c r="P12357" s="42"/>
      <c r="AB12357" s="38"/>
    </row>
    <row r="12358">
      <c r="P12358" s="42"/>
      <c r="AB12358" s="38"/>
    </row>
    <row r="12359">
      <c r="P12359" s="42"/>
      <c r="AB12359" s="38"/>
    </row>
    <row r="12360">
      <c r="P12360" s="42"/>
      <c r="AB12360" s="38"/>
    </row>
    <row r="12361">
      <c r="P12361" s="42"/>
      <c r="AB12361" s="38"/>
    </row>
    <row r="12362">
      <c r="P12362" s="42"/>
      <c r="AB12362" s="38"/>
    </row>
    <row r="12363">
      <c r="P12363" s="42"/>
      <c r="AB12363" s="38"/>
    </row>
    <row r="12364">
      <c r="P12364" s="42"/>
      <c r="AB12364" s="38"/>
    </row>
    <row r="12365">
      <c r="P12365" s="42"/>
      <c r="AB12365" s="38"/>
    </row>
    <row r="12366">
      <c r="P12366" s="42"/>
      <c r="AB12366" s="38"/>
    </row>
    <row r="12367">
      <c r="P12367" s="42"/>
      <c r="AB12367" s="38"/>
    </row>
    <row r="12368">
      <c r="P12368" s="42"/>
      <c r="AB12368" s="38"/>
    </row>
    <row r="12369">
      <c r="P12369" s="42"/>
      <c r="AB12369" s="38"/>
    </row>
    <row r="12370">
      <c r="P12370" s="42"/>
      <c r="AB12370" s="38"/>
    </row>
    <row r="12371">
      <c r="P12371" s="42"/>
      <c r="AB12371" s="38"/>
    </row>
    <row r="12372">
      <c r="P12372" s="42"/>
      <c r="AB12372" s="38"/>
    </row>
    <row r="12373">
      <c r="P12373" s="42"/>
      <c r="AB12373" s="38"/>
    </row>
    <row r="12374">
      <c r="P12374" s="42"/>
      <c r="AB12374" s="38"/>
    </row>
    <row r="12375">
      <c r="P12375" s="42"/>
      <c r="AB12375" s="38"/>
    </row>
    <row r="12376">
      <c r="P12376" s="42"/>
      <c r="AB12376" s="38"/>
    </row>
    <row r="12377">
      <c r="P12377" s="42"/>
      <c r="AB12377" s="38"/>
    </row>
    <row r="12378">
      <c r="P12378" s="42"/>
      <c r="AB12378" s="38"/>
    </row>
    <row r="12379">
      <c r="P12379" s="42"/>
      <c r="AB12379" s="38"/>
    </row>
    <row r="12380">
      <c r="P12380" s="42"/>
      <c r="AB12380" s="38"/>
    </row>
    <row r="12381">
      <c r="P12381" s="42"/>
      <c r="AB12381" s="38"/>
    </row>
    <row r="12382">
      <c r="P12382" s="42"/>
      <c r="AB12382" s="38"/>
    </row>
    <row r="12383">
      <c r="P12383" s="42"/>
      <c r="AB12383" s="38"/>
    </row>
    <row r="12384">
      <c r="P12384" s="42"/>
      <c r="AB12384" s="38"/>
    </row>
    <row r="12385">
      <c r="P12385" s="42"/>
      <c r="AB12385" s="38"/>
    </row>
    <row r="12386">
      <c r="P12386" s="42"/>
      <c r="AB12386" s="38"/>
    </row>
    <row r="12387">
      <c r="P12387" s="42"/>
      <c r="AB12387" s="38"/>
    </row>
    <row r="12388">
      <c r="P12388" s="42"/>
      <c r="AB12388" s="38"/>
    </row>
    <row r="12389">
      <c r="P12389" s="42"/>
      <c r="AB12389" s="38"/>
    </row>
    <row r="12390">
      <c r="P12390" s="42"/>
      <c r="AB12390" s="38"/>
    </row>
    <row r="12391">
      <c r="P12391" s="42"/>
      <c r="AB12391" s="38"/>
    </row>
    <row r="12392">
      <c r="P12392" s="42"/>
      <c r="AB12392" s="38"/>
    </row>
    <row r="12393">
      <c r="P12393" s="42"/>
      <c r="AB12393" s="38"/>
    </row>
    <row r="12394">
      <c r="P12394" s="42"/>
      <c r="AB12394" s="38"/>
    </row>
    <row r="12395">
      <c r="P12395" s="42"/>
      <c r="AB12395" s="38"/>
    </row>
    <row r="12396">
      <c r="P12396" s="42"/>
      <c r="AB12396" s="38"/>
    </row>
    <row r="12397">
      <c r="P12397" s="42"/>
      <c r="AB12397" s="38"/>
    </row>
    <row r="12398">
      <c r="P12398" s="42"/>
      <c r="AB12398" s="38"/>
    </row>
    <row r="12399">
      <c r="P12399" s="42"/>
      <c r="AB12399" s="38"/>
    </row>
    <row r="12400">
      <c r="P12400" s="42"/>
      <c r="AB12400" s="38"/>
    </row>
    <row r="12401">
      <c r="P12401" s="42"/>
      <c r="AB12401" s="38"/>
    </row>
    <row r="12402">
      <c r="P12402" s="42"/>
      <c r="AB12402" s="38"/>
    </row>
    <row r="12403">
      <c r="P12403" s="42"/>
      <c r="AB12403" s="38"/>
    </row>
    <row r="12404">
      <c r="P12404" s="42"/>
      <c r="AB12404" s="38"/>
    </row>
    <row r="12405">
      <c r="P12405" s="42"/>
      <c r="AB12405" s="38"/>
    </row>
    <row r="12406">
      <c r="P12406" s="42"/>
      <c r="AB12406" s="38"/>
    </row>
    <row r="12407">
      <c r="P12407" s="42"/>
      <c r="AB12407" s="38"/>
    </row>
    <row r="12408">
      <c r="P12408" s="42"/>
      <c r="AB12408" s="38"/>
    </row>
    <row r="12409">
      <c r="P12409" s="42"/>
      <c r="AB12409" s="38"/>
    </row>
    <row r="12410">
      <c r="P12410" s="42"/>
      <c r="AB12410" s="38"/>
    </row>
    <row r="12411">
      <c r="P12411" s="42"/>
      <c r="AB12411" s="38"/>
    </row>
    <row r="12412">
      <c r="P12412" s="42"/>
      <c r="AB12412" s="38"/>
    </row>
    <row r="12413">
      <c r="P12413" s="42"/>
      <c r="AB12413" s="38"/>
    </row>
    <row r="12414">
      <c r="P12414" s="42"/>
      <c r="AB12414" s="38"/>
    </row>
    <row r="12415">
      <c r="P12415" s="42"/>
      <c r="AB12415" s="38"/>
    </row>
    <row r="12416">
      <c r="P12416" s="42"/>
      <c r="AB12416" s="38"/>
    </row>
    <row r="12417">
      <c r="P12417" s="42"/>
      <c r="AB12417" s="38"/>
    </row>
    <row r="12418">
      <c r="P12418" s="42"/>
      <c r="AB12418" s="38"/>
    </row>
    <row r="12419">
      <c r="P12419" s="42"/>
      <c r="AB12419" s="38"/>
    </row>
    <row r="12420">
      <c r="P12420" s="42"/>
      <c r="AB12420" s="38"/>
    </row>
    <row r="12421">
      <c r="P12421" s="42"/>
      <c r="AB12421" s="38"/>
    </row>
    <row r="12422">
      <c r="P12422" s="42"/>
      <c r="AB12422" s="38"/>
    </row>
    <row r="12423">
      <c r="P12423" s="42"/>
      <c r="AB12423" s="38"/>
    </row>
    <row r="12424">
      <c r="P12424" s="42"/>
      <c r="AB12424" s="38"/>
    </row>
    <row r="12425">
      <c r="P12425" s="42"/>
      <c r="AB12425" s="38"/>
    </row>
    <row r="12426">
      <c r="P12426" s="42"/>
      <c r="AB12426" s="38"/>
    </row>
    <row r="12427">
      <c r="P12427" s="42"/>
      <c r="AB12427" s="38"/>
    </row>
    <row r="12428">
      <c r="P12428" s="42"/>
      <c r="AB12428" s="38"/>
    </row>
    <row r="12429">
      <c r="P12429" s="42"/>
      <c r="AB12429" s="38"/>
    </row>
    <row r="12430">
      <c r="P12430" s="42"/>
      <c r="AB12430" s="38"/>
    </row>
    <row r="12431">
      <c r="P12431" s="42"/>
      <c r="AB12431" s="38"/>
    </row>
    <row r="12432">
      <c r="P12432" s="42"/>
      <c r="AB12432" s="38"/>
    </row>
    <row r="12433">
      <c r="P12433" s="42"/>
      <c r="AB12433" s="38"/>
    </row>
    <row r="12434">
      <c r="P12434" s="42"/>
      <c r="AB12434" s="38"/>
    </row>
    <row r="12435">
      <c r="P12435" s="42"/>
      <c r="AB12435" s="38"/>
    </row>
    <row r="12436">
      <c r="P12436" s="42"/>
      <c r="AB12436" s="38"/>
    </row>
    <row r="12437">
      <c r="P12437" s="42"/>
      <c r="AB12437" s="38"/>
    </row>
    <row r="12438">
      <c r="P12438" s="42"/>
      <c r="AB12438" s="38"/>
    </row>
    <row r="12439">
      <c r="P12439" s="42"/>
      <c r="AB12439" s="38"/>
    </row>
    <row r="12440">
      <c r="P12440" s="42"/>
      <c r="AB12440" s="38"/>
    </row>
    <row r="12441">
      <c r="P12441" s="42"/>
      <c r="AB12441" s="38"/>
    </row>
    <row r="12442">
      <c r="P12442" s="42"/>
      <c r="AB12442" s="38"/>
    </row>
    <row r="12443">
      <c r="P12443" s="42"/>
      <c r="AB12443" s="38"/>
    </row>
    <row r="12444">
      <c r="P12444" s="42"/>
      <c r="AB12444" s="38"/>
    </row>
    <row r="12445">
      <c r="P12445" s="42"/>
      <c r="AB12445" s="38"/>
    </row>
    <row r="12446">
      <c r="P12446" s="42"/>
      <c r="AB12446" s="38"/>
    </row>
    <row r="12447">
      <c r="P12447" s="42"/>
      <c r="AB12447" s="38"/>
    </row>
    <row r="12448">
      <c r="P12448" s="42"/>
      <c r="AB12448" s="38"/>
    </row>
    <row r="12449">
      <c r="P12449" s="42"/>
      <c r="AB12449" s="38"/>
    </row>
    <row r="12450">
      <c r="P12450" s="42"/>
      <c r="AB12450" s="38"/>
    </row>
    <row r="12451">
      <c r="P12451" s="42"/>
      <c r="AB12451" s="38"/>
    </row>
    <row r="12452">
      <c r="P12452" s="42"/>
      <c r="AB12452" s="38"/>
    </row>
    <row r="12453">
      <c r="P12453" s="42"/>
      <c r="AB12453" s="38"/>
    </row>
    <row r="12454">
      <c r="P12454" s="42"/>
      <c r="AB12454" s="38"/>
    </row>
    <row r="12455">
      <c r="P12455" s="42"/>
      <c r="AB12455" s="38"/>
    </row>
    <row r="12456">
      <c r="P12456" s="42"/>
      <c r="AB12456" s="38"/>
    </row>
    <row r="12457">
      <c r="P12457" s="42"/>
      <c r="AB12457" s="38"/>
    </row>
    <row r="12458">
      <c r="P12458" s="42"/>
      <c r="AB12458" s="38"/>
    </row>
    <row r="12459">
      <c r="P12459" s="42"/>
      <c r="AB12459" s="38"/>
    </row>
    <row r="12460">
      <c r="P12460" s="42"/>
      <c r="AB12460" s="38"/>
    </row>
    <row r="12461">
      <c r="P12461" s="42"/>
      <c r="AB12461" s="38"/>
    </row>
    <row r="12462">
      <c r="P12462" s="42"/>
      <c r="AB12462" s="38"/>
    </row>
    <row r="12463">
      <c r="P12463" s="42"/>
      <c r="AB12463" s="38"/>
    </row>
    <row r="12464">
      <c r="P12464" s="42"/>
      <c r="AB12464" s="38"/>
    </row>
    <row r="12465">
      <c r="P12465" s="42"/>
      <c r="AB12465" s="38"/>
    </row>
    <row r="12466">
      <c r="P12466" s="42"/>
      <c r="AB12466" s="38"/>
    </row>
    <row r="12467">
      <c r="P12467" s="42"/>
      <c r="AB12467" s="38"/>
    </row>
    <row r="12468">
      <c r="P12468" s="42"/>
      <c r="AB12468" s="38"/>
    </row>
    <row r="12469">
      <c r="P12469" s="42"/>
      <c r="AB12469" s="38"/>
    </row>
    <row r="12470">
      <c r="P12470" s="42"/>
      <c r="AB12470" s="38"/>
    </row>
    <row r="12471">
      <c r="P12471" s="42"/>
      <c r="AB12471" s="38"/>
    </row>
    <row r="12472">
      <c r="P12472" s="42"/>
      <c r="AB12472" s="38"/>
    </row>
    <row r="12473">
      <c r="P12473" s="42"/>
      <c r="AB12473" s="38"/>
    </row>
    <row r="12474">
      <c r="P12474" s="42"/>
      <c r="AB12474" s="38"/>
    </row>
    <row r="12475">
      <c r="P12475" s="42"/>
      <c r="AB12475" s="38"/>
    </row>
    <row r="12476">
      <c r="P12476" s="42"/>
      <c r="AB12476" s="38"/>
    </row>
    <row r="12477">
      <c r="P12477" s="42"/>
      <c r="AB12477" s="38"/>
    </row>
    <row r="12478">
      <c r="P12478" s="42"/>
      <c r="AB12478" s="38"/>
    </row>
    <row r="12479">
      <c r="P12479" s="42"/>
      <c r="AB12479" s="38"/>
    </row>
    <row r="12480">
      <c r="P12480" s="42"/>
      <c r="AB12480" s="38"/>
    </row>
    <row r="12481">
      <c r="P12481" s="42"/>
      <c r="AB12481" s="38"/>
    </row>
    <row r="12482">
      <c r="P12482" s="42"/>
      <c r="AB12482" s="38"/>
    </row>
    <row r="12483">
      <c r="P12483" s="42"/>
      <c r="AB12483" s="38"/>
    </row>
    <row r="12484">
      <c r="P12484" s="42"/>
      <c r="AB12484" s="38"/>
    </row>
    <row r="12485">
      <c r="P12485" s="42"/>
      <c r="AB12485" s="38"/>
    </row>
    <row r="12486">
      <c r="P12486" s="42"/>
      <c r="AB12486" s="38"/>
    </row>
    <row r="12487">
      <c r="P12487" s="42"/>
      <c r="AB12487" s="38"/>
    </row>
    <row r="12488">
      <c r="P12488" s="42"/>
      <c r="AB12488" s="38"/>
    </row>
    <row r="12489">
      <c r="P12489" s="42"/>
      <c r="AB12489" s="38"/>
    </row>
    <row r="12490">
      <c r="P12490" s="42"/>
      <c r="AB12490" s="38"/>
    </row>
    <row r="12491">
      <c r="P12491" s="42"/>
      <c r="AB12491" s="38"/>
    </row>
    <row r="12492">
      <c r="P12492" s="42"/>
      <c r="AB12492" s="38"/>
    </row>
    <row r="12493">
      <c r="P12493" s="42"/>
      <c r="AB12493" s="38"/>
    </row>
    <row r="12494">
      <c r="P12494" s="42"/>
      <c r="AB12494" s="38"/>
    </row>
    <row r="12495">
      <c r="P12495" s="42"/>
      <c r="AB12495" s="38"/>
    </row>
    <row r="12496">
      <c r="P12496" s="42"/>
      <c r="AB12496" s="38"/>
    </row>
    <row r="12497">
      <c r="P12497" s="42"/>
      <c r="AB12497" s="38"/>
    </row>
    <row r="12498">
      <c r="P12498" s="42"/>
      <c r="AB12498" s="38"/>
    </row>
    <row r="12499">
      <c r="P12499" s="42"/>
      <c r="AB12499" s="38"/>
    </row>
    <row r="12500">
      <c r="P12500" s="42"/>
      <c r="AB12500" s="38"/>
    </row>
    <row r="12501">
      <c r="P12501" s="42"/>
      <c r="AB12501" s="38"/>
    </row>
    <row r="12502">
      <c r="P12502" s="42"/>
      <c r="AB12502" s="38"/>
    </row>
    <row r="12503">
      <c r="P12503" s="42"/>
      <c r="AB12503" s="38"/>
    </row>
    <row r="12504">
      <c r="P12504" s="42"/>
      <c r="AB12504" s="38"/>
    </row>
    <row r="12505">
      <c r="P12505" s="42"/>
      <c r="AB12505" s="38"/>
    </row>
    <row r="12506">
      <c r="P12506" s="42"/>
      <c r="AB12506" s="38"/>
    </row>
    <row r="12507">
      <c r="P12507" s="42"/>
      <c r="AB12507" s="38"/>
    </row>
    <row r="12508">
      <c r="P12508" s="42"/>
      <c r="AB12508" s="38"/>
    </row>
    <row r="12509">
      <c r="P12509" s="42"/>
      <c r="AB12509" s="38"/>
    </row>
    <row r="12510">
      <c r="P12510" s="42"/>
      <c r="AB12510" s="38"/>
    </row>
    <row r="12511">
      <c r="P12511" s="42"/>
      <c r="AB12511" s="38"/>
    </row>
    <row r="12512">
      <c r="P12512" s="42"/>
      <c r="AB12512" s="38"/>
    </row>
    <row r="12513">
      <c r="P12513" s="42"/>
      <c r="AB12513" s="38"/>
    </row>
    <row r="12514">
      <c r="P12514" s="42"/>
      <c r="AB12514" s="38"/>
    </row>
    <row r="12515">
      <c r="P12515" s="42"/>
      <c r="AB12515" s="38"/>
    </row>
    <row r="12516">
      <c r="P12516" s="42"/>
      <c r="AB12516" s="38"/>
    </row>
    <row r="12517">
      <c r="P12517" s="42"/>
      <c r="AB12517" s="38"/>
    </row>
    <row r="12518">
      <c r="P12518" s="42"/>
      <c r="AB12518" s="38"/>
    </row>
    <row r="12519">
      <c r="P12519" s="42"/>
      <c r="AB12519" s="38"/>
    </row>
    <row r="12520">
      <c r="P12520" s="42"/>
      <c r="AB12520" s="38"/>
    </row>
    <row r="12521">
      <c r="P12521" s="42"/>
      <c r="AB12521" s="38"/>
    </row>
    <row r="12522">
      <c r="P12522" s="42"/>
      <c r="AB12522" s="38"/>
    </row>
    <row r="12523">
      <c r="P12523" s="42"/>
      <c r="AB12523" s="38"/>
    </row>
    <row r="12524">
      <c r="P12524" s="42"/>
      <c r="AB12524" s="38"/>
    </row>
    <row r="12525">
      <c r="P12525" s="42"/>
      <c r="AB12525" s="38"/>
    </row>
    <row r="12526">
      <c r="P12526" s="42"/>
      <c r="AB12526" s="38"/>
    </row>
    <row r="12527">
      <c r="P12527" s="42"/>
      <c r="AB12527" s="38"/>
    </row>
    <row r="12528">
      <c r="P12528" s="42"/>
      <c r="AB12528" s="38"/>
    </row>
    <row r="12529">
      <c r="P12529" s="42"/>
      <c r="AB12529" s="38"/>
    </row>
    <row r="12530">
      <c r="P12530" s="42"/>
      <c r="AB12530" s="38"/>
    </row>
    <row r="12531">
      <c r="P12531" s="42"/>
      <c r="AB12531" s="38"/>
    </row>
    <row r="12532">
      <c r="P12532" s="42"/>
      <c r="AB12532" s="38"/>
    </row>
    <row r="12533">
      <c r="P12533" s="42"/>
      <c r="AB12533" s="38"/>
    </row>
    <row r="12534">
      <c r="P12534" s="42"/>
      <c r="AB12534" s="38"/>
    </row>
    <row r="12535">
      <c r="P12535" s="42"/>
      <c r="AB12535" s="38"/>
    </row>
    <row r="12536">
      <c r="P12536" s="42"/>
      <c r="AB12536" s="38"/>
    </row>
    <row r="12537">
      <c r="P12537" s="42"/>
      <c r="AB12537" s="38"/>
    </row>
    <row r="12538">
      <c r="P12538" s="42"/>
      <c r="AB12538" s="38"/>
    </row>
    <row r="12539">
      <c r="P12539" s="42"/>
      <c r="AB12539" s="38"/>
    </row>
    <row r="12540">
      <c r="P12540" s="42"/>
      <c r="AB12540" s="38"/>
    </row>
    <row r="12541">
      <c r="P12541" s="42"/>
      <c r="AB12541" s="38"/>
    </row>
    <row r="12542">
      <c r="P12542" s="42"/>
      <c r="AB12542" s="38"/>
    </row>
    <row r="12543">
      <c r="P12543" s="42"/>
      <c r="AB12543" s="38"/>
    </row>
    <row r="12544">
      <c r="P12544" s="42"/>
      <c r="AB12544" s="38"/>
    </row>
    <row r="12545">
      <c r="P12545" s="42"/>
      <c r="AB12545" s="38"/>
    </row>
    <row r="12546">
      <c r="P12546" s="42"/>
      <c r="AB12546" s="38"/>
    </row>
    <row r="12547">
      <c r="P12547" s="42"/>
      <c r="AB12547" s="38"/>
    </row>
    <row r="12548">
      <c r="P12548" s="42"/>
      <c r="AB12548" s="38"/>
    </row>
    <row r="12549">
      <c r="P12549" s="42"/>
      <c r="AB12549" s="38"/>
    </row>
    <row r="12550">
      <c r="P12550" s="42"/>
      <c r="AB12550" s="38"/>
    </row>
    <row r="12551">
      <c r="P12551" s="42"/>
      <c r="AB12551" s="38"/>
    </row>
    <row r="12552">
      <c r="P12552" s="42"/>
      <c r="AB12552" s="38"/>
    </row>
    <row r="12553">
      <c r="P12553" s="42"/>
      <c r="AB12553" s="38"/>
    </row>
    <row r="12554">
      <c r="P12554" s="42"/>
      <c r="AB12554" s="38"/>
    </row>
    <row r="12555">
      <c r="P12555" s="42"/>
      <c r="AB12555" s="38"/>
    </row>
    <row r="12556">
      <c r="P12556" s="42"/>
      <c r="AB12556" s="38"/>
    </row>
    <row r="12557">
      <c r="P12557" s="42"/>
      <c r="AB12557" s="38"/>
    </row>
    <row r="12558">
      <c r="P12558" s="42"/>
      <c r="AB12558" s="38"/>
    </row>
    <row r="12559">
      <c r="P12559" s="42"/>
      <c r="AB12559" s="38"/>
    </row>
    <row r="12560">
      <c r="P12560" s="42"/>
      <c r="AB12560" s="38"/>
    </row>
    <row r="12561">
      <c r="P12561" s="42"/>
      <c r="AB12561" s="38"/>
    </row>
    <row r="12562">
      <c r="P12562" s="42"/>
      <c r="AB12562" s="38"/>
    </row>
    <row r="12563">
      <c r="P12563" s="42"/>
      <c r="AB12563" s="38"/>
    </row>
    <row r="12564">
      <c r="P12564" s="42"/>
      <c r="AB12564" s="38"/>
    </row>
    <row r="12565">
      <c r="P12565" s="42"/>
      <c r="AB12565" s="38"/>
    </row>
    <row r="12566">
      <c r="P12566" s="42"/>
      <c r="AB12566" s="38"/>
    </row>
    <row r="12567">
      <c r="P12567" s="42"/>
      <c r="AB12567" s="38"/>
    </row>
    <row r="12568">
      <c r="P12568" s="42"/>
      <c r="AB12568" s="38"/>
    </row>
    <row r="12569">
      <c r="P12569" s="42"/>
      <c r="AB12569" s="38"/>
    </row>
    <row r="12570">
      <c r="P12570" s="42"/>
      <c r="AB12570" s="38"/>
    </row>
    <row r="12571">
      <c r="P12571" s="42"/>
      <c r="AB12571" s="38"/>
    </row>
    <row r="12572">
      <c r="P12572" s="42"/>
      <c r="AB12572" s="38"/>
    </row>
    <row r="12573">
      <c r="P12573" s="42"/>
      <c r="AB12573" s="38"/>
    </row>
    <row r="12574">
      <c r="P12574" s="42"/>
      <c r="AB12574" s="38"/>
    </row>
    <row r="12575">
      <c r="P12575" s="42"/>
      <c r="AB12575" s="38"/>
    </row>
    <row r="12576">
      <c r="P12576" s="42"/>
      <c r="AB12576" s="38"/>
    </row>
    <row r="12577">
      <c r="P12577" s="42"/>
      <c r="AB12577" s="38"/>
    </row>
    <row r="12578">
      <c r="P12578" s="42"/>
      <c r="AB12578" s="38"/>
    </row>
    <row r="12579">
      <c r="P12579" s="42"/>
      <c r="AB12579" s="38"/>
    </row>
    <row r="12580">
      <c r="P12580" s="42"/>
      <c r="AB12580" s="38"/>
    </row>
    <row r="12581">
      <c r="P12581" s="42"/>
      <c r="AB12581" s="38"/>
    </row>
    <row r="12582">
      <c r="P12582" s="42"/>
      <c r="AB12582" s="38"/>
    </row>
    <row r="12583">
      <c r="P12583" s="42"/>
      <c r="AB12583" s="38"/>
    </row>
    <row r="12584">
      <c r="P12584" s="42"/>
      <c r="AB12584" s="38"/>
    </row>
    <row r="12585">
      <c r="P12585" s="42"/>
      <c r="AB12585" s="38"/>
    </row>
    <row r="12586">
      <c r="P12586" s="42"/>
      <c r="AB12586" s="38"/>
    </row>
    <row r="12587">
      <c r="P12587" s="42"/>
      <c r="AB12587" s="38"/>
    </row>
    <row r="12588">
      <c r="P12588" s="42"/>
      <c r="AB12588" s="38"/>
    </row>
    <row r="12589">
      <c r="P12589" s="42"/>
      <c r="AB12589" s="38"/>
    </row>
    <row r="12590">
      <c r="P12590" s="42"/>
      <c r="AB12590" s="38"/>
    </row>
    <row r="12591">
      <c r="P12591" s="42"/>
      <c r="AB12591" s="38"/>
    </row>
    <row r="12592">
      <c r="P12592" s="42"/>
      <c r="AB12592" s="38"/>
    </row>
    <row r="12593">
      <c r="P12593" s="42"/>
      <c r="AB12593" s="38"/>
    </row>
    <row r="12594">
      <c r="P12594" s="42"/>
      <c r="AB12594" s="38"/>
    </row>
    <row r="12595">
      <c r="P12595" s="42"/>
      <c r="AB12595" s="38"/>
    </row>
    <row r="12596">
      <c r="P12596" s="42"/>
      <c r="AB12596" s="38"/>
    </row>
    <row r="12597">
      <c r="P12597" s="42"/>
      <c r="AB12597" s="38"/>
    </row>
    <row r="12598">
      <c r="P12598" s="42"/>
      <c r="AB12598" s="38"/>
    </row>
    <row r="12599">
      <c r="P12599" s="42"/>
      <c r="AB12599" s="38"/>
    </row>
    <row r="12600">
      <c r="P12600" s="42"/>
      <c r="AB12600" s="38"/>
    </row>
    <row r="12601">
      <c r="P12601" s="42"/>
      <c r="AB12601" s="38"/>
    </row>
    <row r="12602">
      <c r="P12602" s="42"/>
      <c r="AB12602" s="38"/>
    </row>
    <row r="12603">
      <c r="P12603" s="42"/>
      <c r="AB12603" s="38"/>
    </row>
    <row r="12604">
      <c r="P12604" s="42"/>
      <c r="AB12604" s="38"/>
    </row>
    <row r="12605">
      <c r="P12605" s="42"/>
      <c r="AB12605" s="38"/>
    </row>
    <row r="12606">
      <c r="P12606" s="42"/>
      <c r="AB12606" s="38"/>
    </row>
    <row r="12607">
      <c r="P12607" s="42"/>
      <c r="AB12607" s="38"/>
    </row>
    <row r="12608">
      <c r="P12608" s="42"/>
      <c r="AB12608" s="38"/>
    </row>
    <row r="12609">
      <c r="P12609" s="42"/>
      <c r="AB12609" s="38"/>
    </row>
    <row r="12610">
      <c r="P12610" s="42"/>
      <c r="AB12610" s="38"/>
    </row>
    <row r="12611">
      <c r="P12611" s="42"/>
      <c r="AB12611" s="38"/>
    </row>
    <row r="12612">
      <c r="P12612" s="42"/>
      <c r="AB12612" s="38"/>
    </row>
    <row r="12613">
      <c r="P12613" s="42"/>
      <c r="AB12613" s="38"/>
    </row>
    <row r="12614">
      <c r="P12614" s="42"/>
      <c r="AB12614" s="38"/>
    </row>
    <row r="12615">
      <c r="P12615" s="42"/>
      <c r="AB12615" s="38"/>
    </row>
    <row r="12616">
      <c r="P12616" s="42"/>
      <c r="AB12616" s="38"/>
    </row>
    <row r="12617">
      <c r="P12617" s="42"/>
      <c r="AB12617" s="38"/>
    </row>
    <row r="12618">
      <c r="P12618" s="42"/>
      <c r="AB12618" s="38"/>
    </row>
    <row r="12619">
      <c r="P12619" s="42"/>
      <c r="AB12619" s="38"/>
    </row>
    <row r="12620">
      <c r="P12620" s="42"/>
      <c r="AB12620" s="38"/>
    </row>
    <row r="12621">
      <c r="P12621" s="42"/>
      <c r="AB12621" s="38"/>
    </row>
    <row r="12622">
      <c r="P12622" s="42"/>
      <c r="AB12622" s="38"/>
    </row>
    <row r="12623">
      <c r="P12623" s="42"/>
      <c r="AB12623" s="38"/>
    </row>
    <row r="12624">
      <c r="P12624" s="42"/>
      <c r="AB12624" s="38"/>
    </row>
    <row r="12625">
      <c r="P12625" s="42"/>
      <c r="AB12625" s="38"/>
    </row>
    <row r="12626">
      <c r="P12626" s="42"/>
      <c r="AB12626" s="38"/>
    </row>
    <row r="12627">
      <c r="P12627" s="42"/>
      <c r="AB12627" s="38"/>
    </row>
    <row r="12628">
      <c r="P12628" s="42"/>
      <c r="AB12628" s="38"/>
    </row>
    <row r="12629">
      <c r="P12629" s="42"/>
      <c r="AB12629" s="38"/>
    </row>
    <row r="12630">
      <c r="P12630" s="42"/>
      <c r="AB12630" s="38"/>
    </row>
    <row r="12631">
      <c r="P12631" s="42"/>
      <c r="AB12631" s="38"/>
    </row>
    <row r="12632">
      <c r="P12632" s="42"/>
      <c r="AB12632" s="38"/>
    </row>
    <row r="12633">
      <c r="P12633" s="42"/>
      <c r="AB12633" s="38"/>
    </row>
    <row r="12634">
      <c r="P12634" s="42"/>
      <c r="AB12634" s="38"/>
    </row>
    <row r="12635">
      <c r="P12635" s="42"/>
      <c r="AB12635" s="38"/>
    </row>
    <row r="12636">
      <c r="P12636" s="42"/>
      <c r="AB12636" s="38"/>
    </row>
    <row r="12637">
      <c r="P12637" s="42"/>
      <c r="AB12637" s="38"/>
    </row>
    <row r="12638">
      <c r="P12638" s="42"/>
      <c r="AB12638" s="38"/>
    </row>
    <row r="12639">
      <c r="P12639" s="42"/>
      <c r="AB12639" s="38"/>
    </row>
    <row r="12640">
      <c r="P12640" s="42"/>
      <c r="AB12640" s="38"/>
    </row>
    <row r="12641">
      <c r="P12641" s="42"/>
      <c r="AB12641" s="38"/>
    </row>
    <row r="12642">
      <c r="P12642" s="42"/>
      <c r="AB12642" s="38"/>
    </row>
    <row r="12643">
      <c r="P12643" s="42"/>
      <c r="AB12643" s="38"/>
    </row>
    <row r="12644">
      <c r="P12644" s="42"/>
      <c r="AB12644" s="38"/>
    </row>
    <row r="12645">
      <c r="P12645" s="42"/>
      <c r="AB12645" s="38"/>
    </row>
    <row r="12646">
      <c r="P12646" s="42"/>
      <c r="AB12646" s="38"/>
    </row>
    <row r="12647">
      <c r="P12647" s="42"/>
      <c r="AB12647" s="38"/>
    </row>
    <row r="12648">
      <c r="P12648" s="42"/>
      <c r="AB12648" s="38"/>
    </row>
    <row r="12649">
      <c r="P12649" s="42"/>
      <c r="AB12649" s="38"/>
    </row>
    <row r="12650">
      <c r="P12650" s="42"/>
      <c r="AB12650" s="38"/>
    </row>
    <row r="12651">
      <c r="P12651" s="42"/>
      <c r="AB12651" s="38"/>
    </row>
    <row r="12652">
      <c r="P12652" s="42"/>
      <c r="AB12652" s="38"/>
    </row>
    <row r="12653">
      <c r="P12653" s="42"/>
      <c r="AB12653" s="38"/>
    </row>
    <row r="12654">
      <c r="P12654" s="42"/>
      <c r="AB12654" s="38"/>
    </row>
    <row r="12655">
      <c r="P12655" s="42"/>
      <c r="AB12655" s="38"/>
    </row>
    <row r="12656">
      <c r="P12656" s="42"/>
      <c r="AB12656" s="38"/>
    </row>
    <row r="12657">
      <c r="P12657" s="42"/>
      <c r="AB12657" s="38"/>
    </row>
    <row r="12658">
      <c r="P12658" s="42"/>
      <c r="AB12658" s="38"/>
    </row>
    <row r="12659">
      <c r="P12659" s="42"/>
      <c r="AB12659" s="38"/>
    </row>
    <row r="12660">
      <c r="P12660" s="42"/>
      <c r="AB12660" s="38"/>
    </row>
    <row r="12661">
      <c r="P12661" s="42"/>
      <c r="AB12661" s="38"/>
    </row>
    <row r="12662">
      <c r="P12662" s="42"/>
      <c r="AB12662" s="38"/>
    </row>
    <row r="12663">
      <c r="P12663" s="42"/>
      <c r="AB12663" s="38"/>
    </row>
    <row r="12664">
      <c r="P12664" s="42"/>
      <c r="AB12664" s="38"/>
    </row>
    <row r="12665">
      <c r="P12665" s="42"/>
      <c r="AB12665" s="38"/>
    </row>
    <row r="12666">
      <c r="P12666" s="42"/>
      <c r="AB12666" s="38"/>
    </row>
    <row r="12667">
      <c r="P12667" s="42"/>
      <c r="AB12667" s="38"/>
    </row>
    <row r="12668">
      <c r="P12668" s="42"/>
      <c r="AB12668" s="38"/>
    </row>
    <row r="12669">
      <c r="P12669" s="42"/>
      <c r="AB12669" s="38"/>
    </row>
    <row r="12670">
      <c r="P12670" s="42"/>
      <c r="AB12670" s="38"/>
    </row>
    <row r="12671">
      <c r="P12671" s="42"/>
      <c r="AB12671" s="38"/>
    </row>
    <row r="12672">
      <c r="P12672" s="42"/>
      <c r="AB12672" s="38"/>
    </row>
    <row r="12673">
      <c r="P12673" s="42"/>
      <c r="AB12673" s="38"/>
    </row>
    <row r="12674">
      <c r="P12674" s="42"/>
      <c r="AB12674" s="38"/>
    </row>
    <row r="12675">
      <c r="P12675" s="42"/>
      <c r="AB12675" s="38"/>
    </row>
    <row r="12676">
      <c r="P12676" s="42"/>
      <c r="AB12676" s="38"/>
    </row>
    <row r="12677">
      <c r="P12677" s="42"/>
      <c r="AB12677" s="38"/>
    </row>
    <row r="12678">
      <c r="P12678" s="42"/>
      <c r="AB12678" s="38"/>
    </row>
    <row r="12679">
      <c r="P12679" s="42"/>
      <c r="AB12679" s="38"/>
    </row>
    <row r="12680">
      <c r="P12680" s="42"/>
      <c r="AB12680" s="38"/>
    </row>
    <row r="12681">
      <c r="P12681" s="42"/>
      <c r="AB12681" s="38"/>
    </row>
    <row r="12682">
      <c r="P12682" s="42"/>
      <c r="AB12682" s="38"/>
    </row>
    <row r="12683">
      <c r="P12683" s="42"/>
      <c r="AB12683" s="38"/>
    </row>
    <row r="12684">
      <c r="P12684" s="42"/>
      <c r="AB12684" s="38"/>
    </row>
    <row r="12685">
      <c r="P12685" s="42"/>
      <c r="AB12685" s="38"/>
    </row>
    <row r="12686">
      <c r="P12686" s="42"/>
      <c r="AB12686" s="38"/>
    </row>
    <row r="12687">
      <c r="P12687" s="42"/>
      <c r="AB12687" s="38"/>
    </row>
    <row r="12688">
      <c r="P12688" s="42"/>
      <c r="AB12688" s="38"/>
    </row>
    <row r="12689">
      <c r="P12689" s="42"/>
      <c r="AB12689" s="38"/>
    </row>
    <row r="12690">
      <c r="P12690" s="42"/>
      <c r="AB12690" s="38"/>
    </row>
    <row r="12691">
      <c r="P12691" s="42"/>
      <c r="AB12691" s="38"/>
    </row>
    <row r="12692">
      <c r="P12692" s="42"/>
      <c r="AB12692" s="38"/>
    </row>
    <row r="12693">
      <c r="P12693" s="42"/>
      <c r="AB12693" s="38"/>
    </row>
    <row r="12694">
      <c r="P12694" s="42"/>
      <c r="AB12694" s="38"/>
    </row>
    <row r="12695">
      <c r="P12695" s="42"/>
      <c r="AB12695" s="38"/>
    </row>
    <row r="12696">
      <c r="P12696" s="42"/>
      <c r="AB12696" s="38"/>
    </row>
    <row r="12697">
      <c r="P12697" s="42"/>
      <c r="AB12697" s="38"/>
    </row>
    <row r="12698">
      <c r="P12698" s="42"/>
      <c r="AB12698" s="38"/>
    </row>
    <row r="12699">
      <c r="P12699" s="42"/>
      <c r="AB12699" s="38"/>
    </row>
    <row r="12700">
      <c r="P12700" s="42"/>
      <c r="AB12700" s="38"/>
    </row>
    <row r="12701">
      <c r="P12701" s="42"/>
      <c r="AB12701" s="38"/>
    </row>
    <row r="12702">
      <c r="P12702" s="42"/>
      <c r="AB12702" s="38"/>
    </row>
    <row r="12703">
      <c r="P12703" s="42"/>
      <c r="AB12703" s="38"/>
    </row>
    <row r="12704">
      <c r="P12704" s="42"/>
      <c r="AB12704" s="38"/>
    </row>
    <row r="12705">
      <c r="P12705" s="42"/>
      <c r="AB12705" s="38"/>
    </row>
    <row r="12706">
      <c r="P12706" s="42"/>
      <c r="AB12706" s="38"/>
    </row>
    <row r="12707">
      <c r="P12707" s="42"/>
      <c r="AB12707" s="38"/>
    </row>
    <row r="12708">
      <c r="P12708" s="42"/>
      <c r="AB12708" s="38"/>
    </row>
    <row r="12709">
      <c r="P12709" s="42"/>
      <c r="AB12709" s="38"/>
    </row>
    <row r="12710">
      <c r="P12710" s="42"/>
      <c r="AB12710" s="38"/>
    </row>
    <row r="12711">
      <c r="P12711" s="42"/>
      <c r="AB12711" s="38"/>
    </row>
    <row r="12712">
      <c r="P12712" s="42"/>
      <c r="AB12712" s="38"/>
    </row>
    <row r="12713">
      <c r="P12713" s="42"/>
      <c r="AB12713" s="38"/>
    </row>
    <row r="12714">
      <c r="P12714" s="42"/>
      <c r="AB12714" s="38"/>
    </row>
    <row r="12715">
      <c r="P12715" s="42"/>
      <c r="AB12715" s="38"/>
    </row>
    <row r="12716">
      <c r="P12716" s="42"/>
      <c r="AB12716" s="38"/>
    </row>
    <row r="12717">
      <c r="P12717" s="42"/>
      <c r="AB12717" s="38"/>
    </row>
    <row r="12718">
      <c r="P12718" s="42"/>
      <c r="AB12718" s="38"/>
    </row>
    <row r="12719">
      <c r="P12719" s="42"/>
      <c r="AB12719" s="38"/>
    </row>
    <row r="12720">
      <c r="P12720" s="42"/>
      <c r="AB12720" s="38"/>
    </row>
    <row r="12721">
      <c r="P12721" s="42"/>
      <c r="AB12721" s="38"/>
    </row>
    <row r="12722">
      <c r="P12722" s="42"/>
      <c r="AB12722" s="38"/>
    </row>
    <row r="12723">
      <c r="P12723" s="42"/>
      <c r="AB12723" s="38"/>
    </row>
    <row r="12724">
      <c r="P12724" s="42"/>
      <c r="AB12724" s="38"/>
    </row>
    <row r="12725">
      <c r="P12725" s="42"/>
      <c r="AB12725" s="38"/>
    </row>
    <row r="12726">
      <c r="P12726" s="42"/>
      <c r="AB12726" s="38"/>
    </row>
    <row r="12727">
      <c r="P12727" s="42"/>
      <c r="AB12727" s="38"/>
    </row>
    <row r="12728">
      <c r="P12728" s="42"/>
      <c r="AB12728" s="38"/>
    </row>
    <row r="12729">
      <c r="P12729" s="42"/>
      <c r="AB12729" s="38"/>
    </row>
    <row r="12730">
      <c r="P12730" s="42"/>
      <c r="AB12730" s="38"/>
    </row>
    <row r="12731">
      <c r="P12731" s="42"/>
      <c r="AB12731" s="38"/>
    </row>
    <row r="12732">
      <c r="P12732" s="42"/>
      <c r="AB12732" s="38"/>
    </row>
    <row r="12733">
      <c r="P12733" s="42"/>
      <c r="AB12733" s="38"/>
    </row>
    <row r="12734">
      <c r="P12734" s="42"/>
      <c r="AB12734" s="38"/>
    </row>
    <row r="12735">
      <c r="P12735" s="42"/>
      <c r="AB12735" s="38"/>
    </row>
    <row r="12736">
      <c r="P12736" s="42"/>
      <c r="AB12736" s="38"/>
    </row>
    <row r="12737">
      <c r="P12737" s="42"/>
      <c r="AB12737" s="38"/>
    </row>
    <row r="12738">
      <c r="P12738" s="42"/>
      <c r="AB12738" s="38"/>
    </row>
    <row r="12739">
      <c r="P12739" s="42"/>
      <c r="AB12739" s="38"/>
    </row>
    <row r="12740">
      <c r="P12740" s="42"/>
      <c r="AB12740" s="38"/>
    </row>
    <row r="12741">
      <c r="P12741" s="42"/>
      <c r="AB12741" s="38"/>
    </row>
    <row r="12742">
      <c r="P12742" s="42"/>
      <c r="AB12742" s="38"/>
    </row>
    <row r="12743">
      <c r="P12743" s="42"/>
      <c r="AB12743" s="38"/>
    </row>
    <row r="12744">
      <c r="P12744" s="42"/>
      <c r="AB12744" s="38"/>
    </row>
    <row r="12745">
      <c r="P12745" s="42"/>
      <c r="AB12745" s="38"/>
    </row>
    <row r="12746">
      <c r="P12746" s="42"/>
      <c r="AB12746" s="38"/>
    </row>
    <row r="12747">
      <c r="P12747" s="42"/>
      <c r="AB12747" s="38"/>
    </row>
    <row r="12748">
      <c r="P12748" s="42"/>
      <c r="AB12748" s="38"/>
    </row>
    <row r="12749">
      <c r="P12749" s="42"/>
      <c r="AB12749" s="38"/>
    </row>
    <row r="12750">
      <c r="P12750" s="42"/>
      <c r="AB12750" s="38"/>
    </row>
    <row r="12751">
      <c r="P12751" s="42"/>
      <c r="AB12751" s="38"/>
    </row>
    <row r="12752">
      <c r="P12752" s="42"/>
      <c r="AB12752" s="38"/>
    </row>
    <row r="12753">
      <c r="P12753" s="42"/>
      <c r="AB12753" s="38"/>
    </row>
    <row r="12754">
      <c r="P12754" s="42"/>
      <c r="AB12754" s="38"/>
    </row>
    <row r="12755">
      <c r="P12755" s="42"/>
      <c r="AB12755" s="38"/>
    </row>
    <row r="12756">
      <c r="P12756" s="42"/>
      <c r="AB12756" s="38"/>
    </row>
    <row r="12757">
      <c r="P12757" s="42"/>
      <c r="AB12757" s="38"/>
    </row>
    <row r="12758">
      <c r="P12758" s="42"/>
      <c r="AB12758" s="38"/>
    </row>
    <row r="12759">
      <c r="P12759" s="42"/>
      <c r="AB12759" s="38"/>
    </row>
    <row r="12760">
      <c r="P12760" s="42"/>
      <c r="AB12760" s="38"/>
    </row>
    <row r="12761">
      <c r="P12761" s="42"/>
      <c r="AB12761" s="38"/>
    </row>
    <row r="12762">
      <c r="P12762" s="42"/>
      <c r="AB12762" s="38"/>
    </row>
    <row r="12763">
      <c r="P12763" s="42"/>
      <c r="AB12763" s="38"/>
    </row>
    <row r="12764">
      <c r="P12764" s="42"/>
      <c r="AB12764" s="38"/>
    </row>
    <row r="12765">
      <c r="P12765" s="42"/>
      <c r="AB12765" s="38"/>
    </row>
    <row r="12766">
      <c r="P12766" s="42"/>
      <c r="AB12766" s="38"/>
    </row>
    <row r="12767">
      <c r="P12767" s="42"/>
      <c r="AB12767" s="38"/>
    </row>
    <row r="12768">
      <c r="P12768" s="42"/>
      <c r="AB12768" s="38"/>
    </row>
    <row r="12769">
      <c r="P12769" s="42"/>
      <c r="AB12769" s="38"/>
    </row>
    <row r="12770">
      <c r="P12770" s="42"/>
      <c r="AB12770" s="38"/>
    </row>
    <row r="12771">
      <c r="P12771" s="42"/>
      <c r="AB12771" s="38"/>
    </row>
    <row r="12772">
      <c r="P12772" s="42"/>
      <c r="AB12772" s="38"/>
    </row>
    <row r="12773">
      <c r="P12773" s="42"/>
      <c r="AB12773" s="38"/>
    </row>
    <row r="12774">
      <c r="P12774" s="42"/>
      <c r="AB12774" s="38"/>
    </row>
    <row r="12775">
      <c r="P12775" s="42"/>
      <c r="AB12775" s="38"/>
    </row>
    <row r="12776">
      <c r="P12776" s="42"/>
      <c r="AB12776" s="38"/>
    </row>
    <row r="12777">
      <c r="P12777" s="42"/>
      <c r="AB12777" s="38"/>
    </row>
    <row r="12778">
      <c r="P12778" s="42"/>
      <c r="AB12778" s="38"/>
    </row>
    <row r="12779">
      <c r="P12779" s="42"/>
      <c r="AB12779" s="38"/>
    </row>
    <row r="12780">
      <c r="P12780" s="42"/>
      <c r="AB12780" s="38"/>
    </row>
    <row r="12781">
      <c r="P12781" s="42"/>
      <c r="AB12781" s="38"/>
    </row>
    <row r="12782">
      <c r="P12782" s="42"/>
      <c r="AB12782" s="38"/>
    </row>
    <row r="12783">
      <c r="P12783" s="42"/>
      <c r="AB12783" s="38"/>
    </row>
    <row r="12784">
      <c r="P12784" s="42"/>
      <c r="AB12784" s="38"/>
    </row>
    <row r="12785">
      <c r="P12785" s="42"/>
      <c r="AB12785" s="38"/>
    </row>
    <row r="12786">
      <c r="P12786" s="42"/>
      <c r="AB12786" s="38"/>
    </row>
    <row r="12787">
      <c r="P12787" s="42"/>
      <c r="AB12787" s="38"/>
    </row>
    <row r="12788">
      <c r="P12788" s="42"/>
      <c r="AB12788" s="38"/>
    </row>
    <row r="12789">
      <c r="P12789" s="42"/>
      <c r="AB12789" s="38"/>
    </row>
    <row r="12790">
      <c r="P12790" s="42"/>
      <c r="AB12790" s="38"/>
    </row>
    <row r="12791">
      <c r="P12791" s="42"/>
      <c r="AB12791" s="38"/>
    </row>
    <row r="12792">
      <c r="P12792" s="42"/>
      <c r="AB12792" s="38"/>
    </row>
    <row r="12793">
      <c r="P12793" s="42"/>
      <c r="AB12793" s="38"/>
    </row>
    <row r="12794">
      <c r="P12794" s="42"/>
      <c r="AB12794" s="38"/>
    </row>
    <row r="12795">
      <c r="P12795" s="42"/>
      <c r="AB12795" s="38"/>
    </row>
    <row r="12796">
      <c r="P12796" s="42"/>
      <c r="AB12796" s="38"/>
    </row>
    <row r="12797">
      <c r="P12797" s="42"/>
      <c r="AB12797" s="38"/>
    </row>
    <row r="12798">
      <c r="P12798" s="42"/>
      <c r="AB12798" s="38"/>
    </row>
    <row r="12799">
      <c r="P12799" s="42"/>
      <c r="AB12799" s="38"/>
    </row>
    <row r="12800">
      <c r="P12800" s="42"/>
      <c r="AB12800" s="38"/>
    </row>
    <row r="12801">
      <c r="P12801" s="42"/>
      <c r="AB12801" s="38"/>
    </row>
    <row r="12802">
      <c r="P12802" s="42"/>
      <c r="AB12802" s="38"/>
    </row>
    <row r="12803">
      <c r="P12803" s="42"/>
      <c r="AB12803" s="38"/>
    </row>
    <row r="12804">
      <c r="P12804" s="42"/>
      <c r="AB12804" s="38"/>
    </row>
    <row r="12805">
      <c r="P12805" s="42"/>
      <c r="AB12805" s="38"/>
    </row>
    <row r="12806">
      <c r="P12806" s="42"/>
      <c r="AB12806" s="38"/>
    </row>
    <row r="12807">
      <c r="P12807" s="42"/>
      <c r="AB12807" s="38"/>
    </row>
    <row r="12808">
      <c r="P12808" s="42"/>
      <c r="AB12808" s="38"/>
    </row>
    <row r="12809">
      <c r="P12809" s="42"/>
      <c r="AB12809" s="38"/>
    </row>
    <row r="12810">
      <c r="P12810" s="42"/>
      <c r="AB12810" s="38"/>
    </row>
    <row r="12811">
      <c r="P12811" s="42"/>
      <c r="AB12811" s="38"/>
    </row>
    <row r="12812">
      <c r="P12812" s="42"/>
      <c r="AB12812" s="38"/>
    </row>
    <row r="12813">
      <c r="P12813" s="42"/>
      <c r="AB12813" s="38"/>
    </row>
    <row r="12814">
      <c r="P12814" s="42"/>
      <c r="AB12814" s="38"/>
    </row>
    <row r="12815">
      <c r="P12815" s="42"/>
      <c r="AB12815" s="38"/>
    </row>
    <row r="12816">
      <c r="P12816" s="42"/>
      <c r="AB12816" s="38"/>
    </row>
    <row r="12817">
      <c r="P12817" s="42"/>
      <c r="AB12817" s="38"/>
    </row>
    <row r="12818">
      <c r="P12818" s="42"/>
      <c r="AB12818" s="38"/>
    </row>
    <row r="12819">
      <c r="P12819" s="42"/>
      <c r="AB12819" s="38"/>
    </row>
    <row r="12820">
      <c r="P12820" s="42"/>
      <c r="AB12820" s="38"/>
    </row>
    <row r="12821">
      <c r="P12821" s="42"/>
      <c r="AB12821" s="38"/>
    </row>
    <row r="12822">
      <c r="P12822" s="42"/>
      <c r="AB12822" s="38"/>
    </row>
    <row r="12823">
      <c r="P12823" s="42"/>
      <c r="AB12823" s="38"/>
    </row>
    <row r="12824">
      <c r="P12824" s="42"/>
      <c r="AB12824" s="38"/>
    </row>
    <row r="12825">
      <c r="P12825" s="42"/>
      <c r="AB12825" s="38"/>
    </row>
    <row r="12826">
      <c r="P12826" s="42"/>
      <c r="AB12826" s="38"/>
    </row>
    <row r="12827">
      <c r="P12827" s="42"/>
      <c r="AB12827" s="38"/>
    </row>
    <row r="12828">
      <c r="P12828" s="42"/>
      <c r="AB12828" s="38"/>
    </row>
    <row r="12829">
      <c r="P12829" s="42"/>
      <c r="AB12829" s="38"/>
    </row>
    <row r="12830">
      <c r="P12830" s="42"/>
      <c r="AB12830" s="38"/>
    </row>
    <row r="12831">
      <c r="P12831" s="42"/>
      <c r="AB12831" s="38"/>
    </row>
    <row r="12832">
      <c r="P12832" s="42"/>
      <c r="AB12832" s="38"/>
    </row>
    <row r="12833">
      <c r="P12833" s="42"/>
      <c r="AB12833" s="38"/>
    </row>
    <row r="12834">
      <c r="P12834" s="42"/>
      <c r="AB12834" s="38"/>
    </row>
    <row r="12835">
      <c r="P12835" s="42"/>
      <c r="AB12835" s="38"/>
    </row>
    <row r="12836">
      <c r="P12836" s="42"/>
      <c r="AB12836" s="38"/>
    </row>
    <row r="12837">
      <c r="P12837" s="42"/>
      <c r="AB12837" s="38"/>
    </row>
    <row r="12838">
      <c r="P12838" s="42"/>
      <c r="AB12838" s="38"/>
    </row>
    <row r="12839">
      <c r="P12839" s="42"/>
      <c r="AB12839" s="38"/>
    </row>
    <row r="12840">
      <c r="P12840" s="42"/>
      <c r="AB12840" s="38"/>
    </row>
    <row r="12841">
      <c r="P12841" s="42"/>
      <c r="AB12841" s="38"/>
    </row>
    <row r="12842">
      <c r="P12842" s="42"/>
      <c r="AB12842" s="38"/>
    </row>
    <row r="12843">
      <c r="P12843" s="42"/>
      <c r="AB12843" s="38"/>
    </row>
    <row r="12844">
      <c r="P12844" s="42"/>
      <c r="AB12844" s="38"/>
    </row>
    <row r="12845">
      <c r="P12845" s="42"/>
      <c r="AB12845" s="38"/>
    </row>
    <row r="12846">
      <c r="P12846" s="42"/>
      <c r="AB12846" s="38"/>
    </row>
    <row r="12847">
      <c r="P12847" s="42"/>
      <c r="AB12847" s="38"/>
    </row>
    <row r="12848">
      <c r="P12848" s="42"/>
      <c r="AB12848" s="38"/>
    </row>
    <row r="12849">
      <c r="P12849" s="42"/>
      <c r="AB12849" s="38"/>
    </row>
    <row r="12850">
      <c r="P12850" s="42"/>
      <c r="AB12850" s="38"/>
    </row>
    <row r="12851">
      <c r="P12851" s="42"/>
      <c r="AB12851" s="38"/>
    </row>
    <row r="12852">
      <c r="P12852" s="42"/>
      <c r="AB12852" s="38"/>
    </row>
    <row r="12853">
      <c r="P12853" s="42"/>
      <c r="AB12853" s="38"/>
    </row>
    <row r="12854">
      <c r="P12854" s="42"/>
      <c r="AB12854" s="38"/>
    </row>
    <row r="12855">
      <c r="P12855" s="42"/>
      <c r="AB12855" s="38"/>
    </row>
    <row r="12856">
      <c r="P12856" s="42"/>
      <c r="AB12856" s="38"/>
    </row>
    <row r="12857">
      <c r="P12857" s="42"/>
      <c r="AB12857" s="38"/>
    </row>
    <row r="12858">
      <c r="P12858" s="42"/>
      <c r="AB12858" s="38"/>
    </row>
    <row r="12859">
      <c r="P12859" s="42"/>
      <c r="AB12859" s="38"/>
    </row>
    <row r="12860">
      <c r="P12860" s="42"/>
      <c r="AB12860" s="38"/>
    </row>
    <row r="12861">
      <c r="P12861" s="42"/>
      <c r="AB12861" s="38"/>
    </row>
    <row r="12862">
      <c r="P12862" s="42"/>
      <c r="AB12862" s="38"/>
    </row>
    <row r="12863">
      <c r="P12863" s="42"/>
      <c r="AB12863" s="38"/>
    </row>
    <row r="12864">
      <c r="P12864" s="42"/>
      <c r="AB12864" s="38"/>
    </row>
    <row r="12865">
      <c r="P12865" s="42"/>
      <c r="AB12865" s="38"/>
    </row>
    <row r="12866">
      <c r="P12866" s="42"/>
      <c r="AB12866" s="38"/>
    </row>
    <row r="12867">
      <c r="P12867" s="42"/>
      <c r="AB12867" s="38"/>
    </row>
    <row r="12868">
      <c r="P12868" s="42"/>
      <c r="AB12868" s="38"/>
    </row>
    <row r="12869">
      <c r="P12869" s="42"/>
      <c r="AB12869" s="38"/>
    </row>
    <row r="12870">
      <c r="P12870" s="42"/>
      <c r="AB12870" s="38"/>
    </row>
    <row r="12871">
      <c r="P12871" s="42"/>
      <c r="AB12871" s="38"/>
    </row>
    <row r="12872">
      <c r="P12872" s="42"/>
      <c r="AB12872" s="38"/>
    </row>
    <row r="12873">
      <c r="P12873" s="42"/>
      <c r="AB12873" s="38"/>
    </row>
    <row r="12874">
      <c r="P12874" s="42"/>
      <c r="AB12874" s="38"/>
    </row>
    <row r="12875">
      <c r="P12875" s="42"/>
      <c r="AB12875" s="38"/>
    </row>
    <row r="12876">
      <c r="P12876" s="42"/>
      <c r="AB12876" s="38"/>
    </row>
    <row r="12877">
      <c r="P12877" s="42"/>
      <c r="AB12877" s="38"/>
    </row>
    <row r="12878">
      <c r="P12878" s="42"/>
      <c r="AB12878" s="38"/>
    </row>
    <row r="12879">
      <c r="P12879" s="42"/>
      <c r="AB12879" s="38"/>
    </row>
    <row r="12880">
      <c r="P12880" s="42"/>
      <c r="AB12880" s="38"/>
    </row>
    <row r="12881">
      <c r="P12881" s="42"/>
      <c r="AB12881" s="38"/>
    </row>
    <row r="12882">
      <c r="P12882" s="42"/>
      <c r="AB12882" s="38"/>
    </row>
    <row r="12883">
      <c r="P12883" s="42"/>
      <c r="AB12883" s="38"/>
    </row>
    <row r="12884">
      <c r="P12884" s="42"/>
      <c r="AB12884" s="38"/>
    </row>
    <row r="12885">
      <c r="P12885" s="42"/>
      <c r="AB12885" s="38"/>
    </row>
    <row r="12886">
      <c r="P12886" s="42"/>
      <c r="AB12886" s="38"/>
    </row>
    <row r="12887">
      <c r="P12887" s="42"/>
      <c r="AB12887" s="38"/>
    </row>
    <row r="12888">
      <c r="P12888" s="42"/>
      <c r="AB12888" s="38"/>
    </row>
    <row r="12889">
      <c r="P12889" s="42"/>
      <c r="AB12889" s="38"/>
    </row>
    <row r="12890">
      <c r="P12890" s="42"/>
      <c r="AB12890" s="38"/>
    </row>
    <row r="12891">
      <c r="P12891" s="42"/>
      <c r="AB12891" s="38"/>
    </row>
    <row r="12892">
      <c r="P12892" s="42"/>
      <c r="AB12892" s="38"/>
    </row>
    <row r="12893">
      <c r="P12893" s="42"/>
      <c r="AB12893" s="38"/>
    </row>
    <row r="12894">
      <c r="P12894" s="42"/>
      <c r="AB12894" s="38"/>
    </row>
    <row r="12895">
      <c r="P12895" s="42"/>
      <c r="AB12895" s="38"/>
    </row>
    <row r="12896">
      <c r="P12896" s="42"/>
      <c r="AB12896" s="38"/>
    </row>
    <row r="12897">
      <c r="P12897" s="42"/>
      <c r="AB12897" s="38"/>
    </row>
    <row r="12898">
      <c r="P12898" s="42"/>
      <c r="AB12898" s="38"/>
    </row>
    <row r="12899">
      <c r="P12899" s="42"/>
      <c r="AB12899" s="38"/>
    </row>
    <row r="12900">
      <c r="P12900" s="42"/>
      <c r="AB12900" s="38"/>
    </row>
    <row r="12901">
      <c r="P12901" s="42"/>
      <c r="AB12901" s="38"/>
    </row>
    <row r="12902">
      <c r="P12902" s="42"/>
      <c r="AB12902" s="38"/>
    </row>
    <row r="12903">
      <c r="P12903" s="42"/>
      <c r="AB12903" s="38"/>
    </row>
    <row r="12904">
      <c r="P12904" s="42"/>
      <c r="AB12904" s="38"/>
    </row>
    <row r="12905">
      <c r="P12905" s="42"/>
      <c r="AB12905" s="38"/>
    </row>
    <row r="12906">
      <c r="P12906" s="42"/>
      <c r="AB12906" s="38"/>
    </row>
    <row r="12907">
      <c r="P12907" s="42"/>
      <c r="AB12907" s="38"/>
    </row>
    <row r="12908">
      <c r="P12908" s="42"/>
      <c r="AB12908" s="38"/>
    </row>
    <row r="12909">
      <c r="P12909" s="42"/>
      <c r="AB12909" s="38"/>
    </row>
    <row r="12910">
      <c r="P12910" s="42"/>
      <c r="AB12910" s="38"/>
    </row>
    <row r="12911">
      <c r="P12911" s="42"/>
      <c r="AB12911" s="38"/>
    </row>
    <row r="12912">
      <c r="P12912" s="42"/>
      <c r="AB12912" s="38"/>
    </row>
    <row r="12913">
      <c r="P12913" s="42"/>
      <c r="AB12913" s="38"/>
    </row>
    <row r="12914">
      <c r="P12914" s="42"/>
      <c r="AB12914" s="38"/>
    </row>
    <row r="12915">
      <c r="P12915" s="42"/>
      <c r="AB12915" s="38"/>
    </row>
    <row r="12916">
      <c r="P12916" s="42"/>
      <c r="AB12916" s="38"/>
    </row>
    <row r="12917">
      <c r="P12917" s="42"/>
      <c r="AB12917" s="38"/>
    </row>
    <row r="12918">
      <c r="P12918" s="42"/>
      <c r="AB12918" s="38"/>
    </row>
    <row r="12919">
      <c r="P12919" s="42"/>
      <c r="AB12919" s="38"/>
    </row>
    <row r="12920">
      <c r="P12920" s="42"/>
      <c r="AB12920" s="38"/>
    </row>
    <row r="12921">
      <c r="P12921" s="42"/>
      <c r="AB12921" s="38"/>
    </row>
    <row r="12922">
      <c r="P12922" s="42"/>
      <c r="AB12922" s="38"/>
    </row>
    <row r="12923">
      <c r="P12923" s="42"/>
      <c r="AB12923" s="38"/>
    </row>
    <row r="12924">
      <c r="P12924" s="42"/>
      <c r="AB12924" s="38"/>
    </row>
    <row r="12925">
      <c r="P12925" s="42"/>
      <c r="AB12925" s="38"/>
    </row>
    <row r="12926">
      <c r="P12926" s="42"/>
      <c r="AB12926" s="38"/>
    </row>
    <row r="12927">
      <c r="P12927" s="42"/>
      <c r="AB12927" s="38"/>
    </row>
    <row r="12928">
      <c r="P12928" s="42"/>
      <c r="AB12928" s="38"/>
    </row>
    <row r="12929">
      <c r="P12929" s="42"/>
      <c r="AB12929" s="38"/>
    </row>
    <row r="12930">
      <c r="P12930" s="42"/>
      <c r="AB12930" s="38"/>
    </row>
    <row r="12931">
      <c r="P12931" s="42"/>
      <c r="AB12931" s="38"/>
    </row>
    <row r="12932">
      <c r="P12932" s="42"/>
      <c r="AB12932" s="38"/>
    </row>
    <row r="12933">
      <c r="P12933" s="42"/>
      <c r="AB12933" s="38"/>
    </row>
    <row r="12934">
      <c r="P12934" s="42"/>
      <c r="AB12934" s="38"/>
    </row>
    <row r="12935">
      <c r="P12935" s="42"/>
      <c r="AB12935" s="38"/>
    </row>
    <row r="12936">
      <c r="P12936" s="42"/>
      <c r="AB12936" s="38"/>
    </row>
    <row r="12937">
      <c r="P12937" s="42"/>
      <c r="AB12937" s="38"/>
    </row>
    <row r="12938">
      <c r="P12938" s="42"/>
      <c r="AB12938" s="38"/>
    </row>
    <row r="12939">
      <c r="P12939" s="42"/>
      <c r="AB12939" s="38"/>
    </row>
    <row r="12940">
      <c r="P12940" s="42"/>
      <c r="AB12940" s="38"/>
    </row>
    <row r="12941">
      <c r="P12941" s="42"/>
      <c r="AB12941" s="38"/>
    </row>
    <row r="12942">
      <c r="P12942" s="42"/>
      <c r="AB12942" s="38"/>
    </row>
    <row r="12943">
      <c r="P12943" s="42"/>
      <c r="AB12943" s="38"/>
    </row>
    <row r="12944">
      <c r="P12944" s="42"/>
      <c r="AB12944" s="38"/>
    </row>
    <row r="12945">
      <c r="P12945" s="42"/>
      <c r="AB12945" s="38"/>
    </row>
    <row r="12946">
      <c r="P12946" s="42"/>
      <c r="AB12946" s="38"/>
    </row>
    <row r="12947">
      <c r="P12947" s="42"/>
      <c r="AB12947" s="38"/>
    </row>
    <row r="12948">
      <c r="P12948" s="42"/>
      <c r="AB12948" s="38"/>
    </row>
    <row r="12949">
      <c r="P12949" s="42"/>
      <c r="AB12949" s="38"/>
    </row>
    <row r="12950">
      <c r="P12950" s="42"/>
      <c r="AB12950" s="38"/>
    </row>
    <row r="12951">
      <c r="P12951" s="42"/>
      <c r="AB12951" s="38"/>
    </row>
    <row r="12952">
      <c r="P12952" s="42"/>
      <c r="AB12952" s="38"/>
    </row>
    <row r="12953">
      <c r="P12953" s="42"/>
      <c r="AB12953" s="38"/>
    </row>
    <row r="12954">
      <c r="P12954" s="42"/>
      <c r="AB12954" s="38"/>
    </row>
    <row r="12955">
      <c r="P12955" s="42"/>
      <c r="AB12955" s="38"/>
    </row>
    <row r="12956">
      <c r="P12956" s="42"/>
      <c r="AB12956" s="38"/>
    </row>
    <row r="12957">
      <c r="P12957" s="42"/>
      <c r="AB12957" s="38"/>
    </row>
    <row r="12958">
      <c r="P12958" s="42"/>
      <c r="AB12958" s="38"/>
    </row>
    <row r="12959">
      <c r="P12959" s="42"/>
      <c r="AB12959" s="38"/>
    </row>
    <row r="12960">
      <c r="P12960" s="42"/>
      <c r="AB12960" s="38"/>
    </row>
    <row r="12961">
      <c r="P12961" s="42"/>
      <c r="AB12961" s="38"/>
    </row>
    <row r="12962">
      <c r="P12962" s="42"/>
      <c r="AB12962" s="38"/>
    </row>
    <row r="12963">
      <c r="P12963" s="42"/>
      <c r="AB12963" s="38"/>
    </row>
    <row r="12964">
      <c r="P12964" s="42"/>
      <c r="AB12964" s="38"/>
    </row>
    <row r="12965">
      <c r="P12965" s="42"/>
      <c r="AB12965" s="38"/>
    </row>
    <row r="12966">
      <c r="P12966" s="42"/>
      <c r="AB12966" s="38"/>
    </row>
    <row r="12967">
      <c r="P12967" s="42"/>
      <c r="AB12967" s="38"/>
    </row>
    <row r="12968">
      <c r="P12968" s="42"/>
      <c r="AB12968" s="38"/>
    </row>
    <row r="12969">
      <c r="P12969" s="42"/>
      <c r="AB12969" s="38"/>
    </row>
    <row r="12970">
      <c r="P12970" s="42"/>
      <c r="AB12970" s="38"/>
    </row>
    <row r="12971">
      <c r="P12971" s="42"/>
      <c r="AB12971" s="38"/>
    </row>
    <row r="12972">
      <c r="P12972" s="42"/>
      <c r="AB12972" s="38"/>
    </row>
    <row r="12973">
      <c r="P12973" s="42"/>
      <c r="AB12973" s="38"/>
    </row>
    <row r="12974">
      <c r="P12974" s="42"/>
      <c r="AB12974" s="38"/>
    </row>
    <row r="12975">
      <c r="P12975" s="42"/>
      <c r="AB12975" s="38"/>
    </row>
    <row r="12976">
      <c r="P12976" s="42"/>
      <c r="AB12976" s="38"/>
    </row>
    <row r="12977">
      <c r="P12977" s="42"/>
      <c r="AB12977" s="38"/>
    </row>
    <row r="12978">
      <c r="P12978" s="42"/>
      <c r="AB12978" s="38"/>
    </row>
    <row r="12979">
      <c r="P12979" s="42"/>
      <c r="AB12979" s="38"/>
    </row>
    <row r="12980">
      <c r="P12980" s="42"/>
      <c r="AB12980" s="38"/>
    </row>
    <row r="12981">
      <c r="P12981" s="42"/>
      <c r="AB12981" s="38"/>
    </row>
    <row r="12982">
      <c r="P12982" s="42"/>
      <c r="AB12982" s="38"/>
    </row>
    <row r="12983">
      <c r="P12983" s="42"/>
      <c r="AB12983" s="38"/>
    </row>
    <row r="12984">
      <c r="P12984" s="42"/>
      <c r="AB12984" s="38"/>
    </row>
    <row r="12985">
      <c r="P12985" s="42"/>
      <c r="AB12985" s="38"/>
    </row>
    <row r="12986">
      <c r="P12986" s="42"/>
      <c r="AB12986" s="38"/>
    </row>
    <row r="12987">
      <c r="P12987" s="42"/>
      <c r="AB12987" s="38"/>
    </row>
    <row r="12988">
      <c r="P12988" s="42"/>
      <c r="AB12988" s="38"/>
    </row>
    <row r="12989">
      <c r="P12989" s="42"/>
      <c r="AB12989" s="38"/>
    </row>
    <row r="12990">
      <c r="P12990" s="42"/>
      <c r="AB12990" s="38"/>
    </row>
    <row r="12991">
      <c r="P12991" s="42"/>
      <c r="AB12991" s="38"/>
    </row>
    <row r="12992">
      <c r="P12992" s="42"/>
      <c r="AB12992" s="38"/>
    </row>
    <row r="12993">
      <c r="P12993" s="42"/>
      <c r="AB12993" s="38"/>
    </row>
    <row r="12994">
      <c r="P12994" s="42"/>
      <c r="AB12994" s="38"/>
    </row>
    <row r="12995">
      <c r="P12995" s="42"/>
      <c r="AB12995" s="38"/>
    </row>
    <row r="12996">
      <c r="P12996" s="42"/>
      <c r="AB12996" s="38"/>
    </row>
    <row r="12997">
      <c r="P12997" s="42"/>
      <c r="AB12997" s="38"/>
    </row>
    <row r="12998">
      <c r="P12998" s="42"/>
      <c r="AB12998" s="38"/>
    </row>
    <row r="12999">
      <c r="P12999" s="42"/>
      <c r="AB12999" s="38"/>
    </row>
    <row r="13000">
      <c r="P13000" s="42"/>
      <c r="AB13000" s="38"/>
    </row>
    <row r="13001">
      <c r="P13001" s="42"/>
      <c r="AB13001" s="38"/>
    </row>
    <row r="13002">
      <c r="P13002" s="42"/>
      <c r="AB13002" s="38"/>
    </row>
    <row r="13003">
      <c r="P13003" s="42"/>
      <c r="AB13003" s="38"/>
    </row>
    <row r="13004">
      <c r="P13004" s="42"/>
      <c r="AB13004" s="38"/>
    </row>
    <row r="13005">
      <c r="P13005" s="42"/>
      <c r="AB13005" s="38"/>
    </row>
    <row r="13006">
      <c r="P13006" s="42"/>
      <c r="AB13006" s="38"/>
    </row>
    <row r="13007">
      <c r="P13007" s="42"/>
      <c r="AB13007" s="38"/>
    </row>
    <row r="13008">
      <c r="P13008" s="42"/>
      <c r="AB13008" s="38"/>
    </row>
    <row r="13009">
      <c r="P13009" s="42"/>
      <c r="AB13009" s="38"/>
    </row>
    <row r="13010">
      <c r="P13010" s="42"/>
      <c r="AB13010" s="38"/>
    </row>
    <row r="13011">
      <c r="P13011" s="42"/>
      <c r="AB13011" s="38"/>
    </row>
    <row r="13012">
      <c r="P13012" s="42"/>
      <c r="AB13012" s="38"/>
    </row>
    <row r="13013">
      <c r="P13013" s="42"/>
      <c r="AB13013" s="38"/>
    </row>
    <row r="13014">
      <c r="P13014" s="42"/>
      <c r="AB13014" s="38"/>
    </row>
    <row r="13015">
      <c r="P13015" s="42"/>
      <c r="AB13015" s="38"/>
    </row>
    <row r="13016">
      <c r="P13016" s="42"/>
      <c r="AB13016" s="38"/>
    </row>
    <row r="13017">
      <c r="P13017" s="42"/>
      <c r="AB13017" s="38"/>
    </row>
    <row r="13018">
      <c r="P13018" s="42"/>
      <c r="AB13018" s="38"/>
    </row>
    <row r="13019">
      <c r="P13019" s="42"/>
      <c r="AB13019" s="38"/>
    </row>
    <row r="13020">
      <c r="P13020" s="42"/>
      <c r="AB13020" s="38"/>
    </row>
    <row r="13021">
      <c r="P13021" s="42"/>
      <c r="AB13021" s="38"/>
    </row>
    <row r="13022">
      <c r="P13022" s="42"/>
      <c r="AB13022" s="38"/>
    </row>
    <row r="13023">
      <c r="P13023" s="42"/>
      <c r="AB13023" s="38"/>
    </row>
    <row r="13024">
      <c r="P13024" s="42"/>
      <c r="AB13024" s="38"/>
    </row>
    <row r="13025">
      <c r="P13025" s="42"/>
      <c r="AB13025" s="38"/>
    </row>
    <row r="13026">
      <c r="P13026" s="42"/>
      <c r="AB13026" s="38"/>
    </row>
    <row r="13027">
      <c r="P13027" s="42"/>
      <c r="AB13027" s="38"/>
    </row>
    <row r="13028">
      <c r="P13028" s="42"/>
      <c r="AB13028" s="38"/>
    </row>
    <row r="13029">
      <c r="P13029" s="42"/>
      <c r="AB13029" s="38"/>
    </row>
    <row r="13030">
      <c r="P13030" s="42"/>
      <c r="AB13030" s="38"/>
    </row>
    <row r="13031">
      <c r="P13031" s="42"/>
      <c r="AB13031" s="38"/>
    </row>
    <row r="13032">
      <c r="P13032" s="42"/>
      <c r="AB13032" s="38"/>
    </row>
    <row r="13033">
      <c r="P13033" s="42"/>
      <c r="AB13033" s="38"/>
    </row>
    <row r="13034">
      <c r="P13034" s="42"/>
      <c r="AB13034" s="38"/>
    </row>
    <row r="13035">
      <c r="P13035" s="42"/>
      <c r="AB13035" s="38"/>
    </row>
    <row r="13036">
      <c r="P13036" s="42"/>
      <c r="AB13036" s="38"/>
    </row>
    <row r="13037">
      <c r="P13037" s="42"/>
      <c r="AB13037" s="38"/>
    </row>
    <row r="13038">
      <c r="P13038" s="42"/>
      <c r="AB13038" s="38"/>
    </row>
    <row r="13039">
      <c r="P13039" s="42"/>
      <c r="AB13039" s="38"/>
    </row>
    <row r="13040">
      <c r="P13040" s="42"/>
      <c r="AB13040" s="38"/>
    </row>
    <row r="13041">
      <c r="P13041" s="42"/>
      <c r="AB13041" s="38"/>
    </row>
    <row r="13042">
      <c r="P13042" s="42"/>
      <c r="AB13042" s="38"/>
    </row>
    <row r="13043">
      <c r="P13043" s="42"/>
      <c r="AB13043" s="38"/>
    </row>
    <row r="13044">
      <c r="P13044" s="42"/>
      <c r="AB13044" s="38"/>
    </row>
    <row r="13045">
      <c r="P13045" s="42"/>
      <c r="AB13045" s="38"/>
    </row>
    <row r="13046">
      <c r="P13046" s="42"/>
      <c r="AB13046" s="38"/>
    </row>
    <row r="13047">
      <c r="P13047" s="42"/>
      <c r="AB13047" s="38"/>
    </row>
    <row r="13048">
      <c r="P13048" s="42"/>
      <c r="AB13048" s="38"/>
    </row>
    <row r="13049">
      <c r="P13049" s="42"/>
      <c r="AB13049" s="38"/>
    </row>
    <row r="13050">
      <c r="P13050" s="42"/>
      <c r="AB13050" s="38"/>
    </row>
    <row r="13051">
      <c r="P13051" s="42"/>
      <c r="AB13051" s="38"/>
    </row>
    <row r="13052">
      <c r="P13052" s="42"/>
      <c r="AB13052" s="38"/>
    </row>
    <row r="13053">
      <c r="P13053" s="42"/>
      <c r="AB13053" s="38"/>
    </row>
    <row r="13054">
      <c r="P13054" s="42"/>
      <c r="AB13054" s="38"/>
    </row>
    <row r="13055">
      <c r="P13055" s="42"/>
      <c r="AB13055" s="38"/>
    </row>
    <row r="13056">
      <c r="P13056" s="42"/>
      <c r="AB13056" s="38"/>
    </row>
    <row r="13057">
      <c r="P13057" s="42"/>
      <c r="AB13057" s="38"/>
    </row>
    <row r="13058">
      <c r="P13058" s="42"/>
      <c r="AB13058" s="38"/>
    </row>
    <row r="13059">
      <c r="P13059" s="42"/>
      <c r="AB13059" s="38"/>
    </row>
    <row r="13060">
      <c r="P13060" s="42"/>
      <c r="AB13060" s="38"/>
    </row>
    <row r="13061">
      <c r="P13061" s="42"/>
      <c r="AB13061" s="38"/>
    </row>
    <row r="13062">
      <c r="P13062" s="42"/>
      <c r="AB13062" s="38"/>
    </row>
    <row r="13063">
      <c r="P13063" s="42"/>
      <c r="AB13063" s="38"/>
    </row>
    <row r="13064">
      <c r="P13064" s="42"/>
      <c r="AB13064" s="38"/>
    </row>
    <row r="13065">
      <c r="P13065" s="42"/>
      <c r="AB13065" s="38"/>
    </row>
    <row r="13066">
      <c r="P13066" s="42"/>
      <c r="AB13066" s="38"/>
    </row>
    <row r="13067">
      <c r="P13067" s="42"/>
      <c r="AB13067" s="38"/>
    </row>
    <row r="13068">
      <c r="P13068" s="42"/>
      <c r="AB13068" s="38"/>
    </row>
    <row r="13069">
      <c r="P13069" s="42"/>
      <c r="AB13069" s="38"/>
    </row>
    <row r="13070">
      <c r="P13070" s="42"/>
      <c r="AB13070" s="38"/>
    </row>
    <row r="13071">
      <c r="P13071" s="42"/>
      <c r="AB13071" s="38"/>
    </row>
    <row r="13072">
      <c r="P13072" s="42"/>
      <c r="AB13072" s="38"/>
    </row>
    <row r="13073">
      <c r="P13073" s="42"/>
      <c r="AB13073" s="38"/>
    </row>
    <row r="13074">
      <c r="P13074" s="42"/>
      <c r="AB13074" s="38"/>
    </row>
    <row r="13075">
      <c r="P13075" s="42"/>
      <c r="AB13075" s="38"/>
    </row>
    <row r="13076">
      <c r="P13076" s="42"/>
      <c r="AB13076" s="38"/>
    </row>
    <row r="13077">
      <c r="P13077" s="42"/>
      <c r="AB13077" s="38"/>
    </row>
    <row r="13078">
      <c r="P13078" s="42"/>
      <c r="AB13078" s="38"/>
    </row>
    <row r="13079">
      <c r="P13079" s="42"/>
      <c r="AB13079" s="38"/>
    </row>
    <row r="13080">
      <c r="P13080" s="42"/>
      <c r="AB13080" s="38"/>
    </row>
    <row r="13081">
      <c r="P13081" s="42"/>
      <c r="AB13081" s="38"/>
    </row>
    <row r="13082">
      <c r="P13082" s="42"/>
      <c r="AB13082" s="38"/>
    </row>
    <row r="13083">
      <c r="P13083" s="42"/>
      <c r="AB13083" s="38"/>
    </row>
    <row r="13084">
      <c r="P13084" s="42"/>
      <c r="AB13084" s="38"/>
    </row>
    <row r="13085">
      <c r="P13085" s="42"/>
      <c r="AB13085" s="38"/>
    </row>
    <row r="13086">
      <c r="P13086" s="42"/>
      <c r="AB13086" s="38"/>
    </row>
    <row r="13087">
      <c r="P13087" s="42"/>
      <c r="AB13087" s="38"/>
    </row>
    <row r="13088">
      <c r="P13088" s="42"/>
      <c r="AB13088" s="38"/>
    </row>
    <row r="13089">
      <c r="P13089" s="42"/>
      <c r="AB13089" s="38"/>
    </row>
    <row r="13090">
      <c r="P13090" s="42"/>
      <c r="AB13090" s="38"/>
    </row>
    <row r="13091">
      <c r="P13091" s="42"/>
      <c r="AB13091" s="38"/>
    </row>
    <row r="13092">
      <c r="P13092" s="42"/>
      <c r="AB13092" s="38"/>
    </row>
    <row r="13093">
      <c r="P13093" s="42"/>
      <c r="AB13093" s="38"/>
    </row>
    <row r="13094">
      <c r="P13094" s="42"/>
      <c r="AB13094" s="38"/>
    </row>
    <row r="13095">
      <c r="P13095" s="42"/>
      <c r="AB13095" s="38"/>
    </row>
    <row r="13096">
      <c r="P13096" s="42"/>
      <c r="AB13096" s="38"/>
    </row>
    <row r="13097">
      <c r="P13097" s="42"/>
      <c r="AB13097" s="38"/>
    </row>
    <row r="13098">
      <c r="P13098" s="42"/>
      <c r="AB13098" s="38"/>
    </row>
    <row r="13099">
      <c r="P13099" s="42"/>
      <c r="AB13099" s="38"/>
    </row>
    <row r="13100">
      <c r="P13100" s="42"/>
      <c r="AB13100" s="38"/>
    </row>
    <row r="13101">
      <c r="P13101" s="42"/>
      <c r="AB13101" s="38"/>
    </row>
    <row r="13102">
      <c r="P13102" s="42"/>
      <c r="AB13102" s="38"/>
    </row>
    <row r="13103">
      <c r="P13103" s="42"/>
      <c r="AB13103" s="38"/>
    </row>
    <row r="13104">
      <c r="P13104" s="42"/>
      <c r="AB13104" s="38"/>
    </row>
    <row r="13105">
      <c r="P13105" s="42"/>
      <c r="AB13105" s="38"/>
    </row>
    <row r="13106">
      <c r="P13106" s="42"/>
      <c r="AB13106" s="38"/>
    </row>
    <row r="13107">
      <c r="P13107" s="42"/>
      <c r="AB13107" s="38"/>
    </row>
    <row r="13108">
      <c r="P13108" s="42"/>
      <c r="AB13108" s="38"/>
    </row>
    <row r="13109">
      <c r="P13109" s="42"/>
      <c r="AB13109" s="38"/>
    </row>
    <row r="13110">
      <c r="P13110" s="42"/>
      <c r="AB13110" s="38"/>
    </row>
    <row r="13111">
      <c r="P13111" s="42"/>
      <c r="AB13111" s="38"/>
    </row>
    <row r="13112">
      <c r="P13112" s="42"/>
      <c r="AB13112" s="38"/>
    </row>
    <row r="13113">
      <c r="P13113" s="42"/>
      <c r="AB13113" s="38"/>
    </row>
    <row r="13114">
      <c r="P13114" s="42"/>
      <c r="AB13114" s="38"/>
    </row>
    <row r="13115">
      <c r="P13115" s="42"/>
      <c r="AB13115" s="38"/>
    </row>
    <row r="13116">
      <c r="P13116" s="42"/>
      <c r="AB13116" s="38"/>
    </row>
    <row r="13117">
      <c r="P13117" s="42"/>
      <c r="AB13117" s="38"/>
    </row>
    <row r="13118">
      <c r="P13118" s="42"/>
      <c r="AB13118" s="38"/>
    </row>
    <row r="13119">
      <c r="P13119" s="42"/>
      <c r="AB13119" s="38"/>
    </row>
    <row r="13120">
      <c r="P13120" s="42"/>
      <c r="AB13120" s="38"/>
    </row>
    <row r="13121">
      <c r="P13121" s="42"/>
      <c r="AB13121" s="38"/>
    </row>
    <row r="13122">
      <c r="P13122" s="42"/>
      <c r="AB13122" s="38"/>
    </row>
    <row r="13123">
      <c r="P13123" s="42"/>
      <c r="AB13123" s="38"/>
    </row>
    <row r="13124">
      <c r="P13124" s="42"/>
      <c r="AB13124" s="38"/>
    </row>
    <row r="13125">
      <c r="P13125" s="42"/>
      <c r="AB13125" s="38"/>
    </row>
    <row r="13126">
      <c r="P13126" s="42"/>
      <c r="AB13126" s="38"/>
    </row>
    <row r="13127">
      <c r="P13127" s="42"/>
      <c r="AB13127" s="38"/>
    </row>
    <row r="13128">
      <c r="P13128" s="42"/>
      <c r="AB13128" s="38"/>
    </row>
    <row r="13129">
      <c r="P13129" s="42"/>
      <c r="AB13129" s="38"/>
    </row>
    <row r="13130">
      <c r="P13130" s="42"/>
      <c r="AB13130" s="38"/>
    </row>
    <row r="13131">
      <c r="P13131" s="42"/>
      <c r="AB13131" s="38"/>
    </row>
    <row r="13132">
      <c r="P13132" s="42"/>
      <c r="AB13132" s="38"/>
    </row>
    <row r="13133">
      <c r="P13133" s="42"/>
      <c r="AB13133" s="38"/>
    </row>
    <row r="13134">
      <c r="P13134" s="42"/>
      <c r="AB13134" s="38"/>
    </row>
    <row r="13135">
      <c r="P13135" s="42"/>
      <c r="AB13135" s="38"/>
    </row>
    <row r="13136">
      <c r="P13136" s="42"/>
      <c r="AB13136" s="38"/>
    </row>
    <row r="13137">
      <c r="P13137" s="42"/>
      <c r="AB13137" s="38"/>
    </row>
    <row r="13138">
      <c r="P13138" s="42"/>
      <c r="AB13138" s="38"/>
    </row>
    <row r="13139">
      <c r="P13139" s="42"/>
      <c r="AB13139" s="38"/>
    </row>
    <row r="13140">
      <c r="P13140" s="42"/>
      <c r="AB13140" s="38"/>
    </row>
    <row r="13141">
      <c r="P13141" s="42"/>
      <c r="AB13141" s="38"/>
    </row>
    <row r="13142">
      <c r="P13142" s="42"/>
      <c r="AB13142" s="38"/>
    </row>
    <row r="13143">
      <c r="P13143" s="42"/>
      <c r="AB13143" s="38"/>
    </row>
    <row r="13144">
      <c r="P13144" s="42"/>
      <c r="AB13144" s="38"/>
    </row>
    <row r="13145">
      <c r="P13145" s="42"/>
      <c r="AB13145" s="38"/>
    </row>
    <row r="13146">
      <c r="P13146" s="42"/>
      <c r="AB13146" s="38"/>
    </row>
    <row r="13147">
      <c r="P13147" s="42"/>
      <c r="AB13147" s="38"/>
    </row>
    <row r="13148">
      <c r="P13148" s="42"/>
      <c r="AB13148" s="38"/>
    </row>
    <row r="13149">
      <c r="P13149" s="42"/>
      <c r="AB13149" s="38"/>
    </row>
    <row r="13150">
      <c r="P13150" s="42"/>
      <c r="AB13150" s="38"/>
    </row>
    <row r="13151">
      <c r="P13151" s="42"/>
      <c r="AB13151" s="38"/>
    </row>
    <row r="13152">
      <c r="P13152" s="42"/>
      <c r="AB13152" s="38"/>
    </row>
    <row r="13153">
      <c r="P13153" s="42"/>
      <c r="AB13153" s="38"/>
    </row>
    <row r="13154">
      <c r="P13154" s="42"/>
      <c r="AB13154" s="38"/>
    </row>
    <row r="13155">
      <c r="P13155" s="42"/>
      <c r="AB13155" s="38"/>
    </row>
    <row r="13156">
      <c r="P13156" s="42"/>
      <c r="AB13156" s="38"/>
    </row>
    <row r="13157">
      <c r="P13157" s="42"/>
      <c r="AB13157" s="38"/>
    </row>
    <row r="13158">
      <c r="P13158" s="42"/>
      <c r="AB13158" s="38"/>
    </row>
    <row r="13159">
      <c r="P13159" s="42"/>
      <c r="AB13159" s="38"/>
    </row>
    <row r="13160">
      <c r="P13160" s="42"/>
      <c r="AB13160" s="38"/>
    </row>
    <row r="13161">
      <c r="P13161" s="42"/>
      <c r="AB13161" s="38"/>
    </row>
    <row r="13162">
      <c r="P13162" s="42"/>
      <c r="AB13162" s="38"/>
    </row>
    <row r="13163">
      <c r="P13163" s="42"/>
      <c r="AB13163" s="38"/>
    </row>
    <row r="13164">
      <c r="P13164" s="42"/>
      <c r="AB13164" s="38"/>
    </row>
    <row r="13165">
      <c r="P13165" s="42"/>
      <c r="AB13165" s="38"/>
    </row>
    <row r="13166">
      <c r="P13166" s="42"/>
      <c r="AB13166" s="38"/>
    </row>
    <row r="13167">
      <c r="P13167" s="42"/>
      <c r="AB13167" s="38"/>
    </row>
    <row r="13168">
      <c r="P13168" s="42"/>
      <c r="AB13168" s="38"/>
    </row>
    <row r="13169">
      <c r="P13169" s="42"/>
      <c r="AB13169" s="38"/>
    </row>
    <row r="13170">
      <c r="P13170" s="42"/>
      <c r="AB13170" s="38"/>
    </row>
    <row r="13171">
      <c r="P13171" s="42"/>
      <c r="AB13171" s="38"/>
    </row>
    <row r="13172">
      <c r="P13172" s="42"/>
      <c r="AB13172" s="38"/>
    </row>
    <row r="13173">
      <c r="P13173" s="42"/>
      <c r="AB13173" s="38"/>
    </row>
    <row r="13174">
      <c r="P13174" s="42"/>
      <c r="AB13174" s="38"/>
    </row>
    <row r="13175">
      <c r="P13175" s="42"/>
      <c r="AB13175" s="38"/>
    </row>
    <row r="13176">
      <c r="P13176" s="42"/>
      <c r="AB13176" s="38"/>
    </row>
    <row r="13177">
      <c r="P13177" s="42"/>
      <c r="AB13177" s="38"/>
    </row>
    <row r="13178">
      <c r="P13178" s="42"/>
      <c r="AB13178" s="38"/>
    </row>
    <row r="13179">
      <c r="P13179" s="42"/>
      <c r="AB13179" s="38"/>
    </row>
    <row r="13180">
      <c r="P13180" s="42"/>
      <c r="AB13180" s="38"/>
    </row>
    <row r="13181">
      <c r="P13181" s="42"/>
      <c r="AB13181" s="38"/>
    </row>
    <row r="13182">
      <c r="P13182" s="42"/>
      <c r="AB13182" s="38"/>
    </row>
    <row r="13183">
      <c r="P13183" s="42"/>
      <c r="AB13183" s="38"/>
    </row>
    <row r="13184">
      <c r="P13184" s="42"/>
      <c r="AB13184" s="38"/>
    </row>
    <row r="13185">
      <c r="P13185" s="42"/>
      <c r="AB13185" s="38"/>
    </row>
    <row r="13186">
      <c r="P13186" s="42"/>
      <c r="AB13186" s="38"/>
    </row>
    <row r="13187">
      <c r="P13187" s="42"/>
      <c r="AB13187" s="38"/>
    </row>
    <row r="13188">
      <c r="P13188" s="42"/>
      <c r="AB13188" s="38"/>
    </row>
    <row r="13189">
      <c r="P13189" s="42"/>
      <c r="AB13189" s="38"/>
    </row>
    <row r="13190">
      <c r="P13190" s="42"/>
      <c r="AB13190" s="38"/>
    </row>
    <row r="13191">
      <c r="P13191" s="42"/>
      <c r="AB13191" s="38"/>
    </row>
    <row r="13192">
      <c r="P13192" s="42"/>
      <c r="AB13192" s="38"/>
    </row>
    <row r="13193">
      <c r="P13193" s="42"/>
      <c r="AB13193" s="38"/>
    </row>
    <row r="13194">
      <c r="P13194" s="42"/>
      <c r="AB13194" s="38"/>
    </row>
    <row r="13195">
      <c r="P13195" s="42"/>
      <c r="AB13195" s="38"/>
    </row>
    <row r="13196">
      <c r="P13196" s="42"/>
      <c r="AB13196" s="38"/>
    </row>
    <row r="13197">
      <c r="P13197" s="42"/>
      <c r="AB13197" s="38"/>
    </row>
    <row r="13198">
      <c r="P13198" s="42"/>
      <c r="AB13198" s="38"/>
    </row>
    <row r="13199">
      <c r="P13199" s="42"/>
      <c r="AB13199" s="38"/>
    </row>
    <row r="13200">
      <c r="P13200" s="42"/>
      <c r="AB13200" s="38"/>
    </row>
    <row r="13201">
      <c r="P13201" s="42"/>
      <c r="AB13201" s="38"/>
    </row>
    <row r="13202">
      <c r="P13202" s="42"/>
      <c r="AB13202" s="38"/>
    </row>
    <row r="13203">
      <c r="P13203" s="42"/>
      <c r="AB13203" s="38"/>
    </row>
    <row r="13204">
      <c r="P13204" s="42"/>
      <c r="AB13204" s="38"/>
    </row>
    <row r="13205">
      <c r="P13205" s="42"/>
      <c r="AB13205" s="38"/>
    </row>
    <row r="13206">
      <c r="P13206" s="42"/>
      <c r="AB13206" s="38"/>
    </row>
    <row r="13207">
      <c r="P13207" s="42"/>
      <c r="AB13207" s="38"/>
    </row>
    <row r="13208">
      <c r="P13208" s="42"/>
      <c r="AB13208" s="38"/>
    </row>
    <row r="13209">
      <c r="P13209" s="42"/>
      <c r="AB13209" s="38"/>
    </row>
    <row r="13210">
      <c r="P13210" s="42"/>
      <c r="AB13210" s="38"/>
    </row>
    <row r="13211">
      <c r="P13211" s="42"/>
      <c r="AB13211" s="38"/>
    </row>
    <row r="13212">
      <c r="P13212" s="42"/>
      <c r="AB13212" s="38"/>
    </row>
    <row r="13213">
      <c r="P13213" s="42"/>
      <c r="AB13213" s="38"/>
    </row>
    <row r="13214">
      <c r="P13214" s="42"/>
      <c r="AB13214" s="38"/>
    </row>
    <row r="13215">
      <c r="P13215" s="42"/>
      <c r="AB13215" s="38"/>
    </row>
    <row r="13216">
      <c r="P13216" s="42"/>
      <c r="AB13216" s="38"/>
    </row>
    <row r="13217">
      <c r="P13217" s="42"/>
      <c r="AB13217" s="38"/>
    </row>
    <row r="13218">
      <c r="P13218" s="42"/>
      <c r="AB13218" s="38"/>
    </row>
    <row r="13219">
      <c r="P13219" s="42"/>
      <c r="AB13219" s="38"/>
    </row>
    <row r="13220">
      <c r="P13220" s="42"/>
      <c r="AB13220" s="38"/>
    </row>
    <row r="13221">
      <c r="P13221" s="42"/>
      <c r="AB13221" s="38"/>
    </row>
    <row r="13222">
      <c r="P13222" s="42"/>
      <c r="AB13222" s="38"/>
    </row>
    <row r="13223">
      <c r="P13223" s="42"/>
      <c r="AB13223" s="38"/>
    </row>
    <row r="13224">
      <c r="P13224" s="42"/>
      <c r="AB13224" s="38"/>
    </row>
    <row r="13225">
      <c r="P13225" s="42"/>
      <c r="AB13225" s="38"/>
    </row>
    <row r="13226">
      <c r="P13226" s="42"/>
      <c r="AB13226" s="38"/>
    </row>
    <row r="13227">
      <c r="P13227" s="42"/>
      <c r="AB13227" s="38"/>
    </row>
    <row r="13228">
      <c r="P13228" s="42"/>
      <c r="AB13228" s="38"/>
    </row>
    <row r="13229">
      <c r="P13229" s="42"/>
      <c r="AB13229" s="38"/>
    </row>
    <row r="13230">
      <c r="P13230" s="42"/>
      <c r="AB13230" s="38"/>
    </row>
    <row r="13231">
      <c r="P13231" s="42"/>
      <c r="AB13231" s="38"/>
    </row>
    <row r="13232">
      <c r="P13232" s="42"/>
      <c r="AB13232" s="38"/>
    </row>
    <row r="13233">
      <c r="P13233" s="42"/>
      <c r="AB13233" s="38"/>
    </row>
    <row r="13234">
      <c r="P13234" s="42"/>
      <c r="AB13234" s="38"/>
    </row>
    <row r="13235">
      <c r="P13235" s="42"/>
      <c r="AB13235" s="38"/>
    </row>
    <row r="13236">
      <c r="P13236" s="42"/>
      <c r="AB13236" s="38"/>
    </row>
    <row r="13237">
      <c r="P13237" s="42"/>
      <c r="AB13237" s="38"/>
    </row>
    <row r="13238">
      <c r="P13238" s="42"/>
      <c r="AB13238" s="38"/>
    </row>
    <row r="13239">
      <c r="P13239" s="42"/>
      <c r="AB13239" s="38"/>
    </row>
    <row r="13240">
      <c r="P13240" s="42"/>
      <c r="AB13240" s="38"/>
    </row>
    <row r="13241">
      <c r="P13241" s="42"/>
      <c r="AB13241" s="38"/>
    </row>
    <row r="13242">
      <c r="P13242" s="42"/>
      <c r="AB13242" s="38"/>
    </row>
    <row r="13243">
      <c r="P13243" s="42"/>
      <c r="AB13243" s="38"/>
    </row>
    <row r="13244">
      <c r="P13244" s="42"/>
      <c r="AB13244" s="38"/>
    </row>
    <row r="13245">
      <c r="P13245" s="42"/>
      <c r="AB13245" s="38"/>
    </row>
    <row r="13246">
      <c r="P13246" s="42"/>
      <c r="AB13246" s="38"/>
    </row>
    <row r="13247">
      <c r="P13247" s="42"/>
      <c r="AB13247" s="38"/>
    </row>
    <row r="13248">
      <c r="P13248" s="42"/>
      <c r="AB13248" s="38"/>
    </row>
    <row r="13249">
      <c r="P13249" s="42"/>
      <c r="AB13249" s="38"/>
    </row>
    <row r="13250">
      <c r="P13250" s="42"/>
      <c r="AB13250" s="38"/>
    </row>
    <row r="13251">
      <c r="P13251" s="42"/>
      <c r="AB13251" s="38"/>
    </row>
    <row r="13252">
      <c r="P13252" s="42"/>
      <c r="AB13252" s="38"/>
    </row>
    <row r="13253">
      <c r="P13253" s="42"/>
      <c r="AB13253" s="38"/>
    </row>
    <row r="13254">
      <c r="P13254" s="42"/>
      <c r="AB13254" s="38"/>
    </row>
    <row r="13255">
      <c r="P13255" s="42"/>
      <c r="AB13255" s="38"/>
    </row>
    <row r="13256">
      <c r="P13256" s="42"/>
      <c r="AB13256" s="38"/>
    </row>
    <row r="13257">
      <c r="P13257" s="42"/>
      <c r="AB13257" s="38"/>
    </row>
    <row r="13258">
      <c r="P13258" s="42"/>
      <c r="AB13258" s="38"/>
    </row>
    <row r="13259">
      <c r="P13259" s="42"/>
      <c r="AB13259" s="38"/>
    </row>
    <row r="13260">
      <c r="P13260" s="42"/>
      <c r="AB13260" s="38"/>
    </row>
    <row r="13261">
      <c r="P13261" s="42"/>
      <c r="AB13261" s="38"/>
    </row>
    <row r="13262">
      <c r="P13262" s="42"/>
      <c r="AB13262" s="38"/>
    </row>
    <row r="13263">
      <c r="P13263" s="42"/>
      <c r="AB13263" s="38"/>
    </row>
    <row r="13264">
      <c r="P13264" s="42"/>
      <c r="AB13264" s="38"/>
    </row>
    <row r="13265">
      <c r="P13265" s="42"/>
      <c r="AB13265" s="38"/>
    </row>
    <row r="13266">
      <c r="P13266" s="42"/>
      <c r="AB13266" s="38"/>
    </row>
    <row r="13267">
      <c r="P13267" s="42"/>
      <c r="AB13267" s="38"/>
    </row>
    <row r="13268">
      <c r="P13268" s="42"/>
      <c r="AB13268" s="38"/>
    </row>
    <row r="13269">
      <c r="P13269" s="42"/>
      <c r="AB13269" s="38"/>
    </row>
    <row r="13270">
      <c r="P13270" s="42"/>
      <c r="AB13270" s="38"/>
    </row>
    <row r="13271">
      <c r="P13271" s="42"/>
      <c r="AB13271" s="38"/>
    </row>
    <row r="13272">
      <c r="P13272" s="42"/>
      <c r="AB13272" s="38"/>
    </row>
    <row r="13273">
      <c r="P13273" s="42"/>
      <c r="AB13273" s="38"/>
    </row>
    <row r="13274">
      <c r="P13274" s="42"/>
      <c r="AB13274" s="38"/>
    </row>
    <row r="13275">
      <c r="P13275" s="42"/>
      <c r="AB13275" s="38"/>
    </row>
    <row r="13276">
      <c r="P13276" s="42"/>
      <c r="AB13276" s="38"/>
    </row>
    <row r="13277">
      <c r="P13277" s="42"/>
      <c r="AB13277" s="38"/>
    </row>
    <row r="13278">
      <c r="P13278" s="42"/>
      <c r="AB13278" s="38"/>
    </row>
    <row r="13279">
      <c r="P13279" s="42"/>
      <c r="AB13279" s="38"/>
    </row>
    <row r="13280">
      <c r="P13280" s="42"/>
      <c r="AB13280" s="38"/>
    </row>
    <row r="13281">
      <c r="P13281" s="42"/>
      <c r="AB13281" s="38"/>
    </row>
    <row r="13282">
      <c r="P13282" s="42"/>
      <c r="AB13282" s="38"/>
    </row>
    <row r="13283">
      <c r="P13283" s="42"/>
      <c r="AB13283" s="38"/>
    </row>
    <row r="13284">
      <c r="P13284" s="42"/>
      <c r="AB13284" s="38"/>
    </row>
    <row r="13285">
      <c r="P13285" s="42"/>
      <c r="AB13285" s="38"/>
    </row>
    <row r="13286">
      <c r="P13286" s="42"/>
      <c r="AB13286" s="38"/>
    </row>
    <row r="13287">
      <c r="P13287" s="42"/>
      <c r="AB13287" s="38"/>
    </row>
    <row r="13288">
      <c r="P13288" s="42"/>
      <c r="AB13288" s="38"/>
    </row>
    <row r="13289">
      <c r="P13289" s="42"/>
      <c r="AB13289" s="38"/>
    </row>
    <row r="13290">
      <c r="P13290" s="42"/>
      <c r="AB13290" s="38"/>
    </row>
    <row r="13291">
      <c r="P13291" s="42"/>
      <c r="AB13291" s="38"/>
    </row>
    <row r="13292">
      <c r="P13292" s="42"/>
      <c r="AB13292" s="38"/>
    </row>
    <row r="13293">
      <c r="P13293" s="42"/>
      <c r="AB13293" s="38"/>
    </row>
    <row r="13294">
      <c r="P13294" s="42"/>
      <c r="AB13294" s="38"/>
    </row>
    <row r="13295">
      <c r="P13295" s="42"/>
      <c r="AB13295" s="38"/>
    </row>
    <row r="13296">
      <c r="P13296" s="42"/>
      <c r="AB13296" s="38"/>
    </row>
    <row r="13297">
      <c r="P13297" s="42"/>
      <c r="AB13297" s="38"/>
    </row>
    <row r="13298">
      <c r="P13298" s="42"/>
      <c r="AB13298" s="38"/>
    </row>
    <row r="13299">
      <c r="P13299" s="42"/>
      <c r="AB13299" s="38"/>
    </row>
    <row r="13300">
      <c r="P13300" s="42"/>
      <c r="AB13300" s="38"/>
    </row>
    <row r="13301">
      <c r="P13301" s="42"/>
      <c r="AB13301" s="38"/>
    </row>
    <row r="13302">
      <c r="P13302" s="42"/>
      <c r="AB13302" s="38"/>
    </row>
    <row r="13303">
      <c r="P13303" s="42"/>
      <c r="AB13303" s="38"/>
    </row>
    <row r="13304">
      <c r="P13304" s="42"/>
      <c r="AB13304" s="38"/>
    </row>
    <row r="13305">
      <c r="P13305" s="42"/>
      <c r="AB13305" s="38"/>
    </row>
    <row r="13306">
      <c r="P13306" s="42"/>
      <c r="AB13306" s="38"/>
    </row>
    <row r="13307">
      <c r="P13307" s="42"/>
      <c r="AB13307" s="38"/>
    </row>
    <row r="13308">
      <c r="P13308" s="42"/>
      <c r="AB13308" s="38"/>
    </row>
    <row r="13309">
      <c r="P13309" s="42"/>
      <c r="AB13309" s="38"/>
    </row>
    <row r="13310">
      <c r="P13310" s="42"/>
      <c r="AB13310" s="38"/>
    </row>
    <row r="13311">
      <c r="P13311" s="42"/>
      <c r="AB13311" s="38"/>
    </row>
    <row r="13312">
      <c r="P13312" s="42"/>
      <c r="AB13312" s="38"/>
    </row>
    <row r="13313">
      <c r="P13313" s="42"/>
      <c r="AB13313" s="38"/>
    </row>
    <row r="13314">
      <c r="P13314" s="42"/>
      <c r="AB13314" s="38"/>
    </row>
    <row r="13315">
      <c r="P13315" s="42"/>
      <c r="AB13315" s="38"/>
    </row>
    <row r="13316">
      <c r="P13316" s="42"/>
      <c r="AB13316" s="38"/>
    </row>
    <row r="13317">
      <c r="P13317" s="42"/>
      <c r="AB13317" s="38"/>
    </row>
    <row r="13318">
      <c r="P13318" s="42"/>
      <c r="AB13318" s="38"/>
    </row>
    <row r="13319">
      <c r="P13319" s="42"/>
      <c r="AB13319" s="38"/>
    </row>
    <row r="13320">
      <c r="P13320" s="42"/>
      <c r="AB13320" s="38"/>
    </row>
    <row r="13321">
      <c r="P13321" s="42"/>
      <c r="AB13321" s="38"/>
    </row>
    <row r="13322">
      <c r="P13322" s="42"/>
      <c r="AB13322" s="38"/>
    </row>
    <row r="13323">
      <c r="P13323" s="42"/>
      <c r="AB13323" s="38"/>
    </row>
    <row r="13324">
      <c r="P13324" s="42"/>
      <c r="AB13324" s="38"/>
    </row>
    <row r="13325">
      <c r="P13325" s="42"/>
      <c r="AB13325" s="38"/>
    </row>
    <row r="13326">
      <c r="P13326" s="42"/>
      <c r="AB13326" s="38"/>
    </row>
    <row r="13327">
      <c r="P13327" s="42"/>
      <c r="AB13327" s="38"/>
    </row>
    <row r="13328">
      <c r="P13328" s="42"/>
      <c r="AB13328" s="38"/>
    </row>
    <row r="13329">
      <c r="P13329" s="42"/>
      <c r="AB13329" s="38"/>
    </row>
    <row r="13330">
      <c r="P13330" s="42"/>
      <c r="AB13330" s="38"/>
    </row>
    <row r="13331">
      <c r="P13331" s="42"/>
      <c r="AB13331" s="38"/>
    </row>
    <row r="13332">
      <c r="P13332" s="42"/>
      <c r="AB13332" s="38"/>
    </row>
    <row r="13333">
      <c r="P13333" s="42"/>
      <c r="AB13333" s="38"/>
    </row>
    <row r="13334">
      <c r="P13334" s="42"/>
      <c r="AB13334" s="38"/>
    </row>
    <row r="13335">
      <c r="P13335" s="42"/>
      <c r="AB13335" s="38"/>
    </row>
    <row r="13336">
      <c r="P13336" s="42"/>
      <c r="AB13336" s="38"/>
    </row>
    <row r="13337">
      <c r="P13337" s="42"/>
      <c r="AB13337" s="38"/>
    </row>
    <row r="13338">
      <c r="P13338" s="42"/>
      <c r="AB13338" s="38"/>
    </row>
    <row r="13339">
      <c r="P13339" s="42"/>
      <c r="AB13339" s="38"/>
    </row>
    <row r="13340">
      <c r="P13340" s="42"/>
      <c r="AB13340" s="38"/>
    </row>
    <row r="13341">
      <c r="P13341" s="42"/>
      <c r="AB13341" s="38"/>
    </row>
    <row r="13342">
      <c r="P13342" s="42"/>
      <c r="AB13342" s="38"/>
    </row>
    <row r="13343">
      <c r="P13343" s="42"/>
      <c r="AB13343" s="38"/>
    </row>
    <row r="13344">
      <c r="P13344" s="42"/>
      <c r="AB13344" s="38"/>
    </row>
    <row r="13345">
      <c r="P13345" s="42"/>
      <c r="AB13345" s="38"/>
    </row>
    <row r="13346">
      <c r="P13346" s="42"/>
      <c r="AB13346" s="38"/>
    </row>
    <row r="13347">
      <c r="P13347" s="42"/>
      <c r="AB13347" s="38"/>
    </row>
    <row r="13348">
      <c r="P13348" s="42"/>
      <c r="AB13348" s="38"/>
    </row>
    <row r="13349">
      <c r="P13349" s="42"/>
      <c r="AB13349" s="38"/>
    </row>
    <row r="13350">
      <c r="P13350" s="42"/>
      <c r="AB13350" s="38"/>
    </row>
    <row r="13351">
      <c r="P13351" s="42"/>
      <c r="AB13351" s="38"/>
    </row>
    <row r="13352">
      <c r="P13352" s="42"/>
      <c r="AB13352" s="38"/>
    </row>
    <row r="13353">
      <c r="P13353" s="42"/>
      <c r="AB13353" s="38"/>
    </row>
    <row r="13354">
      <c r="P13354" s="42"/>
      <c r="AB13354" s="38"/>
    </row>
    <row r="13355">
      <c r="P13355" s="42"/>
      <c r="AB13355" s="38"/>
    </row>
    <row r="13356">
      <c r="P13356" s="42"/>
      <c r="AB13356" s="38"/>
    </row>
    <row r="13357">
      <c r="P13357" s="42"/>
      <c r="AB13357" s="38"/>
    </row>
    <row r="13358">
      <c r="P13358" s="42"/>
      <c r="AB13358" s="38"/>
    </row>
    <row r="13359">
      <c r="P13359" s="42"/>
      <c r="AB13359" s="38"/>
    </row>
    <row r="13360">
      <c r="P13360" s="42"/>
      <c r="AB13360" s="38"/>
    </row>
    <row r="13361">
      <c r="P13361" s="42"/>
      <c r="AB13361" s="38"/>
    </row>
    <row r="13362">
      <c r="P13362" s="42"/>
      <c r="AB13362" s="38"/>
    </row>
    <row r="13363">
      <c r="P13363" s="42"/>
      <c r="AB13363" s="38"/>
    </row>
    <row r="13364">
      <c r="P13364" s="42"/>
      <c r="AB13364" s="38"/>
    </row>
    <row r="13365">
      <c r="P13365" s="42"/>
      <c r="AB13365" s="38"/>
    </row>
    <row r="13366">
      <c r="P13366" s="42"/>
      <c r="AB13366" s="38"/>
    </row>
    <row r="13367">
      <c r="P13367" s="42"/>
      <c r="AB13367" s="38"/>
    </row>
    <row r="13368">
      <c r="P13368" s="42"/>
      <c r="AB13368" s="38"/>
    </row>
    <row r="13369">
      <c r="P13369" s="42"/>
      <c r="AB13369" s="38"/>
    </row>
    <row r="13370">
      <c r="P13370" s="42"/>
      <c r="AB13370" s="38"/>
    </row>
    <row r="13371">
      <c r="P13371" s="42"/>
      <c r="AB13371" s="38"/>
    </row>
    <row r="13372">
      <c r="P13372" s="42"/>
      <c r="AB13372" s="38"/>
    </row>
    <row r="13373">
      <c r="P13373" s="42"/>
      <c r="AB13373" s="38"/>
    </row>
    <row r="13374">
      <c r="P13374" s="42"/>
      <c r="AB13374" s="38"/>
    </row>
    <row r="13375">
      <c r="P13375" s="42"/>
      <c r="AB13375" s="38"/>
    </row>
    <row r="13376">
      <c r="P13376" s="42"/>
      <c r="AB13376" s="38"/>
    </row>
    <row r="13377">
      <c r="P13377" s="42"/>
      <c r="AB13377" s="38"/>
    </row>
    <row r="13378">
      <c r="P13378" s="42"/>
      <c r="AB13378" s="38"/>
    </row>
    <row r="13379">
      <c r="P13379" s="42"/>
      <c r="AB13379" s="38"/>
    </row>
    <row r="13380">
      <c r="P13380" s="42"/>
      <c r="AB13380" s="38"/>
    </row>
    <row r="13381">
      <c r="P13381" s="42"/>
      <c r="AB13381" s="38"/>
    </row>
    <row r="13382">
      <c r="P13382" s="42"/>
      <c r="AB13382" s="38"/>
    </row>
    <row r="13383">
      <c r="P13383" s="42"/>
      <c r="AB13383" s="38"/>
    </row>
    <row r="13384">
      <c r="P13384" s="42"/>
      <c r="AB13384" s="38"/>
    </row>
    <row r="13385">
      <c r="P13385" s="42"/>
      <c r="AB13385" s="38"/>
    </row>
    <row r="13386">
      <c r="P13386" s="42"/>
      <c r="AB13386" s="38"/>
    </row>
    <row r="13387">
      <c r="P13387" s="42"/>
      <c r="AB13387" s="38"/>
    </row>
    <row r="13388">
      <c r="P13388" s="42"/>
      <c r="AB13388" s="38"/>
    </row>
    <row r="13389">
      <c r="P13389" s="42"/>
      <c r="AB13389" s="38"/>
    </row>
    <row r="13390">
      <c r="P13390" s="42"/>
      <c r="AB13390" s="38"/>
    </row>
    <row r="13391">
      <c r="P13391" s="42"/>
      <c r="AB13391" s="38"/>
    </row>
    <row r="13392">
      <c r="P13392" s="42"/>
      <c r="AB13392" s="38"/>
    </row>
    <row r="13393">
      <c r="P13393" s="42"/>
      <c r="AB13393" s="38"/>
    </row>
    <row r="13394">
      <c r="P13394" s="42"/>
      <c r="AB13394" s="38"/>
    </row>
    <row r="13395">
      <c r="P13395" s="42"/>
      <c r="AB13395" s="38"/>
    </row>
    <row r="13396">
      <c r="P13396" s="42"/>
      <c r="AB13396" s="38"/>
    </row>
    <row r="13397">
      <c r="P13397" s="42"/>
      <c r="AB13397" s="38"/>
    </row>
    <row r="13398">
      <c r="P13398" s="42"/>
      <c r="AB13398" s="38"/>
    </row>
    <row r="13399">
      <c r="P13399" s="42"/>
      <c r="AB13399" s="38"/>
    </row>
    <row r="13400">
      <c r="P13400" s="42"/>
      <c r="AB13400" s="38"/>
    </row>
    <row r="13401">
      <c r="P13401" s="42"/>
      <c r="AB13401" s="38"/>
    </row>
    <row r="13402">
      <c r="P13402" s="42"/>
      <c r="AB13402" s="38"/>
    </row>
    <row r="13403">
      <c r="P13403" s="42"/>
      <c r="AB13403" s="38"/>
    </row>
    <row r="13404">
      <c r="P13404" s="42"/>
      <c r="AB13404" s="38"/>
    </row>
    <row r="13405">
      <c r="P13405" s="42"/>
      <c r="AB13405" s="38"/>
    </row>
    <row r="13406">
      <c r="P13406" s="42"/>
      <c r="AB13406" s="38"/>
    </row>
    <row r="13407">
      <c r="P13407" s="42"/>
      <c r="AB13407" s="38"/>
    </row>
    <row r="13408">
      <c r="P13408" s="42"/>
      <c r="AB13408" s="38"/>
    </row>
    <row r="13409">
      <c r="P13409" s="42"/>
      <c r="AB13409" s="38"/>
    </row>
    <row r="13410">
      <c r="P13410" s="42"/>
      <c r="AB13410" s="38"/>
    </row>
    <row r="13411">
      <c r="P13411" s="42"/>
      <c r="AB13411" s="38"/>
    </row>
    <row r="13412">
      <c r="P13412" s="42"/>
      <c r="AB13412" s="38"/>
    </row>
    <row r="13413">
      <c r="P13413" s="42"/>
      <c r="AB13413" s="38"/>
    </row>
    <row r="13414">
      <c r="P13414" s="42"/>
      <c r="AB13414" s="38"/>
    </row>
    <row r="13415">
      <c r="P13415" s="42"/>
      <c r="AB13415" s="38"/>
    </row>
    <row r="13416">
      <c r="P13416" s="42"/>
      <c r="AB13416" s="38"/>
    </row>
    <row r="13417">
      <c r="P13417" s="42"/>
      <c r="AB13417" s="38"/>
    </row>
    <row r="13418">
      <c r="P13418" s="42"/>
      <c r="AB13418" s="38"/>
    </row>
    <row r="13419">
      <c r="P13419" s="42"/>
      <c r="AB13419" s="38"/>
    </row>
    <row r="13420">
      <c r="P13420" s="42"/>
      <c r="AB13420" s="38"/>
    </row>
    <row r="13421">
      <c r="P13421" s="42"/>
      <c r="AB13421" s="38"/>
    </row>
    <row r="13422">
      <c r="P13422" s="42"/>
      <c r="AB13422" s="38"/>
    </row>
    <row r="13423">
      <c r="P13423" s="42"/>
      <c r="AB13423" s="38"/>
    </row>
    <row r="13424">
      <c r="P13424" s="42"/>
      <c r="AB13424" s="38"/>
    </row>
    <row r="13425">
      <c r="P13425" s="42"/>
      <c r="AB13425" s="38"/>
    </row>
    <row r="13426">
      <c r="P13426" s="42"/>
      <c r="AB13426" s="38"/>
    </row>
    <row r="13427">
      <c r="P13427" s="42"/>
      <c r="AB13427" s="38"/>
    </row>
    <row r="13428">
      <c r="P13428" s="42"/>
      <c r="AB13428" s="38"/>
    </row>
    <row r="13429">
      <c r="P13429" s="42"/>
      <c r="AB13429" s="38"/>
    </row>
    <row r="13430">
      <c r="P13430" s="42"/>
      <c r="AB13430" s="38"/>
    </row>
    <row r="13431">
      <c r="P13431" s="42"/>
      <c r="AB13431" s="38"/>
    </row>
    <row r="13432">
      <c r="P13432" s="42"/>
      <c r="AB13432" s="38"/>
    </row>
    <row r="13433">
      <c r="P13433" s="42"/>
      <c r="AB13433" s="38"/>
    </row>
    <row r="13434">
      <c r="P13434" s="42"/>
      <c r="AB13434" s="38"/>
    </row>
    <row r="13435">
      <c r="P13435" s="42"/>
      <c r="AB13435" s="38"/>
    </row>
    <row r="13436">
      <c r="P13436" s="42"/>
      <c r="AB13436" s="38"/>
    </row>
    <row r="13437">
      <c r="P13437" s="42"/>
      <c r="AB13437" s="38"/>
    </row>
    <row r="13438">
      <c r="P13438" s="42"/>
      <c r="AB13438" s="38"/>
    </row>
    <row r="13439">
      <c r="P13439" s="42"/>
      <c r="AB13439" s="38"/>
    </row>
    <row r="13440">
      <c r="P13440" s="42"/>
      <c r="AB13440" s="38"/>
    </row>
    <row r="13441">
      <c r="P13441" s="42"/>
      <c r="AB13441" s="38"/>
    </row>
    <row r="13442">
      <c r="P13442" s="42"/>
      <c r="AB13442" s="38"/>
    </row>
    <row r="13443">
      <c r="P13443" s="42"/>
      <c r="AB13443" s="38"/>
    </row>
    <row r="13444">
      <c r="P13444" s="42"/>
      <c r="AB13444" s="38"/>
    </row>
    <row r="13445">
      <c r="P13445" s="42"/>
      <c r="AB13445" s="38"/>
    </row>
    <row r="13446">
      <c r="P13446" s="42"/>
      <c r="AB13446" s="38"/>
    </row>
    <row r="13447">
      <c r="P13447" s="42"/>
      <c r="AB13447" s="38"/>
    </row>
    <row r="13448">
      <c r="P13448" s="42"/>
      <c r="AB13448" s="38"/>
    </row>
    <row r="13449">
      <c r="P13449" s="42"/>
      <c r="AB13449" s="38"/>
    </row>
    <row r="13450">
      <c r="P13450" s="42"/>
      <c r="AB13450" s="38"/>
    </row>
    <row r="13451">
      <c r="P13451" s="42"/>
      <c r="AB13451" s="38"/>
    </row>
    <row r="13452">
      <c r="P13452" s="42"/>
      <c r="AB13452" s="38"/>
    </row>
    <row r="13453">
      <c r="P13453" s="42"/>
      <c r="AB13453" s="38"/>
    </row>
    <row r="13454">
      <c r="P13454" s="42"/>
      <c r="AB13454" s="38"/>
    </row>
    <row r="13455">
      <c r="P13455" s="42"/>
      <c r="AB13455" s="38"/>
    </row>
    <row r="13456">
      <c r="P13456" s="42"/>
      <c r="AB13456" s="38"/>
    </row>
    <row r="13457">
      <c r="P13457" s="42"/>
      <c r="AB13457" s="38"/>
    </row>
    <row r="13458">
      <c r="P13458" s="42"/>
      <c r="AB13458" s="38"/>
    </row>
    <row r="13459">
      <c r="P13459" s="42"/>
      <c r="AB13459" s="38"/>
    </row>
    <row r="13460">
      <c r="P13460" s="42"/>
      <c r="AB13460" s="38"/>
    </row>
    <row r="13461">
      <c r="P13461" s="42"/>
      <c r="AB13461" s="38"/>
    </row>
    <row r="13462">
      <c r="P13462" s="42"/>
      <c r="AB13462" s="38"/>
    </row>
    <row r="13463">
      <c r="P13463" s="42"/>
      <c r="AB13463" s="38"/>
    </row>
    <row r="13464">
      <c r="P13464" s="42"/>
      <c r="AB13464" s="38"/>
    </row>
    <row r="13465">
      <c r="P13465" s="42"/>
      <c r="AB13465" s="38"/>
    </row>
    <row r="13466">
      <c r="P13466" s="42"/>
      <c r="AB13466" s="38"/>
    </row>
    <row r="13467">
      <c r="P13467" s="42"/>
      <c r="AB13467" s="38"/>
    </row>
    <row r="13468">
      <c r="P13468" s="42"/>
      <c r="AB13468" s="38"/>
    </row>
    <row r="13469">
      <c r="P13469" s="42"/>
      <c r="AB13469" s="38"/>
    </row>
    <row r="13470">
      <c r="P13470" s="42"/>
      <c r="AB13470" s="38"/>
    </row>
    <row r="13471">
      <c r="P13471" s="42"/>
      <c r="AB13471" s="38"/>
    </row>
    <row r="13472">
      <c r="P13472" s="42"/>
      <c r="AB13472" s="38"/>
    </row>
    <row r="13473">
      <c r="P13473" s="42"/>
      <c r="AB13473" s="38"/>
    </row>
    <row r="13474">
      <c r="P13474" s="42"/>
      <c r="AB13474" s="38"/>
    </row>
    <row r="13475">
      <c r="P13475" s="42"/>
      <c r="AB13475" s="38"/>
    </row>
    <row r="13476">
      <c r="P13476" s="42"/>
      <c r="AB13476" s="38"/>
    </row>
    <row r="13477">
      <c r="P13477" s="42"/>
      <c r="AB13477" s="38"/>
    </row>
    <row r="13478">
      <c r="P13478" s="42"/>
      <c r="AB13478" s="38"/>
    </row>
    <row r="13479">
      <c r="P13479" s="42"/>
      <c r="AB13479" s="38"/>
    </row>
    <row r="13480">
      <c r="P13480" s="42"/>
      <c r="AB13480" s="38"/>
    </row>
    <row r="13481">
      <c r="P13481" s="42"/>
      <c r="AB13481" s="38"/>
    </row>
    <row r="13482">
      <c r="P13482" s="42"/>
      <c r="AB13482" s="38"/>
    </row>
    <row r="13483">
      <c r="P13483" s="42"/>
      <c r="AB13483" s="38"/>
    </row>
    <row r="13484">
      <c r="P13484" s="42"/>
      <c r="AB13484" s="38"/>
    </row>
    <row r="13485">
      <c r="P13485" s="42"/>
      <c r="AB13485" s="38"/>
    </row>
    <row r="13486">
      <c r="P13486" s="42"/>
      <c r="AB13486" s="38"/>
    </row>
    <row r="13487">
      <c r="P13487" s="42"/>
      <c r="AB13487" s="38"/>
    </row>
    <row r="13488">
      <c r="P13488" s="42"/>
      <c r="AB13488" s="38"/>
    </row>
    <row r="13489">
      <c r="P13489" s="42"/>
      <c r="AB13489" s="38"/>
    </row>
    <row r="13490">
      <c r="P13490" s="42"/>
      <c r="AB13490" s="38"/>
    </row>
    <row r="13491">
      <c r="P13491" s="42"/>
      <c r="AB13491" s="38"/>
    </row>
    <row r="13492">
      <c r="P13492" s="42"/>
      <c r="AB13492" s="38"/>
    </row>
    <row r="13493">
      <c r="P13493" s="42"/>
      <c r="AB13493" s="38"/>
    </row>
    <row r="13494">
      <c r="P13494" s="42"/>
      <c r="AB13494" s="38"/>
    </row>
    <row r="13495">
      <c r="P13495" s="42"/>
      <c r="AB13495" s="38"/>
    </row>
    <row r="13496">
      <c r="P13496" s="42"/>
      <c r="AB13496" s="38"/>
    </row>
    <row r="13497">
      <c r="P13497" s="42"/>
      <c r="AB13497" s="38"/>
    </row>
    <row r="13498">
      <c r="P13498" s="42"/>
      <c r="AB13498" s="38"/>
    </row>
    <row r="13499">
      <c r="P13499" s="42"/>
      <c r="AB13499" s="38"/>
    </row>
    <row r="13500">
      <c r="P13500" s="42"/>
      <c r="AB13500" s="38"/>
    </row>
    <row r="13501">
      <c r="P13501" s="42"/>
      <c r="AB13501" s="38"/>
    </row>
    <row r="13502">
      <c r="P13502" s="42"/>
      <c r="AB13502" s="38"/>
    </row>
    <row r="13503">
      <c r="P13503" s="42"/>
      <c r="AB13503" s="38"/>
    </row>
    <row r="13504">
      <c r="P13504" s="42"/>
      <c r="AB13504" s="38"/>
    </row>
    <row r="13505">
      <c r="P13505" s="42"/>
      <c r="AB13505" s="38"/>
    </row>
    <row r="13506">
      <c r="P13506" s="42"/>
      <c r="AB13506" s="38"/>
    </row>
    <row r="13507">
      <c r="P13507" s="42"/>
      <c r="AB13507" s="38"/>
    </row>
    <row r="13508">
      <c r="P13508" s="42"/>
      <c r="AB13508" s="38"/>
    </row>
    <row r="13509">
      <c r="P13509" s="42"/>
      <c r="AB13509" s="38"/>
    </row>
    <row r="13510">
      <c r="P13510" s="42"/>
      <c r="AB13510" s="38"/>
    </row>
    <row r="13511">
      <c r="P13511" s="42"/>
      <c r="AB13511" s="38"/>
    </row>
    <row r="13512">
      <c r="P13512" s="42"/>
      <c r="AB13512" s="38"/>
    </row>
    <row r="13513">
      <c r="P13513" s="42"/>
      <c r="AB13513" s="38"/>
    </row>
    <row r="13514">
      <c r="P13514" s="42"/>
      <c r="AB13514" s="38"/>
    </row>
    <row r="13515">
      <c r="P13515" s="42"/>
      <c r="AB13515" s="38"/>
    </row>
    <row r="13516">
      <c r="P13516" s="42"/>
      <c r="AB13516" s="38"/>
    </row>
    <row r="13517">
      <c r="P13517" s="42"/>
      <c r="AB13517" s="38"/>
    </row>
    <row r="13518">
      <c r="P13518" s="42"/>
      <c r="AB13518" s="38"/>
    </row>
    <row r="13519">
      <c r="P13519" s="42"/>
      <c r="AB13519" s="38"/>
    </row>
    <row r="13520">
      <c r="P13520" s="42"/>
      <c r="AB13520" s="38"/>
    </row>
    <row r="13521">
      <c r="P13521" s="42"/>
      <c r="AB13521" s="38"/>
    </row>
    <row r="13522">
      <c r="P13522" s="42"/>
      <c r="AB13522" s="38"/>
    </row>
    <row r="13523">
      <c r="P13523" s="42"/>
      <c r="AB13523" s="38"/>
    </row>
    <row r="13524">
      <c r="P13524" s="42"/>
      <c r="AB13524" s="38"/>
    </row>
    <row r="13525">
      <c r="P13525" s="42"/>
      <c r="AB13525" s="38"/>
    </row>
    <row r="13526">
      <c r="P13526" s="42"/>
      <c r="AB13526" s="38"/>
    </row>
    <row r="13527">
      <c r="P13527" s="42"/>
      <c r="AB13527" s="38"/>
    </row>
    <row r="13528">
      <c r="P13528" s="42"/>
      <c r="AB13528" s="38"/>
    </row>
    <row r="13529">
      <c r="P13529" s="42"/>
      <c r="AB13529" s="38"/>
    </row>
    <row r="13530">
      <c r="P13530" s="42"/>
      <c r="AB13530" s="38"/>
    </row>
    <row r="13531">
      <c r="P13531" s="42"/>
      <c r="AB13531" s="38"/>
    </row>
    <row r="13532">
      <c r="P13532" s="42"/>
      <c r="AB13532" s="38"/>
    </row>
    <row r="13533">
      <c r="P13533" s="42"/>
      <c r="AB13533" s="38"/>
    </row>
    <row r="13534">
      <c r="P13534" s="42"/>
      <c r="AB13534" s="38"/>
    </row>
    <row r="13535">
      <c r="P13535" s="42"/>
      <c r="AB13535" s="38"/>
    </row>
    <row r="13536">
      <c r="P13536" s="42"/>
      <c r="AB13536" s="38"/>
    </row>
    <row r="13537">
      <c r="P13537" s="42"/>
      <c r="AB13537" s="38"/>
    </row>
    <row r="13538">
      <c r="P13538" s="42"/>
      <c r="AB13538" s="38"/>
    </row>
    <row r="13539">
      <c r="P13539" s="42"/>
      <c r="AB13539" s="38"/>
    </row>
    <row r="13540">
      <c r="P13540" s="42"/>
      <c r="AB13540" s="38"/>
    </row>
    <row r="13541">
      <c r="P13541" s="42"/>
      <c r="AB13541" s="38"/>
    </row>
    <row r="13542">
      <c r="P13542" s="42"/>
      <c r="AB13542" s="38"/>
    </row>
    <row r="13543">
      <c r="P13543" s="42"/>
      <c r="AB13543" s="38"/>
    </row>
    <row r="13544">
      <c r="P13544" s="42"/>
      <c r="AB13544" s="38"/>
    </row>
    <row r="13545">
      <c r="P13545" s="42"/>
      <c r="AB13545" s="38"/>
    </row>
    <row r="13546">
      <c r="P13546" s="42"/>
      <c r="AB13546" s="38"/>
    </row>
    <row r="13547">
      <c r="P13547" s="42"/>
      <c r="AB13547" s="38"/>
    </row>
    <row r="13548">
      <c r="P13548" s="42"/>
      <c r="AB13548" s="38"/>
    </row>
    <row r="13549">
      <c r="P13549" s="42"/>
      <c r="AB13549" s="38"/>
    </row>
    <row r="13550">
      <c r="P13550" s="42"/>
      <c r="AB13550" s="38"/>
    </row>
    <row r="13551">
      <c r="P13551" s="42"/>
      <c r="AB13551" s="38"/>
    </row>
    <row r="13552">
      <c r="P13552" s="42"/>
      <c r="AB13552" s="38"/>
    </row>
    <row r="13553">
      <c r="P13553" s="42"/>
      <c r="AB13553" s="38"/>
    </row>
    <row r="13554">
      <c r="P13554" s="42"/>
      <c r="AB13554" s="38"/>
    </row>
    <row r="13555">
      <c r="P13555" s="42"/>
      <c r="AB13555" s="38"/>
    </row>
    <row r="13556">
      <c r="P13556" s="42"/>
      <c r="AB13556" s="38"/>
    </row>
    <row r="13557">
      <c r="P13557" s="42"/>
      <c r="AB13557" s="38"/>
    </row>
    <row r="13558">
      <c r="P13558" s="42"/>
      <c r="AB13558" s="38"/>
    </row>
    <row r="13559">
      <c r="P13559" s="42"/>
      <c r="AB13559" s="38"/>
    </row>
    <row r="13560">
      <c r="P13560" s="42"/>
      <c r="AB13560" s="38"/>
    </row>
    <row r="13561">
      <c r="P13561" s="42"/>
      <c r="AB13561" s="38"/>
    </row>
    <row r="13562">
      <c r="P13562" s="42"/>
      <c r="AB13562" s="38"/>
    </row>
    <row r="13563">
      <c r="P13563" s="42"/>
      <c r="AB13563" s="38"/>
    </row>
    <row r="13564">
      <c r="P13564" s="42"/>
      <c r="AB13564" s="38"/>
    </row>
    <row r="13565">
      <c r="P13565" s="42"/>
      <c r="AB13565" s="38"/>
    </row>
    <row r="13566">
      <c r="P13566" s="42"/>
      <c r="AB13566" s="38"/>
    </row>
    <row r="13567">
      <c r="P13567" s="42"/>
      <c r="AB13567" s="38"/>
    </row>
    <row r="13568">
      <c r="P13568" s="42"/>
      <c r="AB13568" s="38"/>
    </row>
    <row r="13569">
      <c r="P13569" s="42"/>
      <c r="AB13569" s="38"/>
    </row>
    <row r="13570">
      <c r="P13570" s="42"/>
      <c r="AB13570" s="38"/>
    </row>
    <row r="13571">
      <c r="P13571" s="42"/>
      <c r="AB13571" s="38"/>
    </row>
    <row r="13572">
      <c r="P13572" s="42"/>
      <c r="AB13572" s="38"/>
    </row>
    <row r="13573">
      <c r="P13573" s="42"/>
      <c r="AB13573" s="38"/>
    </row>
    <row r="13574">
      <c r="P13574" s="42"/>
      <c r="AB13574" s="38"/>
    </row>
    <row r="13575">
      <c r="P13575" s="42"/>
      <c r="AB13575" s="38"/>
    </row>
    <row r="13576">
      <c r="P13576" s="42"/>
      <c r="AB13576" s="38"/>
    </row>
    <row r="13577">
      <c r="P13577" s="42"/>
      <c r="AB13577" s="38"/>
    </row>
    <row r="13578">
      <c r="P13578" s="42"/>
      <c r="AB13578" s="38"/>
    </row>
    <row r="13579">
      <c r="P13579" s="42"/>
      <c r="AB13579" s="38"/>
    </row>
    <row r="13580">
      <c r="P13580" s="42"/>
      <c r="AB13580" s="38"/>
    </row>
    <row r="13581">
      <c r="P13581" s="42"/>
      <c r="AB13581" s="38"/>
    </row>
    <row r="13582">
      <c r="P13582" s="42"/>
      <c r="AB13582" s="38"/>
    </row>
    <row r="13583">
      <c r="P13583" s="42"/>
      <c r="AB13583" s="38"/>
    </row>
    <row r="13584">
      <c r="P13584" s="42"/>
      <c r="AB13584" s="38"/>
    </row>
    <row r="13585">
      <c r="P13585" s="42"/>
      <c r="AB13585" s="38"/>
    </row>
    <row r="13586">
      <c r="P13586" s="42"/>
      <c r="AB13586" s="38"/>
    </row>
    <row r="13587">
      <c r="P13587" s="42"/>
      <c r="AB13587" s="38"/>
    </row>
    <row r="13588">
      <c r="P13588" s="42"/>
      <c r="AB13588" s="38"/>
    </row>
    <row r="13589">
      <c r="P13589" s="42"/>
      <c r="AB13589" s="38"/>
    </row>
    <row r="13590">
      <c r="P13590" s="42"/>
      <c r="AB13590" s="38"/>
    </row>
    <row r="13591">
      <c r="P13591" s="42"/>
      <c r="AB13591" s="38"/>
    </row>
    <row r="13592">
      <c r="P13592" s="42"/>
      <c r="AB13592" s="38"/>
    </row>
    <row r="13593">
      <c r="P13593" s="42"/>
      <c r="AB13593" s="38"/>
    </row>
    <row r="13594">
      <c r="P13594" s="42"/>
      <c r="AB13594" s="38"/>
    </row>
    <row r="13595">
      <c r="P13595" s="42"/>
      <c r="AB13595" s="38"/>
    </row>
    <row r="13596">
      <c r="P13596" s="42"/>
      <c r="AB13596" s="38"/>
    </row>
    <row r="13597">
      <c r="P13597" s="42"/>
      <c r="AB13597" s="38"/>
    </row>
    <row r="13598">
      <c r="P13598" s="42"/>
      <c r="AB13598" s="38"/>
    </row>
    <row r="13599">
      <c r="P13599" s="42"/>
      <c r="AB13599" s="38"/>
    </row>
    <row r="13600">
      <c r="P13600" s="42"/>
      <c r="AB13600" s="38"/>
    </row>
    <row r="13601">
      <c r="P13601" s="42"/>
      <c r="AB13601" s="38"/>
    </row>
    <row r="13602">
      <c r="P13602" s="42"/>
      <c r="AB13602" s="38"/>
    </row>
    <row r="13603">
      <c r="P13603" s="42"/>
      <c r="AB13603" s="38"/>
    </row>
    <row r="13604">
      <c r="P13604" s="42"/>
      <c r="AB13604" s="38"/>
    </row>
    <row r="13605">
      <c r="P13605" s="42"/>
      <c r="AB13605" s="38"/>
    </row>
    <row r="13606">
      <c r="P13606" s="42"/>
      <c r="AB13606" s="38"/>
    </row>
    <row r="13607">
      <c r="P13607" s="42"/>
      <c r="AB13607" s="38"/>
    </row>
    <row r="13608">
      <c r="P13608" s="42"/>
      <c r="AB13608" s="38"/>
    </row>
    <row r="13609">
      <c r="P13609" s="42"/>
      <c r="AB13609" s="38"/>
    </row>
    <row r="13610">
      <c r="P13610" s="42"/>
      <c r="AB13610" s="38"/>
    </row>
    <row r="13611">
      <c r="P13611" s="42"/>
      <c r="AB13611" s="38"/>
    </row>
    <row r="13612">
      <c r="P13612" s="42"/>
      <c r="AB13612" s="38"/>
    </row>
    <row r="13613">
      <c r="P13613" s="42"/>
      <c r="AB13613" s="38"/>
    </row>
    <row r="13614">
      <c r="P13614" s="42"/>
      <c r="AB13614" s="38"/>
    </row>
    <row r="13615">
      <c r="P13615" s="42"/>
      <c r="AB13615" s="38"/>
    </row>
    <row r="13616">
      <c r="P13616" s="42"/>
      <c r="AB13616" s="38"/>
    </row>
    <row r="13617">
      <c r="P13617" s="42"/>
      <c r="AB13617" s="38"/>
    </row>
    <row r="13618">
      <c r="P13618" s="42"/>
      <c r="AB13618" s="38"/>
    </row>
    <row r="13619">
      <c r="P13619" s="42"/>
      <c r="AB13619" s="38"/>
    </row>
    <row r="13620">
      <c r="P13620" s="42"/>
      <c r="AB13620" s="38"/>
    </row>
    <row r="13621">
      <c r="P13621" s="42"/>
      <c r="AB13621" s="38"/>
    </row>
    <row r="13622">
      <c r="P13622" s="42"/>
      <c r="AB13622" s="38"/>
    </row>
    <row r="13623">
      <c r="P13623" s="42"/>
      <c r="AB13623" s="38"/>
    </row>
    <row r="13624">
      <c r="P13624" s="42"/>
      <c r="AB13624" s="38"/>
    </row>
    <row r="13625">
      <c r="P13625" s="42"/>
      <c r="AB13625" s="38"/>
    </row>
    <row r="13626">
      <c r="P13626" s="42"/>
      <c r="AB13626" s="38"/>
    </row>
    <row r="13627">
      <c r="P13627" s="42"/>
      <c r="AB13627" s="38"/>
    </row>
    <row r="13628">
      <c r="P13628" s="42"/>
      <c r="AB13628" s="38"/>
    </row>
    <row r="13629">
      <c r="P13629" s="42"/>
      <c r="AB13629" s="38"/>
    </row>
    <row r="13630">
      <c r="P13630" s="42"/>
      <c r="AB13630" s="38"/>
    </row>
    <row r="13631">
      <c r="P13631" s="42"/>
      <c r="AB13631" s="38"/>
    </row>
    <row r="13632">
      <c r="P13632" s="42"/>
      <c r="AB13632" s="38"/>
    </row>
    <row r="13633">
      <c r="P13633" s="42"/>
      <c r="AB13633" s="38"/>
    </row>
    <row r="13634">
      <c r="P13634" s="42"/>
      <c r="AB13634" s="38"/>
    </row>
    <row r="13635">
      <c r="P13635" s="42"/>
      <c r="AB13635" s="38"/>
    </row>
    <row r="13636">
      <c r="P13636" s="42"/>
      <c r="AB13636" s="38"/>
    </row>
    <row r="13637">
      <c r="P13637" s="42"/>
      <c r="AB13637" s="38"/>
    </row>
    <row r="13638">
      <c r="P13638" s="42"/>
      <c r="AB13638" s="38"/>
    </row>
    <row r="13639">
      <c r="P13639" s="42"/>
      <c r="AB13639" s="38"/>
    </row>
    <row r="13640">
      <c r="P13640" s="42"/>
      <c r="AB13640" s="38"/>
    </row>
    <row r="13641">
      <c r="P13641" s="42"/>
      <c r="AB13641" s="38"/>
    </row>
    <row r="13642">
      <c r="P13642" s="42"/>
      <c r="AB13642" s="38"/>
    </row>
    <row r="13643">
      <c r="P13643" s="42"/>
      <c r="AB13643" s="38"/>
    </row>
    <row r="13644">
      <c r="P13644" s="42"/>
      <c r="AB13644" s="38"/>
    </row>
    <row r="13645">
      <c r="P13645" s="42"/>
      <c r="AB13645" s="38"/>
    </row>
    <row r="13646">
      <c r="P13646" s="42"/>
      <c r="AB13646" s="38"/>
    </row>
    <row r="13647">
      <c r="P13647" s="42"/>
      <c r="AB13647" s="38"/>
    </row>
    <row r="13648">
      <c r="P13648" s="42"/>
      <c r="AB13648" s="38"/>
    </row>
    <row r="13649">
      <c r="P13649" s="42"/>
      <c r="AB13649" s="38"/>
    </row>
    <row r="13650">
      <c r="P13650" s="42"/>
      <c r="AB13650" s="38"/>
    </row>
    <row r="13651">
      <c r="P13651" s="42"/>
      <c r="AB13651" s="38"/>
    </row>
    <row r="13652">
      <c r="P13652" s="42"/>
      <c r="AB13652" s="38"/>
    </row>
    <row r="13653">
      <c r="P13653" s="42"/>
      <c r="AB13653" s="38"/>
    </row>
    <row r="13654">
      <c r="P13654" s="42"/>
      <c r="AB13654" s="38"/>
    </row>
    <row r="13655">
      <c r="P13655" s="42"/>
      <c r="AB13655" s="38"/>
    </row>
    <row r="13656">
      <c r="P13656" s="42"/>
      <c r="AB13656" s="38"/>
    </row>
    <row r="13657">
      <c r="P13657" s="42"/>
      <c r="AB13657" s="38"/>
    </row>
    <row r="13658">
      <c r="P13658" s="42"/>
      <c r="AB13658" s="38"/>
    </row>
    <row r="13659">
      <c r="P13659" s="42"/>
      <c r="AB13659" s="38"/>
    </row>
    <row r="13660">
      <c r="P13660" s="42"/>
      <c r="AB13660" s="38"/>
    </row>
    <row r="13661">
      <c r="P13661" s="42"/>
      <c r="AB13661" s="38"/>
    </row>
    <row r="13662">
      <c r="P13662" s="42"/>
      <c r="AB13662" s="38"/>
    </row>
    <row r="13663">
      <c r="P13663" s="42"/>
      <c r="AB13663" s="38"/>
    </row>
    <row r="13664">
      <c r="P13664" s="42"/>
      <c r="AB13664" s="38"/>
    </row>
    <row r="13665">
      <c r="P13665" s="42"/>
      <c r="AB13665" s="38"/>
    </row>
    <row r="13666">
      <c r="P13666" s="42"/>
      <c r="AB13666" s="38"/>
    </row>
    <row r="13667">
      <c r="P13667" s="42"/>
      <c r="AB13667" s="38"/>
    </row>
    <row r="13668">
      <c r="P13668" s="42"/>
      <c r="AB13668" s="38"/>
    </row>
    <row r="13669">
      <c r="P13669" s="42"/>
      <c r="AB13669" s="38"/>
    </row>
    <row r="13670">
      <c r="P13670" s="42"/>
      <c r="AB13670" s="38"/>
    </row>
    <row r="13671">
      <c r="P13671" s="42"/>
      <c r="AB13671" s="38"/>
    </row>
    <row r="13672">
      <c r="P13672" s="42"/>
      <c r="AB13672" s="38"/>
    </row>
    <row r="13673">
      <c r="P13673" s="42"/>
      <c r="AB13673" s="38"/>
    </row>
    <row r="13674">
      <c r="P13674" s="42"/>
      <c r="AB13674" s="38"/>
    </row>
    <row r="13675">
      <c r="P13675" s="42"/>
      <c r="AB13675" s="38"/>
    </row>
    <row r="13676">
      <c r="P13676" s="42"/>
      <c r="AB13676" s="38"/>
    </row>
    <row r="13677">
      <c r="P13677" s="42"/>
      <c r="AB13677" s="38"/>
    </row>
    <row r="13678">
      <c r="P13678" s="42"/>
      <c r="AB13678" s="38"/>
    </row>
    <row r="13679">
      <c r="P13679" s="42"/>
      <c r="AB13679" s="38"/>
    </row>
    <row r="13680">
      <c r="P13680" s="42"/>
      <c r="AB13680" s="38"/>
    </row>
    <row r="13681">
      <c r="P13681" s="42"/>
      <c r="AB13681" s="38"/>
    </row>
    <row r="13682">
      <c r="P13682" s="42"/>
      <c r="AB13682" s="38"/>
    </row>
    <row r="13683">
      <c r="P13683" s="42"/>
      <c r="AB13683" s="38"/>
    </row>
    <row r="13684">
      <c r="P13684" s="42"/>
      <c r="AB13684" s="38"/>
    </row>
    <row r="13685">
      <c r="P13685" s="42"/>
      <c r="AB13685" s="38"/>
    </row>
    <row r="13686">
      <c r="P13686" s="42"/>
      <c r="AB13686" s="38"/>
    </row>
    <row r="13687">
      <c r="P13687" s="42"/>
      <c r="AB13687" s="38"/>
    </row>
    <row r="13688">
      <c r="P13688" s="42"/>
      <c r="AB13688" s="38"/>
    </row>
    <row r="13689">
      <c r="P13689" s="42"/>
      <c r="AB13689" s="38"/>
    </row>
    <row r="13690">
      <c r="P13690" s="42"/>
      <c r="AB13690" s="38"/>
    </row>
    <row r="13691">
      <c r="P13691" s="42"/>
      <c r="AB13691" s="38"/>
    </row>
    <row r="13692">
      <c r="P13692" s="42"/>
      <c r="AB13692" s="38"/>
    </row>
    <row r="13693">
      <c r="P13693" s="42"/>
      <c r="AB13693" s="38"/>
    </row>
    <row r="13694">
      <c r="P13694" s="42"/>
      <c r="AB13694" s="38"/>
    </row>
    <row r="13695">
      <c r="P13695" s="42"/>
      <c r="AB13695" s="38"/>
    </row>
    <row r="13696">
      <c r="P13696" s="42"/>
      <c r="AB13696" s="38"/>
    </row>
    <row r="13697">
      <c r="P13697" s="42"/>
      <c r="AB13697" s="38"/>
    </row>
    <row r="13698">
      <c r="P13698" s="42"/>
      <c r="AB13698" s="38"/>
    </row>
    <row r="13699">
      <c r="P13699" s="42"/>
      <c r="AB13699" s="38"/>
    </row>
    <row r="13700">
      <c r="P13700" s="42"/>
      <c r="AB13700" s="38"/>
    </row>
    <row r="13701">
      <c r="P13701" s="42"/>
      <c r="AB13701" s="38"/>
    </row>
    <row r="13702">
      <c r="P13702" s="42"/>
      <c r="AB13702" s="38"/>
    </row>
    <row r="13703">
      <c r="P13703" s="42"/>
      <c r="AB13703" s="38"/>
    </row>
    <row r="13704">
      <c r="P13704" s="42"/>
      <c r="AB13704" s="38"/>
    </row>
    <row r="13705">
      <c r="P13705" s="42"/>
      <c r="AB13705" s="38"/>
    </row>
    <row r="13706">
      <c r="P13706" s="42"/>
      <c r="AB13706" s="38"/>
    </row>
    <row r="13707">
      <c r="P13707" s="42"/>
      <c r="AB13707" s="38"/>
    </row>
    <row r="13708">
      <c r="P13708" s="42"/>
      <c r="AB13708" s="38"/>
    </row>
    <row r="13709">
      <c r="P13709" s="42"/>
      <c r="AB13709" s="38"/>
    </row>
    <row r="13710">
      <c r="P13710" s="42"/>
      <c r="AB13710" s="38"/>
    </row>
    <row r="13711">
      <c r="P13711" s="42"/>
      <c r="AB13711" s="38"/>
    </row>
    <row r="13712">
      <c r="P13712" s="42"/>
      <c r="AB13712" s="38"/>
    </row>
    <row r="13713">
      <c r="P13713" s="42"/>
      <c r="AB13713" s="38"/>
    </row>
    <row r="13714">
      <c r="P13714" s="42"/>
      <c r="AB13714" s="38"/>
    </row>
    <row r="13715">
      <c r="P13715" s="42"/>
      <c r="AB13715" s="38"/>
    </row>
    <row r="13716">
      <c r="P13716" s="42"/>
      <c r="AB13716" s="38"/>
    </row>
    <row r="13717">
      <c r="P13717" s="42"/>
      <c r="AB13717" s="38"/>
    </row>
    <row r="13718">
      <c r="P13718" s="42"/>
      <c r="AB13718" s="38"/>
    </row>
    <row r="13719">
      <c r="P13719" s="42"/>
      <c r="AB13719" s="38"/>
    </row>
    <row r="13720">
      <c r="P13720" s="42"/>
      <c r="AB13720" s="38"/>
    </row>
    <row r="13721">
      <c r="P13721" s="42"/>
      <c r="AB13721" s="38"/>
    </row>
    <row r="13722">
      <c r="P13722" s="42"/>
      <c r="AB13722" s="38"/>
    </row>
    <row r="13723">
      <c r="P13723" s="42"/>
      <c r="AB13723" s="38"/>
    </row>
    <row r="13724">
      <c r="P13724" s="42"/>
      <c r="AB13724" s="38"/>
    </row>
    <row r="13725">
      <c r="P13725" s="42"/>
      <c r="AB13725" s="38"/>
    </row>
    <row r="13726">
      <c r="P13726" s="42"/>
      <c r="AB13726" s="38"/>
    </row>
    <row r="13727">
      <c r="P13727" s="42"/>
      <c r="AB13727" s="38"/>
    </row>
    <row r="13728">
      <c r="P13728" s="42"/>
      <c r="AB13728" s="38"/>
    </row>
    <row r="13729">
      <c r="P13729" s="42"/>
      <c r="AB13729" s="38"/>
    </row>
    <row r="13730">
      <c r="P13730" s="42"/>
      <c r="AB13730" s="38"/>
    </row>
    <row r="13731">
      <c r="P13731" s="42"/>
      <c r="AB13731" s="38"/>
    </row>
    <row r="13732">
      <c r="P13732" s="42"/>
      <c r="AB13732" s="38"/>
    </row>
    <row r="13733">
      <c r="P13733" s="42"/>
      <c r="AB13733" s="38"/>
    </row>
    <row r="13734">
      <c r="P13734" s="42"/>
      <c r="AB13734" s="38"/>
    </row>
    <row r="13735">
      <c r="P13735" s="42"/>
      <c r="AB13735" s="38"/>
    </row>
    <row r="13736">
      <c r="P13736" s="42"/>
      <c r="AB13736" s="38"/>
    </row>
    <row r="13737">
      <c r="P13737" s="42"/>
      <c r="AB13737" s="38"/>
    </row>
    <row r="13738">
      <c r="P13738" s="42"/>
      <c r="AB13738" s="38"/>
    </row>
    <row r="13739">
      <c r="P13739" s="42"/>
      <c r="AB13739" s="38"/>
    </row>
    <row r="13740">
      <c r="P13740" s="42"/>
      <c r="AB13740" s="38"/>
    </row>
    <row r="13741">
      <c r="P13741" s="42"/>
      <c r="AB13741" s="38"/>
    </row>
    <row r="13742">
      <c r="P13742" s="42"/>
      <c r="AB13742" s="38"/>
    </row>
    <row r="13743">
      <c r="P13743" s="42"/>
      <c r="AB13743" s="38"/>
    </row>
    <row r="13744">
      <c r="P13744" s="42"/>
      <c r="AB13744" s="38"/>
    </row>
    <row r="13745">
      <c r="P13745" s="42"/>
      <c r="AB13745" s="38"/>
    </row>
    <row r="13746">
      <c r="P13746" s="42"/>
      <c r="AB13746" s="38"/>
    </row>
    <row r="13747">
      <c r="P13747" s="42"/>
      <c r="AB13747" s="38"/>
    </row>
    <row r="13748">
      <c r="P13748" s="42"/>
      <c r="AB13748" s="38"/>
    </row>
    <row r="13749">
      <c r="P13749" s="42"/>
      <c r="AB13749" s="38"/>
    </row>
    <row r="13750">
      <c r="P13750" s="42"/>
      <c r="AB13750" s="38"/>
    </row>
    <row r="13751">
      <c r="P13751" s="42"/>
      <c r="AB13751" s="38"/>
    </row>
    <row r="13752">
      <c r="P13752" s="42"/>
      <c r="AB13752" s="38"/>
    </row>
    <row r="13753">
      <c r="P13753" s="42"/>
      <c r="AB13753" s="38"/>
    </row>
    <row r="13754">
      <c r="P13754" s="42"/>
      <c r="AB13754" s="38"/>
    </row>
    <row r="13755">
      <c r="P13755" s="42"/>
      <c r="AB13755" s="38"/>
    </row>
    <row r="13756">
      <c r="P13756" s="42"/>
      <c r="AB13756" s="38"/>
    </row>
    <row r="13757">
      <c r="P13757" s="42"/>
      <c r="AB13757" s="38"/>
    </row>
    <row r="13758">
      <c r="P13758" s="42"/>
      <c r="AB13758" s="38"/>
    </row>
    <row r="13759">
      <c r="P13759" s="42"/>
      <c r="AB13759" s="38"/>
    </row>
    <row r="13760">
      <c r="P13760" s="42"/>
      <c r="AB13760" s="38"/>
    </row>
    <row r="13761">
      <c r="P13761" s="42"/>
      <c r="AB13761" s="38"/>
    </row>
    <row r="13762">
      <c r="P13762" s="42"/>
      <c r="AB13762" s="38"/>
    </row>
    <row r="13763">
      <c r="P13763" s="42"/>
      <c r="AB13763" s="38"/>
    </row>
    <row r="13764">
      <c r="P13764" s="42"/>
      <c r="AB13764" s="38"/>
    </row>
    <row r="13765">
      <c r="P13765" s="42"/>
      <c r="AB13765" s="38"/>
    </row>
    <row r="13766">
      <c r="P13766" s="42"/>
      <c r="AB13766" s="38"/>
    </row>
    <row r="13767">
      <c r="P13767" s="42"/>
      <c r="AB13767" s="38"/>
    </row>
    <row r="13768">
      <c r="P13768" s="42"/>
      <c r="AB13768" s="38"/>
    </row>
    <row r="13769">
      <c r="P13769" s="42"/>
      <c r="AB13769" s="38"/>
    </row>
    <row r="13770">
      <c r="P13770" s="42"/>
      <c r="AB13770" s="38"/>
    </row>
    <row r="13771">
      <c r="P13771" s="42"/>
      <c r="AB13771" s="38"/>
    </row>
    <row r="13772">
      <c r="P13772" s="42"/>
      <c r="AB13772" s="38"/>
    </row>
    <row r="13773">
      <c r="P13773" s="42"/>
      <c r="AB13773" s="38"/>
    </row>
    <row r="13774">
      <c r="P13774" s="42"/>
      <c r="AB13774" s="38"/>
    </row>
    <row r="13775">
      <c r="P13775" s="42"/>
      <c r="AB13775" s="38"/>
    </row>
    <row r="13776">
      <c r="P13776" s="42"/>
      <c r="AB13776" s="38"/>
    </row>
    <row r="13777">
      <c r="P13777" s="42"/>
      <c r="AB13777" s="38"/>
    </row>
    <row r="13778">
      <c r="P13778" s="42"/>
      <c r="AB13778" s="38"/>
    </row>
    <row r="13779">
      <c r="P13779" s="42"/>
      <c r="AB13779" s="38"/>
    </row>
    <row r="13780">
      <c r="P13780" s="42"/>
      <c r="AB13780" s="38"/>
    </row>
    <row r="13781">
      <c r="P13781" s="42"/>
      <c r="AB13781" s="38"/>
    </row>
    <row r="13782">
      <c r="P13782" s="42"/>
      <c r="AB13782" s="38"/>
    </row>
    <row r="13783">
      <c r="P13783" s="42"/>
      <c r="AB13783" s="38"/>
    </row>
    <row r="13784">
      <c r="P13784" s="42"/>
      <c r="AB13784" s="38"/>
    </row>
    <row r="13785">
      <c r="P13785" s="42"/>
      <c r="AB13785" s="38"/>
    </row>
    <row r="13786">
      <c r="P13786" s="42"/>
      <c r="AB13786" s="38"/>
    </row>
    <row r="13787">
      <c r="P13787" s="42"/>
      <c r="AB13787" s="38"/>
    </row>
    <row r="13788">
      <c r="P13788" s="42"/>
      <c r="AB13788" s="38"/>
    </row>
    <row r="13789">
      <c r="P13789" s="42"/>
      <c r="AB13789" s="38"/>
    </row>
    <row r="13790">
      <c r="P13790" s="42"/>
      <c r="AB13790" s="38"/>
    </row>
    <row r="13791">
      <c r="P13791" s="42"/>
      <c r="AB13791" s="38"/>
    </row>
    <row r="13792">
      <c r="P13792" s="42"/>
      <c r="AB13792" s="38"/>
    </row>
    <row r="13793">
      <c r="P13793" s="42"/>
      <c r="AB13793" s="38"/>
    </row>
    <row r="13794">
      <c r="P13794" s="42"/>
      <c r="AB13794" s="38"/>
    </row>
    <row r="13795">
      <c r="P13795" s="42"/>
      <c r="AB13795" s="38"/>
    </row>
    <row r="13796">
      <c r="P13796" s="42"/>
      <c r="AB13796" s="38"/>
    </row>
    <row r="13797">
      <c r="P13797" s="42"/>
      <c r="AB13797" s="38"/>
    </row>
    <row r="13798">
      <c r="P13798" s="42"/>
      <c r="AB13798" s="38"/>
    </row>
    <row r="13799">
      <c r="P13799" s="42"/>
      <c r="AB13799" s="38"/>
    </row>
    <row r="13800">
      <c r="P13800" s="42"/>
      <c r="AB13800" s="38"/>
    </row>
    <row r="13801">
      <c r="P13801" s="42"/>
      <c r="AB13801" s="38"/>
    </row>
    <row r="13802">
      <c r="P13802" s="42"/>
      <c r="AB13802" s="38"/>
    </row>
    <row r="13803">
      <c r="P13803" s="42"/>
      <c r="AB13803" s="38"/>
    </row>
    <row r="13804">
      <c r="P13804" s="42"/>
      <c r="AB13804" s="38"/>
    </row>
    <row r="13805">
      <c r="P13805" s="42"/>
      <c r="AB13805" s="38"/>
    </row>
    <row r="13806">
      <c r="P13806" s="42"/>
      <c r="AB13806" s="38"/>
    </row>
    <row r="13807">
      <c r="P13807" s="42"/>
      <c r="AB13807" s="38"/>
    </row>
    <row r="13808">
      <c r="P13808" s="42"/>
      <c r="AB13808" s="38"/>
    </row>
    <row r="13809">
      <c r="P13809" s="42"/>
      <c r="AB13809" s="38"/>
    </row>
    <row r="13810">
      <c r="P13810" s="42"/>
      <c r="AB13810" s="38"/>
    </row>
    <row r="13811">
      <c r="P13811" s="42"/>
      <c r="AB13811" s="38"/>
    </row>
    <row r="13812">
      <c r="P13812" s="42"/>
      <c r="AB13812" s="38"/>
    </row>
    <row r="13813">
      <c r="P13813" s="42"/>
      <c r="AB13813" s="38"/>
    </row>
    <row r="13814">
      <c r="P13814" s="42"/>
      <c r="AB13814" s="38"/>
    </row>
    <row r="13815">
      <c r="P13815" s="42"/>
      <c r="AB13815" s="38"/>
    </row>
    <row r="13816">
      <c r="P13816" s="42"/>
      <c r="AB13816" s="38"/>
    </row>
    <row r="13817">
      <c r="P13817" s="42"/>
      <c r="AB13817" s="38"/>
    </row>
    <row r="13818">
      <c r="P13818" s="42"/>
      <c r="AB13818" s="38"/>
    </row>
    <row r="13819">
      <c r="P13819" s="42"/>
      <c r="AB13819" s="38"/>
    </row>
    <row r="13820">
      <c r="P13820" s="42"/>
      <c r="AB13820" s="38"/>
    </row>
    <row r="13821">
      <c r="P13821" s="42"/>
      <c r="AB13821" s="38"/>
    </row>
    <row r="13822">
      <c r="P13822" s="42"/>
      <c r="AB13822" s="38"/>
    </row>
    <row r="13823">
      <c r="P13823" s="42"/>
      <c r="AB13823" s="38"/>
    </row>
    <row r="13824">
      <c r="P13824" s="42"/>
      <c r="AB13824" s="38"/>
    </row>
    <row r="13825">
      <c r="P13825" s="42"/>
      <c r="AB13825" s="38"/>
    </row>
    <row r="13826">
      <c r="P13826" s="42"/>
      <c r="AB13826" s="38"/>
    </row>
    <row r="13827">
      <c r="P13827" s="42"/>
      <c r="AB13827" s="38"/>
    </row>
    <row r="13828">
      <c r="P13828" s="42"/>
      <c r="AB13828" s="38"/>
    </row>
    <row r="13829">
      <c r="P13829" s="42"/>
      <c r="AB13829" s="38"/>
    </row>
    <row r="13830">
      <c r="P13830" s="42"/>
      <c r="AB13830" s="38"/>
    </row>
    <row r="13831">
      <c r="P13831" s="42"/>
      <c r="AB13831" s="38"/>
    </row>
    <row r="13832">
      <c r="P13832" s="42"/>
      <c r="AB13832" s="38"/>
    </row>
    <row r="13833">
      <c r="P13833" s="42"/>
      <c r="AB13833" s="38"/>
    </row>
    <row r="13834">
      <c r="P13834" s="42"/>
      <c r="AB13834" s="38"/>
    </row>
    <row r="13835">
      <c r="P13835" s="42"/>
      <c r="AB13835" s="38"/>
    </row>
    <row r="13836">
      <c r="P13836" s="42"/>
      <c r="AB13836" s="38"/>
    </row>
    <row r="13837">
      <c r="P13837" s="42"/>
      <c r="AB13837" s="38"/>
    </row>
    <row r="13838">
      <c r="P13838" s="42"/>
      <c r="AB13838" s="38"/>
    </row>
    <row r="13839">
      <c r="P13839" s="42"/>
      <c r="AB13839" s="38"/>
    </row>
    <row r="13840">
      <c r="P13840" s="42"/>
      <c r="AB13840" s="38"/>
    </row>
    <row r="13841">
      <c r="P13841" s="42"/>
      <c r="AB13841" s="38"/>
    </row>
    <row r="13842">
      <c r="P13842" s="42"/>
      <c r="AB13842" s="38"/>
    </row>
    <row r="13843">
      <c r="P13843" s="42"/>
      <c r="AB13843" s="38"/>
    </row>
    <row r="13844">
      <c r="P13844" s="42"/>
      <c r="AB13844" s="38"/>
    </row>
    <row r="13845">
      <c r="P13845" s="42"/>
      <c r="AB13845" s="38"/>
    </row>
    <row r="13846">
      <c r="P13846" s="42"/>
      <c r="AB13846" s="38"/>
    </row>
    <row r="13847">
      <c r="P13847" s="42"/>
      <c r="AB13847" s="38"/>
    </row>
    <row r="13848">
      <c r="P13848" s="42"/>
      <c r="AB13848" s="38"/>
    </row>
    <row r="13849">
      <c r="P13849" s="42"/>
      <c r="AB13849" s="38"/>
    </row>
    <row r="13850">
      <c r="P13850" s="42"/>
      <c r="AB13850" s="38"/>
    </row>
    <row r="13851">
      <c r="P13851" s="42"/>
      <c r="AB13851" s="38"/>
    </row>
    <row r="13852">
      <c r="P13852" s="42"/>
      <c r="AB13852" s="38"/>
    </row>
    <row r="13853">
      <c r="P13853" s="42"/>
      <c r="AB13853" s="38"/>
    </row>
    <row r="13854">
      <c r="P13854" s="42"/>
      <c r="AB13854" s="38"/>
    </row>
    <row r="13855">
      <c r="P13855" s="42"/>
      <c r="AB13855" s="38"/>
    </row>
    <row r="13856">
      <c r="P13856" s="42"/>
      <c r="AB13856" s="38"/>
    </row>
    <row r="13857">
      <c r="P13857" s="42"/>
      <c r="AB13857" s="38"/>
    </row>
    <row r="13858">
      <c r="P13858" s="42"/>
      <c r="AB13858" s="38"/>
    </row>
    <row r="13859">
      <c r="P13859" s="42"/>
      <c r="AB13859" s="38"/>
    </row>
    <row r="13860">
      <c r="P13860" s="42"/>
      <c r="AB13860" s="38"/>
    </row>
    <row r="13861">
      <c r="P13861" s="42"/>
      <c r="AB13861" s="38"/>
    </row>
    <row r="13862">
      <c r="P13862" s="42"/>
      <c r="AB13862" s="38"/>
    </row>
    <row r="13863">
      <c r="P13863" s="42"/>
      <c r="AB13863" s="38"/>
    </row>
    <row r="13864">
      <c r="P13864" s="42"/>
      <c r="AB13864" s="38"/>
    </row>
    <row r="13865">
      <c r="P13865" s="42"/>
      <c r="AB13865" s="38"/>
    </row>
    <row r="13866">
      <c r="P13866" s="42"/>
      <c r="AB13866" s="38"/>
    </row>
    <row r="13867">
      <c r="P13867" s="42"/>
      <c r="AB13867" s="38"/>
    </row>
    <row r="13868">
      <c r="P13868" s="42"/>
      <c r="AB13868" s="38"/>
    </row>
    <row r="13869">
      <c r="P13869" s="42"/>
      <c r="AB13869" s="38"/>
    </row>
    <row r="13870">
      <c r="P13870" s="42"/>
      <c r="AB13870" s="38"/>
    </row>
    <row r="13871">
      <c r="P13871" s="42"/>
      <c r="AB13871" s="38"/>
    </row>
    <row r="13872">
      <c r="P13872" s="42"/>
      <c r="AB13872" s="38"/>
    </row>
    <row r="13873">
      <c r="P13873" s="42"/>
      <c r="AB13873" s="38"/>
    </row>
    <row r="13874">
      <c r="P13874" s="42"/>
      <c r="AB13874" s="38"/>
    </row>
    <row r="13875">
      <c r="P13875" s="42"/>
      <c r="AB13875" s="38"/>
    </row>
    <row r="13876">
      <c r="P13876" s="42"/>
      <c r="AB13876" s="38"/>
    </row>
    <row r="13877">
      <c r="P13877" s="42"/>
      <c r="AB13877" s="38"/>
    </row>
    <row r="13878">
      <c r="P13878" s="42"/>
      <c r="AB13878" s="38"/>
    </row>
    <row r="13879">
      <c r="P13879" s="42"/>
      <c r="AB13879" s="38"/>
    </row>
    <row r="13880">
      <c r="P13880" s="42"/>
      <c r="AB13880" s="38"/>
    </row>
    <row r="13881">
      <c r="P13881" s="42"/>
      <c r="AB13881" s="38"/>
    </row>
    <row r="13882">
      <c r="P13882" s="42"/>
      <c r="AB13882" s="38"/>
    </row>
    <row r="13883">
      <c r="P13883" s="42"/>
      <c r="AB13883" s="38"/>
    </row>
    <row r="13884">
      <c r="P13884" s="42"/>
      <c r="AB13884" s="38"/>
    </row>
    <row r="13885">
      <c r="P13885" s="42"/>
      <c r="AB13885" s="38"/>
    </row>
    <row r="13886">
      <c r="P13886" s="42"/>
      <c r="AB13886" s="38"/>
    </row>
    <row r="13887">
      <c r="P13887" s="42"/>
      <c r="AB13887" s="38"/>
    </row>
    <row r="13888">
      <c r="P13888" s="42"/>
      <c r="AB13888" s="38"/>
    </row>
    <row r="13889">
      <c r="P13889" s="42"/>
      <c r="AB13889" s="38"/>
    </row>
    <row r="13890">
      <c r="P13890" s="42"/>
      <c r="AB13890" s="38"/>
    </row>
    <row r="13891">
      <c r="P13891" s="42"/>
      <c r="AB13891" s="38"/>
    </row>
    <row r="13892">
      <c r="P13892" s="42"/>
      <c r="AB13892" s="38"/>
    </row>
    <row r="13893">
      <c r="P13893" s="42"/>
      <c r="AB13893" s="38"/>
    </row>
    <row r="13894">
      <c r="P13894" s="42"/>
      <c r="AB13894" s="38"/>
    </row>
    <row r="13895">
      <c r="P13895" s="42"/>
      <c r="AB13895" s="38"/>
    </row>
    <row r="13896">
      <c r="P13896" s="42"/>
      <c r="AB13896" s="38"/>
    </row>
    <row r="13897">
      <c r="P13897" s="42"/>
      <c r="AB13897" s="38"/>
    </row>
    <row r="13898">
      <c r="P13898" s="42"/>
      <c r="AB13898" s="38"/>
    </row>
    <row r="13899">
      <c r="P13899" s="42"/>
      <c r="AB13899" s="38"/>
    </row>
    <row r="13900">
      <c r="P13900" s="42"/>
      <c r="AB13900" s="38"/>
    </row>
    <row r="13901">
      <c r="P13901" s="42"/>
      <c r="AB13901" s="38"/>
    </row>
    <row r="13902">
      <c r="P13902" s="42"/>
      <c r="AB13902" s="38"/>
    </row>
    <row r="13903">
      <c r="P13903" s="42"/>
      <c r="AB13903" s="38"/>
    </row>
    <row r="13904">
      <c r="P13904" s="42"/>
      <c r="AB13904" s="38"/>
    </row>
    <row r="13905">
      <c r="P13905" s="42"/>
      <c r="AB13905" s="38"/>
    </row>
    <row r="13906">
      <c r="P13906" s="42"/>
      <c r="AB13906" s="38"/>
    </row>
    <row r="13907">
      <c r="P13907" s="42"/>
      <c r="AB13907" s="38"/>
    </row>
    <row r="13908">
      <c r="P13908" s="42"/>
      <c r="AB13908" s="38"/>
    </row>
    <row r="13909">
      <c r="P13909" s="42"/>
      <c r="AB13909" s="38"/>
    </row>
    <row r="13910">
      <c r="P13910" s="42"/>
      <c r="AB13910" s="38"/>
    </row>
    <row r="13911">
      <c r="P13911" s="42"/>
      <c r="AB13911" s="38"/>
    </row>
    <row r="13912">
      <c r="P13912" s="42"/>
      <c r="AB13912" s="38"/>
    </row>
    <row r="13913">
      <c r="P13913" s="42"/>
      <c r="AB13913" s="38"/>
    </row>
    <row r="13914">
      <c r="P13914" s="42"/>
      <c r="AB13914" s="38"/>
    </row>
    <row r="13915">
      <c r="P13915" s="42"/>
      <c r="AB13915" s="38"/>
    </row>
    <row r="13916">
      <c r="P13916" s="42"/>
      <c r="AB13916" s="38"/>
    </row>
    <row r="13917">
      <c r="P13917" s="42"/>
      <c r="AB13917" s="38"/>
    </row>
    <row r="13918">
      <c r="P13918" s="42"/>
      <c r="AB13918" s="38"/>
    </row>
    <row r="13919">
      <c r="P13919" s="42"/>
      <c r="AB13919" s="38"/>
    </row>
    <row r="13920">
      <c r="P13920" s="42"/>
      <c r="AB13920" s="38"/>
    </row>
    <row r="13921">
      <c r="P13921" s="42"/>
      <c r="AB13921" s="38"/>
    </row>
    <row r="13922">
      <c r="P13922" s="42"/>
      <c r="AB13922" s="38"/>
    </row>
    <row r="13923">
      <c r="P13923" s="42"/>
      <c r="AB13923" s="38"/>
    </row>
    <row r="13924">
      <c r="P13924" s="42"/>
      <c r="AB13924" s="38"/>
    </row>
    <row r="13925">
      <c r="P13925" s="42"/>
      <c r="AB13925" s="38"/>
    </row>
    <row r="13926">
      <c r="P13926" s="42"/>
      <c r="AB13926" s="38"/>
    </row>
    <row r="13927">
      <c r="P13927" s="42"/>
      <c r="AB13927" s="38"/>
    </row>
    <row r="13928">
      <c r="P13928" s="42"/>
      <c r="AB13928" s="38"/>
    </row>
    <row r="13929">
      <c r="P13929" s="42"/>
      <c r="AB13929" s="38"/>
    </row>
    <row r="13930">
      <c r="P13930" s="42"/>
      <c r="AB13930" s="38"/>
    </row>
    <row r="13931">
      <c r="P13931" s="42"/>
      <c r="AB13931" s="38"/>
    </row>
    <row r="13932">
      <c r="P13932" s="42"/>
      <c r="AB13932" s="38"/>
    </row>
    <row r="13933">
      <c r="P13933" s="42"/>
      <c r="AB13933" s="38"/>
    </row>
    <row r="13934">
      <c r="P13934" s="42"/>
      <c r="AB13934" s="38"/>
    </row>
    <row r="13935">
      <c r="P13935" s="42"/>
      <c r="AB13935" s="38"/>
    </row>
    <row r="13936">
      <c r="P13936" s="42"/>
      <c r="AB13936" s="38"/>
    </row>
    <row r="13937">
      <c r="P13937" s="42"/>
      <c r="AB13937" s="38"/>
    </row>
    <row r="13938">
      <c r="P13938" s="42"/>
      <c r="AB13938" s="38"/>
    </row>
    <row r="13939">
      <c r="P13939" s="42"/>
      <c r="AB13939" s="38"/>
    </row>
    <row r="13940">
      <c r="P13940" s="42"/>
      <c r="AB13940" s="38"/>
    </row>
    <row r="13941">
      <c r="P13941" s="42"/>
      <c r="AB13941" s="38"/>
    </row>
    <row r="13942">
      <c r="P13942" s="42"/>
      <c r="AB13942" s="38"/>
    </row>
    <row r="13943">
      <c r="P13943" s="42"/>
      <c r="AB13943" s="38"/>
    </row>
    <row r="13944">
      <c r="P13944" s="42"/>
      <c r="AB13944" s="38"/>
    </row>
    <row r="13945">
      <c r="P13945" s="42"/>
      <c r="AB13945" s="38"/>
    </row>
    <row r="13946">
      <c r="P13946" s="42"/>
      <c r="AB13946" s="38"/>
    </row>
    <row r="13947">
      <c r="P13947" s="42"/>
      <c r="AB13947" s="38"/>
    </row>
    <row r="13948">
      <c r="P13948" s="42"/>
      <c r="AB13948" s="38"/>
    </row>
    <row r="13949">
      <c r="P13949" s="42"/>
      <c r="AB13949" s="38"/>
    </row>
    <row r="13950">
      <c r="P13950" s="42"/>
      <c r="AB13950" s="38"/>
    </row>
    <row r="13951">
      <c r="P13951" s="42"/>
      <c r="AB13951" s="38"/>
    </row>
    <row r="13952">
      <c r="P13952" s="42"/>
      <c r="AB13952" s="38"/>
    </row>
    <row r="13953">
      <c r="P13953" s="42"/>
      <c r="AB13953" s="38"/>
    </row>
    <row r="13954">
      <c r="P13954" s="42"/>
      <c r="AB13954" s="38"/>
    </row>
    <row r="13955">
      <c r="P13955" s="42"/>
      <c r="AB13955" s="38"/>
    </row>
    <row r="13956">
      <c r="P13956" s="42"/>
      <c r="AB13956" s="38"/>
    </row>
    <row r="13957">
      <c r="P13957" s="42"/>
      <c r="AB13957" s="38"/>
    </row>
    <row r="13958">
      <c r="P13958" s="42"/>
      <c r="AB13958" s="38"/>
    </row>
    <row r="13959">
      <c r="P13959" s="42"/>
      <c r="AB13959" s="38"/>
    </row>
    <row r="13960">
      <c r="P13960" s="42"/>
      <c r="AB13960" s="38"/>
    </row>
    <row r="13961">
      <c r="P13961" s="42"/>
      <c r="AB13961" s="38"/>
    </row>
    <row r="13962">
      <c r="P13962" s="42"/>
      <c r="AB13962" s="38"/>
    </row>
    <row r="13963">
      <c r="P13963" s="42"/>
      <c r="AB13963" s="38"/>
    </row>
    <row r="13964">
      <c r="P13964" s="42"/>
      <c r="AB13964" s="38"/>
    </row>
    <row r="13965">
      <c r="P13965" s="42"/>
      <c r="AB13965" s="38"/>
    </row>
    <row r="13966">
      <c r="P13966" s="42"/>
      <c r="AB13966" s="38"/>
    </row>
    <row r="13967">
      <c r="P13967" s="42"/>
      <c r="AB13967" s="38"/>
    </row>
    <row r="13968">
      <c r="P13968" s="42"/>
      <c r="AB13968" s="38"/>
    </row>
    <row r="13969">
      <c r="P13969" s="42"/>
      <c r="AB13969" s="38"/>
    </row>
    <row r="13970">
      <c r="P13970" s="42"/>
      <c r="AB13970" s="38"/>
    </row>
    <row r="13971">
      <c r="P13971" s="42"/>
      <c r="AB13971" s="38"/>
    </row>
    <row r="13972">
      <c r="P13972" s="42"/>
      <c r="AB13972" s="38"/>
    </row>
    <row r="13973">
      <c r="P13973" s="42"/>
      <c r="AB13973" s="38"/>
    </row>
    <row r="13974">
      <c r="P13974" s="42"/>
      <c r="AB13974" s="38"/>
    </row>
    <row r="13975">
      <c r="P13975" s="42"/>
      <c r="AB13975" s="38"/>
    </row>
    <row r="13976">
      <c r="P13976" s="42"/>
      <c r="AB13976" s="38"/>
    </row>
    <row r="13977">
      <c r="P13977" s="42"/>
      <c r="AB13977" s="38"/>
    </row>
    <row r="13978">
      <c r="P13978" s="42"/>
      <c r="AB13978" s="38"/>
    </row>
    <row r="13979">
      <c r="P13979" s="42"/>
      <c r="AB13979" s="38"/>
    </row>
    <row r="13980">
      <c r="P13980" s="42"/>
      <c r="AB13980" s="38"/>
    </row>
    <row r="13981">
      <c r="P13981" s="42"/>
      <c r="AB13981" s="38"/>
    </row>
    <row r="13982">
      <c r="P13982" s="42"/>
      <c r="AB13982" s="38"/>
    </row>
    <row r="13983">
      <c r="P13983" s="42"/>
      <c r="AB13983" s="38"/>
    </row>
    <row r="13984">
      <c r="P13984" s="42"/>
      <c r="AB13984" s="38"/>
    </row>
    <row r="13985">
      <c r="P13985" s="42"/>
      <c r="AB13985" s="38"/>
    </row>
    <row r="13986">
      <c r="P13986" s="42"/>
      <c r="AB13986" s="38"/>
    </row>
    <row r="13987">
      <c r="P13987" s="42"/>
      <c r="AB13987" s="38"/>
    </row>
    <row r="13988">
      <c r="P13988" s="42"/>
      <c r="AB13988" s="38"/>
    </row>
    <row r="13989">
      <c r="P13989" s="42"/>
      <c r="AB13989" s="38"/>
    </row>
    <row r="13990">
      <c r="P13990" s="42"/>
      <c r="AB13990" s="38"/>
    </row>
    <row r="13991">
      <c r="P13991" s="42"/>
      <c r="AB13991" s="38"/>
    </row>
    <row r="13992">
      <c r="P13992" s="42"/>
      <c r="AB13992" s="38"/>
    </row>
    <row r="13993">
      <c r="P13993" s="42"/>
      <c r="AB13993" s="38"/>
    </row>
    <row r="13994">
      <c r="P13994" s="42"/>
      <c r="AB13994" s="38"/>
    </row>
    <row r="13995">
      <c r="P13995" s="42"/>
      <c r="AB13995" s="38"/>
    </row>
    <row r="13996">
      <c r="P13996" s="42"/>
      <c r="AB13996" s="38"/>
    </row>
    <row r="13997">
      <c r="P13997" s="42"/>
      <c r="AB13997" s="38"/>
    </row>
    <row r="13998">
      <c r="P13998" s="42"/>
      <c r="AB13998" s="38"/>
    </row>
    <row r="13999">
      <c r="P13999" s="42"/>
      <c r="AB13999" s="38"/>
    </row>
    <row r="14000">
      <c r="P14000" s="42"/>
      <c r="AB14000" s="38"/>
    </row>
    <row r="14001">
      <c r="P14001" s="42"/>
      <c r="AB14001" s="38"/>
    </row>
    <row r="14002">
      <c r="P14002" s="42"/>
      <c r="AB14002" s="38"/>
    </row>
    <row r="14003">
      <c r="P14003" s="42"/>
      <c r="AB14003" s="38"/>
    </row>
    <row r="14004">
      <c r="P14004" s="42"/>
      <c r="AB14004" s="38"/>
    </row>
    <row r="14005">
      <c r="P14005" s="42"/>
      <c r="AB14005" s="38"/>
    </row>
    <row r="14006">
      <c r="P14006" s="42"/>
      <c r="AB14006" s="38"/>
    </row>
    <row r="14007">
      <c r="P14007" s="42"/>
      <c r="AB14007" s="38"/>
    </row>
    <row r="14008">
      <c r="P14008" s="42"/>
      <c r="AB14008" s="38"/>
    </row>
    <row r="14009">
      <c r="P14009" s="42"/>
      <c r="AB14009" s="38"/>
    </row>
    <row r="14010">
      <c r="P14010" s="42"/>
      <c r="AB14010" s="38"/>
    </row>
    <row r="14011">
      <c r="P14011" s="42"/>
      <c r="AB14011" s="38"/>
    </row>
    <row r="14012">
      <c r="P14012" s="42"/>
      <c r="AB14012" s="38"/>
    </row>
    <row r="14013">
      <c r="P14013" s="42"/>
      <c r="AB14013" s="38"/>
    </row>
    <row r="14014">
      <c r="P14014" s="42"/>
      <c r="AB14014" s="38"/>
    </row>
    <row r="14015">
      <c r="P14015" s="42"/>
      <c r="AB14015" s="38"/>
    </row>
    <row r="14016">
      <c r="P14016" s="42"/>
      <c r="AB14016" s="38"/>
    </row>
    <row r="14017">
      <c r="P14017" s="42"/>
      <c r="AB14017" s="38"/>
    </row>
    <row r="14018">
      <c r="P14018" s="42"/>
      <c r="AB14018" s="38"/>
    </row>
    <row r="14019">
      <c r="P14019" s="42"/>
      <c r="AB14019" s="38"/>
    </row>
    <row r="14020">
      <c r="P14020" s="42"/>
      <c r="AB14020" s="38"/>
    </row>
    <row r="14021">
      <c r="P14021" s="42"/>
      <c r="AB14021" s="38"/>
    </row>
    <row r="14022">
      <c r="P14022" s="42"/>
      <c r="AB14022" s="38"/>
    </row>
    <row r="14023">
      <c r="P14023" s="42"/>
      <c r="AB14023" s="38"/>
    </row>
    <row r="14024">
      <c r="P14024" s="42"/>
      <c r="AB14024" s="38"/>
    </row>
    <row r="14025">
      <c r="P14025" s="42"/>
      <c r="AB14025" s="38"/>
    </row>
    <row r="14026">
      <c r="P14026" s="42"/>
      <c r="AB14026" s="38"/>
    </row>
    <row r="14027">
      <c r="P14027" s="42"/>
      <c r="AB14027" s="38"/>
    </row>
    <row r="14028">
      <c r="P14028" s="42"/>
      <c r="AB14028" s="38"/>
    </row>
    <row r="14029">
      <c r="P14029" s="42"/>
      <c r="AB14029" s="38"/>
    </row>
    <row r="14030">
      <c r="P14030" s="42"/>
      <c r="AB14030" s="38"/>
    </row>
    <row r="14031">
      <c r="P14031" s="42"/>
      <c r="AB14031" s="38"/>
    </row>
    <row r="14032">
      <c r="P14032" s="42"/>
      <c r="AB14032" s="38"/>
    </row>
    <row r="14033">
      <c r="P14033" s="42"/>
      <c r="AB14033" s="38"/>
    </row>
    <row r="14034">
      <c r="P14034" s="42"/>
      <c r="AB14034" s="38"/>
    </row>
    <row r="14035">
      <c r="P14035" s="42"/>
      <c r="AB14035" s="38"/>
    </row>
    <row r="14036">
      <c r="P14036" s="42"/>
      <c r="AB14036" s="38"/>
    </row>
    <row r="14037">
      <c r="P14037" s="42"/>
      <c r="AB14037" s="38"/>
    </row>
    <row r="14038">
      <c r="P14038" s="42"/>
      <c r="AB14038" s="38"/>
    </row>
    <row r="14039">
      <c r="P14039" s="42"/>
      <c r="AB14039" s="38"/>
    </row>
    <row r="14040">
      <c r="P14040" s="42"/>
      <c r="AB14040" s="38"/>
    </row>
    <row r="14041">
      <c r="P14041" s="42"/>
      <c r="AB14041" s="38"/>
    </row>
    <row r="14042">
      <c r="P14042" s="42"/>
      <c r="AB14042" s="38"/>
    </row>
    <row r="14043">
      <c r="P14043" s="42"/>
      <c r="AB14043" s="38"/>
    </row>
    <row r="14044">
      <c r="P14044" s="42"/>
      <c r="AB14044" s="38"/>
    </row>
    <row r="14045">
      <c r="P14045" s="42"/>
      <c r="AB14045" s="38"/>
    </row>
    <row r="14046">
      <c r="P14046" s="42"/>
      <c r="AB14046" s="38"/>
    </row>
    <row r="14047">
      <c r="P14047" s="42"/>
      <c r="AB14047" s="38"/>
    </row>
    <row r="14048">
      <c r="P14048" s="42"/>
      <c r="AB14048" s="38"/>
    </row>
    <row r="14049">
      <c r="P14049" s="42"/>
      <c r="AB14049" s="38"/>
    </row>
    <row r="14050">
      <c r="P14050" s="42"/>
      <c r="AB14050" s="38"/>
    </row>
    <row r="14051">
      <c r="P14051" s="42"/>
      <c r="AB14051" s="38"/>
    </row>
    <row r="14052">
      <c r="P14052" s="42"/>
      <c r="AB14052" s="38"/>
    </row>
    <row r="14053">
      <c r="P14053" s="42"/>
      <c r="AB14053" s="38"/>
    </row>
    <row r="14054">
      <c r="P14054" s="42"/>
      <c r="AB14054" s="38"/>
    </row>
    <row r="14055">
      <c r="P14055" s="42"/>
      <c r="AB14055" s="38"/>
    </row>
    <row r="14056">
      <c r="P14056" s="42"/>
      <c r="AB14056" s="38"/>
    </row>
    <row r="14057">
      <c r="P14057" s="42"/>
      <c r="AB14057" s="38"/>
    </row>
    <row r="14058">
      <c r="P14058" s="42"/>
      <c r="AB14058" s="38"/>
    </row>
    <row r="14059">
      <c r="P14059" s="42"/>
      <c r="AB14059" s="38"/>
    </row>
    <row r="14060">
      <c r="P14060" s="42"/>
      <c r="AB14060" s="38"/>
    </row>
    <row r="14061">
      <c r="P14061" s="42"/>
      <c r="AB14061" s="38"/>
    </row>
    <row r="14062">
      <c r="P14062" s="42"/>
      <c r="AB14062" s="38"/>
    </row>
    <row r="14063">
      <c r="P14063" s="42"/>
      <c r="AB14063" s="38"/>
    </row>
    <row r="14064">
      <c r="P14064" s="42"/>
      <c r="AB14064" s="38"/>
    </row>
    <row r="14065">
      <c r="P14065" s="42"/>
      <c r="AB14065" s="38"/>
    </row>
    <row r="14066">
      <c r="P14066" s="42"/>
      <c r="AB14066" s="38"/>
    </row>
    <row r="14067">
      <c r="P14067" s="42"/>
      <c r="AB14067" s="38"/>
    </row>
    <row r="14068">
      <c r="P14068" s="42"/>
      <c r="AB14068" s="38"/>
    </row>
    <row r="14069">
      <c r="P14069" s="42"/>
      <c r="AB14069" s="38"/>
    </row>
    <row r="14070">
      <c r="P14070" s="42"/>
      <c r="AB14070" s="38"/>
    </row>
    <row r="14071">
      <c r="P14071" s="42"/>
      <c r="AB14071" s="38"/>
    </row>
    <row r="14072">
      <c r="P14072" s="42"/>
      <c r="AB14072" s="38"/>
    </row>
    <row r="14073">
      <c r="P14073" s="42"/>
      <c r="AB14073" s="38"/>
    </row>
    <row r="14074">
      <c r="P14074" s="42"/>
      <c r="AB14074" s="38"/>
    </row>
    <row r="14075">
      <c r="P14075" s="42"/>
      <c r="AB14075" s="38"/>
    </row>
    <row r="14076">
      <c r="P14076" s="42"/>
      <c r="AB14076" s="38"/>
    </row>
    <row r="14077">
      <c r="P14077" s="42"/>
      <c r="AB14077" s="38"/>
    </row>
    <row r="14078">
      <c r="P14078" s="42"/>
      <c r="AB14078" s="38"/>
    </row>
    <row r="14079">
      <c r="P14079" s="42"/>
      <c r="AB14079" s="38"/>
    </row>
    <row r="14080">
      <c r="P14080" s="42"/>
      <c r="AB14080" s="38"/>
    </row>
    <row r="14081">
      <c r="P14081" s="42"/>
      <c r="AB14081" s="38"/>
    </row>
    <row r="14082">
      <c r="P14082" s="42"/>
      <c r="AB14082" s="38"/>
    </row>
    <row r="14083">
      <c r="P14083" s="42"/>
      <c r="AB14083" s="38"/>
    </row>
    <row r="14084">
      <c r="P14084" s="42"/>
      <c r="AB14084" s="38"/>
    </row>
    <row r="14085">
      <c r="P14085" s="42"/>
      <c r="AB14085" s="38"/>
    </row>
    <row r="14086">
      <c r="P14086" s="42"/>
      <c r="AB14086" s="38"/>
    </row>
    <row r="14087">
      <c r="P14087" s="42"/>
      <c r="AB14087" s="38"/>
    </row>
    <row r="14088">
      <c r="P14088" s="42"/>
      <c r="AB14088" s="38"/>
    </row>
    <row r="14089">
      <c r="P14089" s="42"/>
      <c r="AB14089" s="38"/>
    </row>
    <row r="14090">
      <c r="P14090" s="42"/>
      <c r="AB14090" s="38"/>
    </row>
    <row r="14091">
      <c r="P14091" s="42"/>
      <c r="AB14091" s="38"/>
    </row>
    <row r="14092">
      <c r="P14092" s="42"/>
      <c r="AB14092" s="38"/>
    </row>
    <row r="14093">
      <c r="P14093" s="42"/>
      <c r="AB14093" s="38"/>
    </row>
    <row r="14094">
      <c r="P14094" s="42"/>
      <c r="AB14094" s="38"/>
    </row>
    <row r="14095">
      <c r="P14095" s="42"/>
      <c r="AB14095" s="38"/>
    </row>
    <row r="14096">
      <c r="P14096" s="42"/>
      <c r="AB14096" s="38"/>
    </row>
    <row r="14097">
      <c r="P14097" s="42"/>
      <c r="AB14097" s="38"/>
    </row>
    <row r="14098">
      <c r="P14098" s="42"/>
      <c r="AB14098" s="38"/>
    </row>
    <row r="14099">
      <c r="P14099" s="42"/>
      <c r="AB14099" s="38"/>
    </row>
    <row r="14100">
      <c r="P14100" s="42"/>
      <c r="AB14100" s="38"/>
    </row>
    <row r="14101">
      <c r="P14101" s="42"/>
      <c r="AB14101" s="38"/>
    </row>
    <row r="14102">
      <c r="P14102" s="42"/>
      <c r="AB14102" s="38"/>
    </row>
    <row r="14103">
      <c r="P14103" s="42"/>
      <c r="AB14103" s="38"/>
    </row>
    <row r="14104">
      <c r="P14104" s="42"/>
      <c r="AB14104" s="38"/>
    </row>
    <row r="14105">
      <c r="P14105" s="42"/>
      <c r="AB14105" s="38"/>
    </row>
    <row r="14106">
      <c r="P14106" s="42"/>
      <c r="AB14106" s="38"/>
    </row>
    <row r="14107">
      <c r="P14107" s="42"/>
      <c r="AB14107" s="38"/>
    </row>
    <row r="14108">
      <c r="P14108" s="42"/>
      <c r="AB14108" s="38"/>
    </row>
    <row r="14109">
      <c r="P14109" s="42"/>
      <c r="AB14109" s="38"/>
    </row>
    <row r="14110">
      <c r="P14110" s="42"/>
      <c r="AB14110" s="38"/>
    </row>
    <row r="14111">
      <c r="P14111" s="42"/>
      <c r="AB14111" s="38"/>
    </row>
    <row r="14112">
      <c r="P14112" s="42"/>
      <c r="AB14112" s="38"/>
    </row>
    <row r="14113">
      <c r="P14113" s="42"/>
      <c r="AB14113" s="38"/>
    </row>
    <row r="14114">
      <c r="P14114" s="42"/>
      <c r="AB14114" s="38"/>
    </row>
    <row r="14115">
      <c r="P14115" s="42"/>
      <c r="AB14115" s="38"/>
    </row>
    <row r="14116">
      <c r="P14116" s="42"/>
      <c r="AB14116" s="38"/>
    </row>
    <row r="14117">
      <c r="P14117" s="42"/>
      <c r="AB14117" s="38"/>
    </row>
    <row r="14118">
      <c r="P14118" s="42"/>
      <c r="AB14118" s="38"/>
    </row>
    <row r="14119">
      <c r="P14119" s="42"/>
      <c r="AB14119" s="38"/>
    </row>
    <row r="14120">
      <c r="P14120" s="42"/>
      <c r="AB14120" s="38"/>
    </row>
    <row r="14121">
      <c r="P14121" s="42"/>
      <c r="AB14121" s="38"/>
    </row>
    <row r="14122">
      <c r="P14122" s="42"/>
      <c r="AB14122" s="38"/>
    </row>
    <row r="14123">
      <c r="P14123" s="42"/>
      <c r="AB14123" s="38"/>
    </row>
    <row r="14124">
      <c r="P14124" s="42"/>
      <c r="AB14124" s="38"/>
    </row>
    <row r="14125">
      <c r="P14125" s="42"/>
      <c r="AB14125" s="38"/>
    </row>
    <row r="14126">
      <c r="P14126" s="42"/>
      <c r="AB14126" s="38"/>
    </row>
    <row r="14127">
      <c r="P14127" s="42"/>
      <c r="AB14127" s="38"/>
    </row>
    <row r="14128">
      <c r="P14128" s="42"/>
      <c r="AB14128" s="38"/>
    </row>
    <row r="14129">
      <c r="P14129" s="42"/>
      <c r="AB14129" s="38"/>
    </row>
    <row r="14130">
      <c r="P14130" s="42"/>
      <c r="AB14130" s="38"/>
    </row>
    <row r="14131">
      <c r="P14131" s="42"/>
      <c r="AB14131" s="38"/>
    </row>
    <row r="14132">
      <c r="P14132" s="42"/>
      <c r="AB14132" s="38"/>
    </row>
    <row r="14133">
      <c r="P14133" s="42"/>
      <c r="AB14133" s="38"/>
    </row>
    <row r="14134">
      <c r="P14134" s="42"/>
      <c r="AB14134" s="38"/>
    </row>
    <row r="14135">
      <c r="P14135" s="42"/>
      <c r="AB14135" s="38"/>
    </row>
    <row r="14136">
      <c r="P14136" s="42"/>
      <c r="AB14136" s="38"/>
    </row>
    <row r="14137">
      <c r="P14137" s="42"/>
      <c r="AB14137" s="38"/>
    </row>
    <row r="14138">
      <c r="P14138" s="42"/>
      <c r="AB14138" s="38"/>
    </row>
    <row r="14139">
      <c r="P14139" s="42"/>
      <c r="AB14139" s="38"/>
    </row>
    <row r="14140">
      <c r="P14140" s="42"/>
      <c r="AB14140" s="38"/>
    </row>
    <row r="14141">
      <c r="P14141" s="42"/>
      <c r="AB14141" s="38"/>
    </row>
    <row r="14142">
      <c r="P14142" s="42"/>
      <c r="AB14142" s="38"/>
    </row>
    <row r="14143">
      <c r="P14143" s="42"/>
      <c r="AB14143" s="38"/>
    </row>
    <row r="14144">
      <c r="P14144" s="42"/>
      <c r="AB14144" s="38"/>
    </row>
    <row r="14145">
      <c r="P14145" s="42"/>
      <c r="AB14145" s="38"/>
    </row>
    <row r="14146">
      <c r="P14146" s="42"/>
      <c r="AB14146" s="38"/>
    </row>
    <row r="14147">
      <c r="P14147" s="42"/>
      <c r="AB14147" s="38"/>
    </row>
    <row r="14148">
      <c r="P14148" s="42"/>
      <c r="AB14148" s="38"/>
    </row>
    <row r="14149">
      <c r="P14149" s="42"/>
      <c r="AB14149" s="38"/>
    </row>
    <row r="14150">
      <c r="P14150" s="42"/>
      <c r="AB14150" s="38"/>
    </row>
    <row r="14151">
      <c r="P14151" s="42"/>
      <c r="AB14151" s="38"/>
    </row>
    <row r="14152">
      <c r="P14152" s="42"/>
      <c r="AB14152" s="38"/>
    </row>
    <row r="14153">
      <c r="P14153" s="42"/>
      <c r="AB14153" s="38"/>
    </row>
    <row r="14154">
      <c r="P14154" s="42"/>
      <c r="AB14154" s="38"/>
    </row>
    <row r="14155">
      <c r="P14155" s="42"/>
      <c r="AB14155" s="38"/>
    </row>
    <row r="14156">
      <c r="P14156" s="42"/>
      <c r="AB14156" s="38"/>
    </row>
    <row r="14157">
      <c r="P14157" s="42"/>
      <c r="AB14157" s="38"/>
    </row>
    <row r="14158">
      <c r="P14158" s="42"/>
      <c r="AB14158" s="38"/>
    </row>
    <row r="14159">
      <c r="P14159" s="42"/>
      <c r="AB14159" s="38"/>
    </row>
    <row r="14160">
      <c r="P14160" s="42"/>
      <c r="AB14160" s="38"/>
    </row>
    <row r="14161">
      <c r="P14161" s="42"/>
      <c r="AB14161" s="38"/>
    </row>
    <row r="14162">
      <c r="P14162" s="42"/>
      <c r="AB14162" s="38"/>
    </row>
    <row r="14163">
      <c r="P14163" s="42"/>
      <c r="AB14163" s="38"/>
    </row>
    <row r="14164">
      <c r="P14164" s="42"/>
      <c r="AB14164" s="38"/>
    </row>
    <row r="14165">
      <c r="P14165" s="42"/>
      <c r="AB14165" s="38"/>
    </row>
    <row r="14166">
      <c r="P14166" s="42"/>
      <c r="AB14166" s="38"/>
    </row>
    <row r="14167">
      <c r="P14167" s="42"/>
      <c r="AB14167" s="38"/>
    </row>
    <row r="14168">
      <c r="P14168" s="42"/>
      <c r="AB14168" s="38"/>
    </row>
    <row r="14169">
      <c r="P14169" s="42"/>
      <c r="AB14169" s="38"/>
    </row>
    <row r="14170">
      <c r="P14170" s="42"/>
      <c r="AB14170" s="38"/>
    </row>
    <row r="14171">
      <c r="P14171" s="42"/>
      <c r="AB14171" s="38"/>
    </row>
    <row r="14172">
      <c r="P14172" s="42"/>
      <c r="AB14172" s="38"/>
    </row>
    <row r="14173">
      <c r="P14173" s="42"/>
      <c r="AB14173" s="38"/>
    </row>
    <row r="14174">
      <c r="P14174" s="42"/>
      <c r="AB14174" s="38"/>
    </row>
    <row r="14175">
      <c r="P14175" s="42"/>
      <c r="AB14175" s="38"/>
    </row>
    <row r="14176">
      <c r="P14176" s="42"/>
      <c r="AB14176" s="38"/>
    </row>
    <row r="14177">
      <c r="P14177" s="42"/>
      <c r="AB14177" s="38"/>
    </row>
    <row r="14178">
      <c r="P14178" s="42"/>
      <c r="AB14178" s="38"/>
    </row>
    <row r="14179">
      <c r="P14179" s="42"/>
      <c r="AB14179" s="38"/>
    </row>
    <row r="14180">
      <c r="P14180" s="42"/>
      <c r="AB14180" s="38"/>
    </row>
    <row r="14181">
      <c r="P14181" s="42"/>
      <c r="AB14181" s="38"/>
    </row>
    <row r="14182">
      <c r="P14182" s="42"/>
      <c r="AB14182" s="38"/>
    </row>
    <row r="14183">
      <c r="P14183" s="42"/>
      <c r="AB14183" s="38"/>
    </row>
    <row r="14184">
      <c r="P14184" s="42"/>
      <c r="AB14184" s="38"/>
    </row>
    <row r="14185">
      <c r="P14185" s="42"/>
      <c r="AB14185" s="38"/>
    </row>
    <row r="14186">
      <c r="P14186" s="42"/>
      <c r="AB14186" s="38"/>
    </row>
    <row r="14187">
      <c r="P14187" s="42"/>
      <c r="AB14187" s="38"/>
    </row>
    <row r="14188">
      <c r="P14188" s="42"/>
      <c r="AB14188" s="38"/>
    </row>
    <row r="14189">
      <c r="P14189" s="42"/>
      <c r="AB14189" s="38"/>
    </row>
    <row r="14190">
      <c r="P14190" s="42"/>
      <c r="AB14190" s="38"/>
    </row>
    <row r="14191">
      <c r="P14191" s="42"/>
      <c r="AB14191" s="38"/>
    </row>
    <row r="14192">
      <c r="P14192" s="42"/>
      <c r="AB14192" s="38"/>
    </row>
    <row r="14193">
      <c r="P14193" s="42"/>
      <c r="AB14193" s="38"/>
    </row>
    <row r="14194">
      <c r="P14194" s="42"/>
      <c r="AB14194" s="38"/>
    </row>
    <row r="14195">
      <c r="P14195" s="42"/>
      <c r="AB14195" s="38"/>
    </row>
    <row r="14196">
      <c r="P14196" s="42"/>
      <c r="AB14196" s="38"/>
    </row>
    <row r="14197">
      <c r="P14197" s="42"/>
      <c r="AB14197" s="38"/>
    </row>
    <row r="14198">
      <c r="P14198" s="42"/>
      <c r="AB14198" s="38"/>
    </row>
    <row r="14199">
      <c r="P14199" s="42"/>
      <c r="AB14199" s="38"/>
    </row>
    <row r="14200">
      <c r="P14200" s="42"/>
      <c r="AB14200" s="38"/>
    </row>
    <row r="14201">
      <c r="P14201" s="42"/>
      <c r="AB14201" s="38"/>
    </row>
    <row r="14202">
      <c r="P14202" s="42"/>
      <c r="AB14202" s="38"/>
    </row>
    <row r="14203">
      <c r="P14203" s="42"/>
      <c r="AB14203" s="38"/>
    </row>
    <row r="14204">
      <c r="P14204" s="42"/>
      <c r="AB14204" s="38"/>
    </row>
    <row r="14205">
      <c r="P14205" s="42"/>
      <c r="AB14205" s="38"/>
    </row>
    <row r="14206">
      <c r="P14206" s="42"/>
      <c r="AB14206" s="38"/>
    </row>
    <row r="14207">
      <c r="P14207" s="42"/>
      <c r="AB14207" s="38"/>
    </row>
    <row r="14208">
      <c r="P14208" s="42"/>
      <c r="AB14208" s="38"/>
    </row>
    <row r="14209">
      <c r="P14209" s="42"/>
      <c r="AB14209" s="38"/>
    </row>
    <row r="14210">
      <c r="P14210" s="42"/>
      <c r="AB14210" s="38"/>
    </row>
    <row r="14211">
      <c r="P14211" s="42"/>
      <c r="AB14211" s="38"/>
    </row>
    <row r="14212">
      <c r="P14212" s="42"/>
      <c r="AB14212" s="38"/>
    </row>
    <row r="14213">
      <c r="P14213" s="42"/>
      <c r="AB14213" s="38"/>
    </row>
    <row r="14214">
      <c r="P14214" s="42"/>
      <c r="AB14214" s="38"/>
    </row>
    <row r="14215">
      <c r="P14215" s="42"/>
      <c r="AB14215" s="38"/>
    </row>
    <row r="14216">
      <c r="P14216" s="42"/>
      <c r="AB14216" s="38"/>
    </row>
    <row r="14217">
      <c r="P14217" s="42"/>
      <c r="AB14217" s="38"/>
    </row>
    <row r="14218">
      <c r="P14218" s="42"/>
      <c r="AB14218" s="38"/>
    </row>
    <row r="14219">
      <c r="P14219" s="42"/>
      <c r="AB14219" s="38"/>
    </row>
    <row r="14220">
      <c r="P14220" s="42"/>
      <c r="AB14220" s="38"/>
    </row>
    <row r="14221">
      <c r="P14221" s="42"/>
      <c r="AB14221" s="38"/>
    </row>
    <row r="14222">
      <c r="P14222" s="42"/>
      <c r="AB14222" s="38"/>
    </row>
    <row r="14223">
      <c r="P14223" s="42"/>
      <c r="AB14223" s="38"/>
    </row>
    <row r="14224">
      <c r="P14224" s="42"/>
      <c r="AB14224" s="38"/>
    </row>
    <row r="14225">
      <c r="P14225" s="42"/>
      <c r="AB14225" s="38"/>
    </row>
    <row r="14226">
      <c r="P14226" s="42"/>
      <c r="AB14226" s="38"/>
    </row>
    <row r="14227">
      <c r="P14227" s="42"/>
      <c r="AB14227" s="38"/>
    </row>
    <row r="14228">
      <c r="P14228" s="42"/>
      <c r="AB14228" s="38"/>
    </row>
    <row r="14229">
      <c r="P14229" s="42"/>
      <c r="AB14229" s="38"/>
    </row>
    <row r="14230">
      <c r="P14230" s="42"/>
      <c r="AB14230" s="38"/>
    </row>
    <row r="14231">
      <c r="P14231" s="42"/>
      <c r="AB14231" s="38"/>
    </row>
    <row r="14232">
      <c r="P14232" s="42"/>
      <c r="AB14232" s="38"/>
    </row>
    <row r="14233">
      <c r="P14233" s="42"/>
      <c r="AB14233" s="38"/>
    </row>
    <row r="14234">
      <c r="P14234" s="42"/>
      <c r="AB14234" s="38"/>
    </row>
    <row r="14235">
      <c r="P14235" s="42"/>
      <c r="AB14235" s="38"/>
    </row>
    <row r="14236">
      <c r="P14236" s="42"/>
      <c r="AB14236" s="38"/>
    </row>
    <row r="14237">
      <c r="P14237" s="42"/>
      <c r="AB14237" s="38"/>
    </row>
    <row r="14238">
      <c r="P14238" s="42"/>
      <c r="AB14238" s="38"/>
    </row>
    <row r="14239">
      <c r="P14239" s="42"/>
      <c r="AB14239" s="38"/>
    </row>
    <row r="14240">
      <c r="P14240" s="42"/>
      <c r="AB14240" s="38"/>
    </row>
    <row r="14241">
      <c r="P14241" s="42"/>
      <c r="AB14241" s="38"/>
    </row>
    <row r="14242">
      <c r="P14242" s="42"/>
      <c r="AB14242" s="38"/>
    </row>
    <row r="14243">
      <c r="P14243" s="42"/>
      <c r="AB14243" s="38"/>
    </row>
    <row r="14244">
      <c r="P14244" s="42"/>
      <c r="AB14244" s="38"/>
    </row>
    <row r="14245">
      <c r="P14245" s="42"/>
      <c r="AB14245" s="38"/>
    </row>
    <row r="14246">
      <c r="P14246" s="42"/>
      <c r="AB14246" s="38"/>
    </row>
    <row r="14247">
      <c r="P14247" s="42"/>
      <c r="AB14247" s="38"/>
    </row>
    <row r="14248">
      <c r="P14248" s="42"/>
      <c r="AB14248" s="38"/>
    </row>
    <row r="14249">
      <c r="P14249" s="42"/>
      <c r="AB14249" s="38"/>
    </row>
    <row r="14250">
      <c r="P14250" s="42"/>
      <c r="AB14250" s="38"/>
    </row>
    <row r="14251">
      <c r="P14251" s="42"/>
      <c r="AB14251" s="38"/>
    </row>
    <row r="14252">
      <c r="P14252" s="42"/>
      <c r="AB14252" s="38"/>
    </row>
    <row r="14253">
      <c r="P14253" s="42"/>
      <c r="AB14253" s="38"/>
    </row>
    <row r="14254">
      <c r="P14254" s="42"/>
      <c r="AB14254" s="38"/>
    </row>
    <row r="14255">
      <c r="P14255" s="42"/>
      <c r="AB14255" s="38"/>
    </row>
    <row r="14256">
      <c r="P14256" s="42"/>
      <c r="AB14256" s="38"/>
    </row>
    <row r="14257">
      <c r="P14257" s="42"/>
      <c r="AB14257" s="38"/>
    </row>
    <row r="14258">
      <c r="P14258" s="42"/>
      <c r="AB14258" s="38"/>
    </row>
    <row r="14259">
      <c r="P14259" s="42"/>
      <c r="AB14259" s="38"/>
    </row>
    <row r="14260">
      <c r="P14260" s="42"/>
      <c r="AB14260" s="38"/>
    </row>
    <row r="14261">
      <c r="P14261" s="42"/>
      <c r="AB14261" s="38"/>
    </row>
    <row r="14262">
      <c r="P14262" s="42"/>
      <c r="AB14262" s="38"/>
    </row>
    <row r="14263">
      <c r="P14263" s="42"/>
      <c r="AB14263" s="38"/>
    </row>
    <row r="14264">
      <c r="P14264" s="42"/>
      <c r="AB14264" s="38"/>
    </row>
    <row r="14265">
      <c r="P14265" s="42"/>
      <c r="AB14265" s="38"/>
    </row>
    <row r="14266">
      <c r="P14266" s="42"/>
      <c r="AB14266" s="38"/>
    </row>
    <row r="14267">
      <c r="P14267" s="42"/>
      <c r="AB14267" s="38"/>
    </row>
    <row r="14268">
      <c r="P14268" s="42"/>
      <c r="AB14268" s="38"/>
    </row>
    <row r="14269">
      <c r="P14269" s="42"/>
      <c r="AB14269" s="38"/>
    </row>
    <row r="14270">
      <c r="P14270" s="42"/>
      <c r="AB14270" s="38"/>
    </row>
    <row r="14271">
      <c r="P14271" s="42"/>
      <c r="AB14271" s="38"/>
    </row>
    <row r="14272">
      <c r="P14272" s="42"/>
      <c r="AB14272" s="38"/>
    </row>
    <row r="14273">
      <c r="P14273" s="42"/>
      <c r="AB14273" s="38"/>
    </row>
    <row r="14274">
      <c r="P14274" s="42"/>
      <c r="AB14274" s="38"/>
    </row>
    <row r="14275">
      <c r="P14275" s="42"/>
      <c r="AB14275" s="38"/>
    </row>
    <row r="14276">
      <c r="P14276" s="42"/>
      <c r="AB14276" s="38"/>
    </row>
    <row r="14277">
      <c r="P14277" s="42"/>
      <c r="AB14277" s="38"/>
    </row>
    <row r="14278">
      <c r="P14278" s="42"/>
      <c r="AB14278" s="38"/>
    </row>
    <row r="14279">
      <c r="P14279" s="42"/>
      <c r="AB14279" s="38"/>
    </row>
    <row r="14280">
      <c r="P14280" s="42"/>
      <c r="AB14280" s="38"/>
    </row>
    <row r="14281">
      <c r="P14281" s="42"/>
      <c r="AB14281" s="38"/>
    </row>
    <row r="14282">
      <c r="P14282" s="42"/>
      <c r="AB14282" s="38"/>
    </row>
    <row r="14283">
      <c r="P14283" s="42"/>
      <c r="AB14283" s="38"/>
    </row>
    <row r="14284">
      <c r="P14284" s="42"/>
      <c r="AB14284" s="38"/>
    </row>
    <row r="14285">
      <c r="P14285" s="42"/>
      <c r="AB14285" s="38"/>
    </row>
    <row r="14286">
      <c r="P14286" s="42"/>
      <c r="AB14286" s="38"/>
    </row>
    <row r="14287">
      <c r="P14287" s="42"/>
      <c r="AB14287" s="38"/>
    </row>
    <row r="14288">
      <c r="P14288" s="42"/>
      <c r="AB14288" s="38"/>
    </row>
    <row r="14289">
      <c r="P14289" s="42"/>
      <c r="AB14289" s="38"/>
    </row>
    <row r="14290">
      <c r="P14290" s="42"/>
      <c r="AB14290" s="38"/>
    </row>
    <row r="14291">
      <c r="P14291" s="42"/>
      <c r="AB14291" s="38"/>
    </row>
    <row r="14292">
      <c r="P14292" s="42"/>
      <c r="AB14292" s="38"/>
    </row>
    <row r="14293">
      <c r="P14293" s="42"/>
      <c r="AB14293" s="38"/>
    </row>
    <row r="14294">
      <c r="P14294" s="42"/>
      <c r="AB14294" s="38"/>
    </row>
    <row r="14295">
      <c r="P14295" s="42"/>
      <c r="AB14295" s="38"/>
    </row>
    <row r="14296">
      <c r="P14296" s="42"/>
      <c r="AB14296" s="38"/>
    </row>
    <row r="14297">
      <c r="P14297" s="42"/>
      <c r="AB14297" s="38"/>
    </row>
    <row r="14298">
      <c r="P14298" s="42"/>
      <c r="AB14298" s="38"/>
    </row>
    <row r="14299">
      <c r="P14299" s="42"/>
      <c r="AB14299" s="38"/>
    </row>
    <row r="14300">
      <c r="P14300" s="42"/>
      <c r="AB14300" s="38"/>
    </row>
    <row r="14301">
      <c r="P14301" s="42"/>
      <c r="AB14301" s="38"/>
    </row>
    <row r="14302">
      <c r="P14302" s="42"/>
      <c r="AB14302" s="38"/>
    </row>
    <row r="14303">
      <c r="P14303" s="42"/>
      <c r="AB14303" s="38"/>
    </row>
    <row r="14304">
      <c r="P14304" s="42"/>
      <c r="AB14304" s="38"/>
    </row>
    <row r="14305">
      <c r="P14305" s="42"/>
      <c r="AB14305" s="38"/>
    </row>
    <row r="14306">
      <c r="P14306" s="42"/>
      <c r="AB14306" s="38"/>
    </row>
    <row r="14307">
      <c r="P14307" s="42"/>
      <c r="AB14307" s="38"/>
    </row>
    <row r="14308">
      <c r="P14308" s="42"/>
      <c r="AB14308" s="38"/>
    </row>
    <row r="14309">
      <c r="P14309" s="42"/>
      <c r="AB14309" s="38"/>
    </row>
    <row r="14310">
      <c r="P14310" s="42"/>
      <c r="AB14310" s="38"/>
    </row>
    <row r="14311">
      <c r="P14311" s="42"/>
      <c r="AB14311" s="38"/>
    </row>
    <row r="14312">
      <c r="P14312" s="42"/>
      <c r="AB14312" s="38"/>
    </row>
    <row r="14313">
      <c r="P14313" s="42"/>
      <c r="AB14313" s="38"/>
    </row>
    <row r="14314">
      <c r="P14314" s="42"/>
      <c r="AB14314" s="38"/>
    </row>
    <row r="14315">
      <c r="P14315" s="42"/>
      <c r="AB14315" s="38"/>
    </row>
    <row r="14316">
      <c r="P14316" s="42"/>
      <c r="AB14316" s="38"/>
    </row>
    <row r="14317">
      <c r="P14317" s="42"/>
      <c r="AB14317" s="38"/>
    </row>
    <row r="14318">
      <c r="P14318" s="42"/>
      <c r="AB14318" s="38"/>
    </row>
    <row r="14319">
      <c r="P14319" s="42"/>
      <c r="AB14319" s="38"/>
    </row>
    <row r="14320">
      <c r="P14320" s="42"/>
      <c r="AB14320" s="38"/>
    </row>
    <row r="14321">
      <c r="P14321" s="42"/>
      <c r="AB14321" s="38"/>
    </row>
    <row r="14322">
      <c r="P14322" s="42"/>
      <c r="AB14322" s="38"/>
    </row>
    <row r="14323">
      <c r="P14323" s="42"/>
      <c r="AB14323" s="38"/>
    </row>
    <row r="14324">
      <c r="P14324" s="42"/>
      <c r="AB14324" s="38"/>
    </row>
    <row r="14325">
      <c r="P14325" s="42"/>
      <c r="AB14325" s="38"/>
    </row>
    <row r="14326">
      <c r="P14326" s="42"/>
      <c r="AB14326" s="38"/>
    </row>
    <row r="14327">
      <c r="P14327" s="42"/>
      <c r="AB14327" s="38"/>
    </row>
    <row r="14328">
      <c r="P14328" s="42"/>
      <c r="AB14328" s="38"/>
    </row>
    <row r="14329">
      <c r="P14329" s="42"/>
      <c r="AB14329" s="38"/>
    </row>
    <row r="14330">
      <c r="P14330" s="42"/>
      <c r="AB14330" s="38"/>
    </row>
    <row r="14331">
      <c r="P14331" s="42"/>
      <c r="AB14331" s="38"/>
    </row>
    <row r="14332">
      <c r="P14332" s="42"/>
      <c r="AB14332" s="38"/>
    </row>
    <row r="14333">
      <c r="P14333" s="42"/>
      <c r="AB14333" s="38"/>
    </row>
    <row r="14334">
      <c r="P14334" s="42"/>
      <c r="AB14334" s="38"/>
    </row>
    <row r="14335">
      <c r="P14335" s="42"/>
      <c r="AB14335" s="38"/>
    </row>
    <row r="14336">
      <c r="P14336" s="42"/>
      <c r="AB14336" s="38"/>
    </row>
    <row r="14337">
      <c r="P14337" s="42"/>
      <c r="AB14337" s="38"/>
    </row>
    <row r="14338">
      <c r="P14338" s="42"/>
      <c r="AB14338" s="38"/>
    </row>
    <row r="14339">
      <c r="P14339" s="42"/>
      <c r="AB14339" s="38"/>
    </row>
    <row r="14340">
      <c r="P14340" s="42"/>
      <c r="AB14340" s="38"/>
    </row>
    <row r="14341">
      <c r="P14341" s="42"/>
      <c r="AB14341" s="38"/>
    </row>
    <row r="14342">
      <c r="P14342" s="42"/>
      <c r="AB14342" s="38"/>
    </row>
    <row r="14343">
      <c r="P14343" s="42"/>
      <c r="AB14343" s="38"/>
    </row>
    <row r="14344">
      <c r="P14344" s="42"/>
      <c r="AB14344" s="38"/>
    </row>
    <row r="14345">
      <c r="P14345" s="42"/>
      <c r="AB14345" s="38"/>
    </row>
    <row r="14346">
      <c r="P14346" s="42"/>
      <c r="AB14346" s="38"/>
    </row>
    <row r="14347">
      <c r="P14347" s="42"/>
      <c r="AB14347" s="38"/>
    </row>
    <row r="14348">
      <c r="P14348" s="42"/>
      <c r="AB14348" s="38"/>
    </row>
    <row r="14349">
      <c r="P14349" s="42"/>
      <c r="AB14349" s="38"/>
    </row>
    <row r="14350">
      <c r="P14350" s="42"/>
      <c r="AB14350" s="38"/>
    </row>
    <row r="14351">
      <c r="P14351" s="42"/>
      <c r="AB14351" s="38"/>
    </row>
    <row r="14352">
      <c r="P14352" s="42"/>
      <c r="AB14352" s="38"/>
    </row>
    <row r="14353">
      <c r="P14353" s="42"/>
      <c r="AB14353" s="38"/>
    </row>
    <row r="14354">
      <c r="P14354" s="42"/>
      <c r="AB14354" s="38"/>
    </row>
    <row r="14355">
      <c r="P14355" s="42"/>
      <c r="AB14355" s="38"/>
    </row>
    <row r="14356">
      <c r="P14356" s="42"/>
      <c r="AB14356" s="38"/>
    </row>
    <row r="14357">
      <c r="P14357" s="42"/>
      <c r="AB14357" s="38"/>
    </row>
    <row r="14358">
      <c r="P14358" s="42"/>
      <c r="AB14358" s="38"/>
    </row>
    <row r="14359">
      <c r="P14359" s="42"/>
      <c r="AB14359" s="38"/>
    </row>
    <row r="14360">
      <c r="P14360" s="42"/>
      <c r="AB14360" s="38"/>
    </row>
    <row r="14361">
      <c r="P14361" s="42"/>
      <c r="AB14361" s="38"/>
    </row>
    <row r="14362">
      <c r="P14362" s="42"/>
      <c r="AB14362" s="38"/>
    </row>
    <row r="14363">
      <c r="P14363" s="42"/>
      <c r="AB14363" s="38"/>
    </row>
    <row r="14364">
      <c r="P14364" s="42"/>
      <c r="AB14364" s="38"/>
    </row>
    <row r="14365">
      <c r="P14365" s="42"/>
      <c r="AB14365" s="38"/>
    </row>
    <row r="14366">
      <c r="P14366" s="42"/>
      <c r="AB14366" s="38"/>
    </row>
    <row r="14367">
      <c r="P14367" s="42"/>
      <c r="AB14367" s="38"/>
    </row>
    <row r="14368">
      <c r="P14368" s="42"/>
      <c r="AB14368" s="38"/>
    </row>
    <row r="14369">
      <c r="P14369" s="42"/>
      <c r="AB14369" s="38"/>
    </row>
    <row r="14370">
      <c r="P14370" s="42"/>
      <c r="AB14370" s="38"/>
    </row>
    <row r="14371">
      <c r="P14371" s="42"/>
      <c r="AB14371" s="38"/>
    </row>
    <row r="14372">
      <c r="P14372" s="42"/>
      <c r="AB14372" s="38"/>
    </row>
    <row r="14373">
      <c r="P14373" s="42"/>
      <c r="AB14373" s="38"/>
    </row>
    <row r="14374">
      <c r="P14374" s="42"/>
      <c r="AB14374" s="38"/>
    </row>
    <row r="14375">
      <c r="P14375" s="42"/>
      <c r="AB14375" s="38"/>
    </row>
    <row r="14376">
      <c r="P14376" s="42"/>
      <c r="AB14376" s="38"/>
    </row>
    <row r="14377">
      <c r="P14377" s="42"/>
      <c r="AB14377" s="38"/>
    </row>
    <row r="14378">
      <c r="P14378" s="42"/>
      <c r="AB14378" s="38"/>
    </row>
    <row r="14379">
      <c r="P14379" s="42"/>
      <c r="AB14379" s="38"/>
    </row>
    <row r="14380">
      <c r="P14380" s="42"/>
      <c r="AB14380" s="38"/>
    </row>
    <row r="14381">
      <c r="P14381" s="42"/>
      <c r="AB14381" s="38"/>
    </row>
    <row r="14382">
      <c r="P14382" s="42"/>
      <c r="AB14382" s="38"/>
    </row>
    <row r="14383">
      <c r="P14383" s="42"/>
      <c r="AB14383" s="38"/>
    </row>
    <row r="14384">
      <c r="P14384" s="42"/>
      <c r="AB14384" s="38"/>
    </row>
    <row r="14385">
      <c r="P14385" s="42"/>
      <c r="AB14385" s="38"/>
    </row>
    <row r="14386">
      <c r="P14386" s="42"/>
      <c r="AB14386" s="38"/>
    </row>
    <row r="14387">
      <c r="P14387" s="42"/>
      <c r="AB14387" s="38"/>
    </row>
    <row r="14388">
      <c r="P14388" s="42"/>
      <c r="AB14388" s="38"/>
    </row>
    <row r="14389">
      <c r="P14389" s="42"/>
      <c r="AB14389" s="38"/>
    </row>
    <row r="14390">
      <c r="P14390" s="42"/>
      <c r="AB14390" s="38"/>
    </row>
    <row r="14391">
      <c r="P14391" s="42"/>
      <c r="AB14391" s="38"/>
    </row>
    <row r="14392">
      <c r="P14392" s="42"/>
      <c r="AB14392" s="38"/>
    </row>
    <row r="14393">
      <c r="P14393" s="42"/>
      <c r="AB14393" s="38"/>
    </row>
    <row r="14394">
      <c r="P14394" s="42"/>
      <c r="AB14394" s="38"/>
    </row>
    <row r="14395">
      <c r="P14395" s="42"/>
      <c r="AB14395" s="38"/>
    </row>
    <row r="14396">
      <c r="P14396" s="42"/>
      <c r="AB14396" s="38"/>
    </row>
    <row r="14397">
      <c r="P14397" s="42"/>
      <c r="AB14397" s="38"/>
    </row>
    <row r="14398">
      <c r="P14398" s="42"/>
      <c r="AB14398" s="38"/>
    </row>
    <row r="14399">
      <c r="P14399" s="42"/>
      <c r="AB14399" s="38"/>
    </row>
    <row r="14400">
      <c r="P14400" s="42"/>
      <c r="AB14400" s="38"/>
    </row>
    <row r="14401">
      <c r="P14401" s="42"/>
      <c r="AB14401" s="38"/>
    </row>
    <row r="14402">
      <c r="P14402" s="42"/>
      <c r="AB14402" s="38"/>
    </row>
    <row r="14403">
      <c r="P14403" s="42"/>
      <c r="AB14403" s="38"/>
    </row>
    <row r="14404">
      <c r="P14404" s="42"/>
      <c r="AB14404" s="38"/>
    </row>
    <row r="14405">
      <c r="P14405" s="42"/>
      <c r="AB14405" s="38"/>
    </row>
    <row r="14406">
      <c r="P14406" s="42"/>
      <c r="AB14406" s="38"/>
    </row>
    <row r="14407">
      <c r="P14407" s="42"/>
      <c r="AB14407" s="38"/>
    </row>
    <row r="14408">
      <c r="P14408" s="42"/>
      <c r="AB14408" s="38"/>
    </row>
    <row r="14409">
      <c r="P14409" s="42"/>
      <c r="AB14409" s="38"/>
    </row>
    <row r="14410">
      <c r="P14410" s="42"/>
      <c r="AB14410" s="38"/>
    </row>
    <row r="14411">
      <c r="P14411" s="42"/>
      <c r="AB14411" s="38"/>
    </row>
    <row r="14412">
      <c r="P14412" s="42"/>
      <c r="AB14412" s="38"/>
    </row>
    <row r="14413">
      <c r="P14413" s="42"/>
      <c r="AB14413" s="38"/>
    </row>
    <row r="14414">
      <c r="P14414" s="42"/>
      <c r="AB14414" s="38"/>
    </row>
    <row r="14415">
      <c r="P14415" s="42"/>
      <c r="AB14415" s="38"/>
    </row>
    <row r="14416">
      <c r="P14416" s="42"/>
      <c r="AB14416" s="38"/>
    </row>
    <row r="14417">
      <c r="P14417" s="42"/>
      <c r="AB14417" s="38"/>
    </row>
    <row r="14418">
      <c r="P14418" s="42"/>
      <c r="AB14418" s="38"/>
    </row>
    <row r="14419">
      <c r="P14419" s="42"/>
      <c r="AB14419" s="38"/>
    </row>
    <row r="14420">
      <c r="P14420" s="42"/>
      <c r="AB14420" s="38"/>
    </row>
    <row r="14421">
      <c r="P14421" s="42"/>
      <c r="AB14421" s="38"/>
    </row>
    <row r="14422">
      <c r="P14422" s="42"/>
      <c r="AB14422" s="38"/>
    </row>
    <row r="14423">
      <c r="P14423" s="42"/>
      <c r="AB14423" s="38"/>
    </row>
    <row r="14424">
      <c r="P14424" s="42"/>
      <c r="AB14424" s="38"/>
    </row>
    <row r="14425">
      <c r="P14425" s="42"/>
      <c r="AB14425" s="38"/>
    </row>
    <row r="14426">
      <c r="P14426" s="42"/>
      <c r="AB14426" s="38"/>
    </row>
    <row r="14427">
      <c r="P14427" s="42"/>
      <c r="AB14427" s="38"/>
    </row>
    <row r="14428">
      <c r="P14428" s="42"/>
      <c r="AB14428" s="38"/>
    </row>
    <row r="14429">
      <c r="P14429" s="42"/>
      <c r="AB14429" s="38"/>
    </row>
    <row r="14430">
      <c r="P14430" s="42"/>
      <c r="AB14430" s="38"/>
    </row>
    <row r="14431">
      <c r="P14431" s="42"/>
      <c r="AB14431" s="38"/>
    </row>
    <row r="14432">
      <c r="P14432" s="42"/>
      <c r="AB14432" s="38"/>
    </row>
    <row r="14433">
      <c r="P14433" s="42"/>
      <c r="AB14433" s="38"/>
    </row>
    <row r="14434">
      <c r="P14434" s="42"/>
      <c r="AB14434" s="38"/>
    </row>
    <row r="14435">
      <c r="P14435" s="42"/>
      <c r="AB14435" s="38"/>
    </row>
    <row r="14436">
      <c r="P14436" s="42"/>
      <c r="AB14436" s="38"/>
    </row>
    <row r="14437">
      <c r="P14437" s="42"/>
      <c r="AB14437" s="38"/>
    </row>
    <row r="14438">
      <c r="P14438" s="42"/>
      <c r="AB14438" s="38"/>
    </row>
    <row r="14439">
      <c r="P14439" s="42"/>
      <c r="AB14439" s="38"/>
    </row>
    <row r="14440">
      <c r="P14440" s="42"/>
      <c r="AB14440" s="38"/>
    </row>
    <row r="14441">
      <c r="P14441" s="42"/>
      <c r="AB14441" s="38"/>
    </row>
    <row r="14442">
      <c r="P14442" s="42"/>
      <c r="AB14442" s="38"/>
    </row>
    <row r="14443">
      <c r="P14443" s="42"/>
      <c r="AB14443" s="38"/>
    </row>
    <row r="14444">
      <c r="P14444" s="42"/>
      <c r="AB14444" s="38"/>
    </row>
    <row r="14445">
      <c r="P14445" s="42"/>
      <c r="AB14445" s="38"/>
    </row>
    <row r="14446">
      <c r="P14446" s="42"/>
      <c r="AB14446" s="38"/>
    </row>
    <row r="14447">
      <c r="P14447" s="42"/>
      <c r="AB14447" s="38"/>
    </row>
    <row r="14448">
      <c r="P14448" s="42"/>
      <c r="AB14448" s="38"/>
    </row>
    <row r="14449">
      <c r="P14449" s="42"/>
      <c r="AB14449" s="38"/>
    </row>
    <row r="14450">
      <c r="P14450" s="42"/>
      <c r="AB14450" s="38"/>
    </row>
    <row r="14451">
      <c r="P14451" s="42"/>
      <c r="AB14451" s="38"/>
    </row>
    <row r="14452">
      <c r="P14452" s="42"/>
      <c r="AB14452" s="38"/>
    </row>
    <row r="14453">
      <c r="P14453" s="42"/>
      <c r="AB14453" s="38"/>
    </row>
    <row r="14454">
      <c r="P14454" s="42"/>
      <c r="AB14454" s="38"/>
    </row>
    <row r="14455">
      <c r="P14455" s="42"/>
      <c r="AB14455" s="38"/>
    </row>
    <row r="14456">
      <c r="P14456" s="42"/>
      <c r="AB14456" s="38"/>
    </row>
    <row r="14457">
      <c r="P14457" s="42"/>
      <c r="AB14457" s="38"/>
    </row>
    <row r="14458">
      <c r="P14458" s="42"/>
      <c r="AB14458" s="38"/>
    </row>
    <row r="14459">
      <c r="P14459" s="42"/>
      <c r="AB14459" s="38"/>
    </row>
    <row r="14460">
      <c r="P14460" s="42"/>
      <c r="AB14460" s="38"/>
    </row>
    <row r="14461">
      <c r="P14461" s="42"/>
      <c r="AB14461" s="38"/>
    </row>
    <row r="14462">
      <c r="P14462" s="42"/>
      <c r="AB14462" s="38"/>
    </row>
    <row r="14463">
      <c r="P14463" s="42"/>
      <c r="AB14463" s="38"/>
    </row>
    <row r="14464">
      <c r="P14464" s="42"/>
      <c r="AB14464" s="38"/>
    </row>
    <row r="14465">
      <c r="P14465" s="42"/>
      <c r="AB14465" s="38"/>
    </row>
    <row r="14466">
      <c r="P14466" s="42"/>
      <c r="AB14466" s="38"/>
    </row>
    <row r="14467">
      <c r="P14467" s="42"/>
      <c r="AB14467" s="38"/>
    </row>
    <row r="14468">
      <c r="P14468" s="42"/>
      <c r="AB14468" s="38"/>
    </row>
    <row r="14469">
      <c r="P14469" s="42"/>
      <c r="AB14469" s="38"/>
    </row>
    <row r="14470">
      <c r="P14470" s="42"/>
      <c r="AB14470" s="38"/>
    </row>
    <row r="14471">
      <c r="P14471" s="42"/>
      <c r="AB14471" s="38"/>
    </row>
    <row r="14472">
      <c r="P14472" s="42"/>
      <c r="AB14472" s="38"/>
    </row>
    <row r="14473">
      <c r="P14473" s="42"/>
      <c r="AB14473" s="38"/>
    </row>
    <row r="14474">
      <c r="P14474" s="42"/>
      <c r="AB14474" s="38"/>
    </row>
    <row r="14475">
      <c r="P14475" s="42"/>
      <c r="AB14475" s="38"/>
    </row>
    <row r="14476">
      <c r="P14476" s="42"/>
      <c r="AB14476" s="38"/>
    </row>
    <row r="14477">
      <c r="P14477" s="42"/>
      <c r="AB14477" s="38"/>
    </row>
    <row r="14478">
      <c r="P14478" s="42"/>
      <c r="AB14478" s="38"/>
    </row>
    <row r="14479">
      <c r="P14479" s="42"/>
      <c r="AB14479" s="38"/>
    </row>
    <row r="14480">
      <c r="P14480" s="42"/>
      <c r="AB14480" s="38"/>
    </row>
    <row r="14481">
      <c r="P14481" s="42"/>
      <c r="AB14481" s="38"/>
    </row>
    <row r="14482">
      <c r="P14482" s="42"/>
      <c r="AB14482" s="38"/>
    </row>
    <row r="14483">
      <c r="P14483" s="42"/>
      <c r="AB14483" s="38"/>
    </row>
    <row r="14484">
      <c r="P14484" s="42"/>
      <c r="AB14484" s="38"/>
    </row>
    <row r="14485">
      <c r="P14485" s="42"/>
      <c r="AB14485" s="38"/>
    </row>
    <row r="14486">
      <c r="P14486" s="42"/>
      <c r="AB14486" s="38"/>
    </row>
    <row r="14487">
      <c r="P14487" s="42"/>
      <c r="AB14487" s="38"/>
    </row>
    <row r="14488">
      <c r="P14488" s="42"/>
      <c r="AB14488" s="38"/>
    </row>
    <row r="14489">
      <c r="P14489" s="42"/>
      <c r="AB14489" s="38"/>
    </row>
    <row r="14490">
      <c r="P14490" s="42"/>
      <c r="AB14490" s="38"/>
    </row>
    <row r="14491">
      <c r="P14491" s="42"/>
      <c r="AB14491" s="38"/>
    </row>
    <row r="14492">
      <c r="P14492" s="42"/>
      <c r="AB14492" s="38"/>
    </row>
    <row r="14493">
      <c r="P14493" s="42"/>
      <c r="AB14493" s="38"/>
    </row>
    <row r="14494">
      <c r="P14494" s="42"/>
      <c r="AB14494" s="38"/>
    </row>
    <row r="14495">
      <c r="P14495" s="42"/>
      <c r="AB14495" s="38"/>
    </row>
    <row r="14496">
      <c r="P14496" s="42"/>
      <c r="AB14496" s="38"/>
    </row>
    <row r="14497">
      <c r="P14497" s="42"/>
      <c r="AB14497" s="38"/>
    </row>
    <row r="14498">
      <c r="P14498" s="42"/>
      <c r="AB14498" s="38"/>
    </row>
    <row r="14499">
      <c r="P14499" s="42"/>
      <c r="AB14499" s="38"/>
    </row>
    <row r="14500">
      <c r="P14500" s="42"/>
      <c r="AB14500" s="38"/>
    </row>
    <row r="14501">
      <c r="P14501" s="42"/>
      <c r="AB14501" s="38"/>
    </row>
    <row r="14502">
      <c r="P14502" s="42"/>
      <c r="AB14502" s="38"/>
    </row>
    <row r="14503">
      <c r="P14503" s="42"/>
      <c r="AB14503" s="38"/>
    </row>
    <row r="14504">
      <c r="P14504" s="42"/>
      <c r="AB14504" s="38"/>
    </row>
    <row r="14505">
      <c r="P14505" s="42"/>
      <c r="AB14505" s="38"/>
    </row>
    <row r="14506">
      <c r="P14506" s="42"/>
      <c r="AB14506" s="38"/>
    </row>
    <row r="14507">
      <c r="P14507" s="42"/>
      <c r="AB14507" s="38"/>
    </row>
    <row r="14508">
      <c r="P14508" s="42"/>
      <c r="AB14508" s="38"/>
    </row>
    <row r="14509">
      <c r="P14509" s="42"/>
      <c r="AB14509" s="38"/>
    </row>
    <row r="14510">
      <c r="P14510" s="42"/>
      <c r="AB14510" s="38"/>
    </row>
    <row r="14511">
      <c r="P14511" s="42"/>
      <c r="AB14511" s="38"/>
    </row>
    <row r="14512">
      <c r="P14512" s="42"/>
      <c r="AB14512" s="38"/>
    </row>
    <row r="14513">
      <c r="P14513" s="42"/>
      <c r="AB14513" s="38"/>
    </row>
    <row r="14514">
      <c r="P14514" s="42"/>
      <c r="AB14514" s="38"/>
    </row>
    <row r="14515">
      <c r="P14515" s="42"/>
      <c r="AB14515" s="38"/>
    </row>
    <row r="14516">
      <c r="P14516" s="42"/>
      <c r="AB14516" s="38"/>
    </row>
    <row r="14517">
      <c r="P14517" s="42"/>
      <c r="AB14517" s="38"/>
    </row>
    <row r="14518">
      <c r="P14518" s="42"/>
      <c r="AB14518" s="38"/>
    </row>
    <row r="14519">
      <c r="P14519" s="42"/>
      <c r="AB14519" s="38"/>
    </row>
    <row r="14520">
      <c r="P14520" s="42"/>
      <c r="AB14520" s="38"/>
    </row>
    <row r="14521">
      <c r="P14521" s="42"/>
      <c r="AB14521" s="38"/>
    </row>
    <row r="14522">
      <c r="P14522" s="42"/>
      <c r="AB14522" s="38"/>
    </row>
    <row r="14523">
      <c r="P14523" s="42"/>
      <c r="AB14523" s="38"/>
    </row>
    <row r="14524">
      <c r="P14524" s="42"/>
      <c r="AB14524" s="38"/>
    </row>
    <row r="14525">
      <c r="P14525" s="42"/>
      <c r="AB14525" s="38"/>
    </row>
    <row r="14526">
      <c r="P14526" s="42"/>
      <c r="AB14526" s="38"/>
    </row>
    <row r="14527">
      <c r="P14527" s="42"/>
      <c r="AB14527" s="38"/>
    </row>
    <row r="14528">
      <c r="P14528" s="42"/>
      <c r="AB14528" s="38"/>
    </row>
    <row r="14529">
      <c r="P14529" s="42"/>
      <c r="AB14529" s="38"/>
    </row>
    <row r="14530">
      <c r="P14530" s="42"/>
      <c r="AB14530" s="38"/>
    </row>
    <row r="14531">
      <c r="P14531" s="42"/>
      <c r="AB14531" s="38"/>
    </row>
    <row r="14532">
      <c r="P14532" s="42"/>
      <c r="AB14532" s="38"/>
    </row>
    <row r="14533">
      <c r="P14533" s="42"/>
      <c r="AB14533" s="38"/>
    </row>
    <row r="14534">
      <c r="P14534" s="42"/>
      <c r="AB14534" s="38"/>
    </row>
    <row r="14535">
      <c r="P14535" s="42"/>
      <c r="AB14535" s="38"/>
    </row>
    <row r="14536">
      <c r="P14536" s="42"/>
      <c r="AB14536" s="38"/>
    </row>
    <row r="14537">
      <c r="P14537" s="42"/>
      <c r="AB14537" s="38"/>
    </row>
    <row r="14538">
      <c r="P14538" s="42"/>
      <c r="AB14538" s="38"/>
    </row>
    <row r="14539">
      <c r="P14539" s="42"/>
      <c r="AB14539" s="38"/>
    </row>
    <row r="14540">
      <c r="P14540" s="42"/>
      <c r="AB14540" s="38"/>
    </row>
    <row r="14541">
      <c r="P14541" s="42"/>
      <c r="AB14541" s="38"/>
    </row>
    <row r="14542">
      <c r="P14542" s="42"/>
      <c r="AB14542" s="38"/>
    </row>
    <row r="14543">
      <c r="P14543" s="42"/>
      <c r="AB14543" s="38"/>
    </row>
    <row r="14544">
      <c r="P14544" s="42"/>
      <c r="AB14544" s="38"/>
    </row>
    <row r="14545">
      <c r="P14545" s="42"/>
      <c r="AB14545" s="38"/>
    </row>
    <row r="14546">
      <c r="P14546" s="42"/>
      <c r="AB14546" s="38"/>
    </row>
    <row r="14547">
      <c r="P14547" s="42"/>
      <c r="AB14547" s="38"/>
    </row>
    <row r="14548">
      <c r="P14548" s="42"/>
      <c r="AB14548" s="38"/>
    </row>
    <row r="14549">
      <c r="P14549" s="42"/>
      <c r="AB14549" s="38"/>
    </row>
    <row r="14550">
      <c r="P14550" s="42"/>
      <c r="AB14550" s="38"/>
    </row>
    <row r="14551">
      <c r="P14551" s="42"/>
      <c r="AB14551" s="38"/>
    </row>
    <row r="14552">
      <c r="P14552" s="42"/>
      <c r="AB14552" s="38"/>
    </row>
    <row r="14553">
      <c r="P14553" s="42"/>
      <c r="AB14553" s="38"/>
    </row>
    <row r="14554">
      <c r="P14554" s="42"/>
      <c r="AB14554" s="38"/>
    </row>
    <row r="14555">
      <c r="P14555" s="42"/>
      <c r="AB14555" s="38"/>
    </row>
    <row r="14556">
      <c r="P14556" s="42"/>
      <c r="AB14556" s="38"/>
    </row>
    <row r="14557">
      <c r="P14557" s="42"/>
      <c r="AB14557" s="38"/>
    </row>
    <row r="14558">
      <c r="P14558" s="42"/>
      <c r="AB14558" s="38"/>
    </row>
    <row r="14559">
      <c r="P14559" s="42"/>
      <c r="AB14559" s="38"/>
    </row>
    <row r="14560">
      <c r="P14560" s="42"/>
      <c r="AB14560" s="38"/>
    </row>
    <row r="14561">
      <c r="P14561" s="42"/>
      <c r="AB14561" s="38"/>
    </row>
    <row r="14562">
      <c r="P14562" s="42"/>
      <c r="AB14562" s="38"/>
    </row>
    <row r="14563">
      <c r="P14563" s="42"/>
      <c r="AB14563" s="38"/>
    </row>
    <row r="14564">
      <c r="P14564" s="42"/>
      <c r="AB14564" s="38"/>
    </row>
    <row r="14565">
      <c r="P14565" s="42"/>
      <c r="AB14565" s="38"/>
    </row>
    <row r="14566">
      <c r="P14566" s="42"/>
      <c r="AB14566" s="38"/>
    </row>
    <row r="14567">
      <c r="P14567" s="42"/>
      <c r="AB14567" s="38"/>
    </row>
    <row r="14568">
      <c r="P14568" s="42"/>
      <c r="AB14568" s="38"/>
    </row>
    <row r="14569">
      <c r="P14569" s="42"/>
      <c r="AB14569" s="38"/>
    </row>
    <row r="14570">
      <c r="P14570" s="42"/>
      <c r="AB14570" s="38"/>
    </row>
    <row r="14571">
      <c r="P14571" s="42"/>
      <c r="AB14571" s="38"/>
    </row>
    <row r="14572">
      <c r="P14572" s="42"/>
      <c r="AB14572" s="38"/>
    </row>
    <row r="14573">
      <c r="P14573" s="42"/>
      <c r="AB14573" s="38"/>
    </row>
    <row r="14574">
      <c r="P14574" s="42"/>
      <c r="AB14574" s="38"/>
    </row>
    <row r="14575">
      <c r="P14575" s="42"/>
      <c r="AB14575" s="38"/>
    </row>
    <row r="14576">
      <c r="P14576" s="42"/>
      <c r="AB14576" s="38"/>
    </row>
    <row r="14577">
      <c r="P14577" s="42"/>
      <c r="AB14577" s="38"/>
    </row>
    <row r="14578">
      <c r="P14578" s="42"/>
      <c r="AB14578" s="38"/>
    </row>
    <row r="14579">
      <c r="P14579" s="42"/>
      <c r="AB14579" s="38"/>
    </row>
    <row r="14580">
      <c r="P14580" s="42"/>
      <c r="AB14580" s="38"/>
    </row>
    <row r="14581">
      <c r="P14581" s="42"/>
      <c r="AB14581" s="38"/>
    </row>
    <row r="14582">
      <c r="P14582" s="42"/>
      <c r="AB14582" s="38"/>
    </row>
    <row r="14583">
      <c r="P14583" s="42"/>
      <c r="AB14583" s="38"/>
    </row>
    <row r="14584">
      <c r="P14584" s="42"/>
      <c r="AB14584" s="38"/>
    </row>
    <row r="14585">
      <c r="P14585" s="42"/>
      <c r="AB14585" s="38"/>
    </row>
    <row r="14586">
      <c r="P14586" s="42"/>
      <c r="AB14586" s="38"/>
    </row>
    <row r="14587">
      <c r="P14587" s="42"/>
      <c r="AB14587" s="38"/>
    </row>
    <row r="14588">
      <c r="P14588" s="42"/>
      <c r="AB14588" s="38"/>
    </row>
    <row r="14589">
      <c r="P14589" s="42"/>
      <c r="AB14589" s="38"/>
    </row>
    <row r="14590">
      <c r="P14590" s="42"/>
      <c r="AB14590" s="38"/>
    </row>
    <row r="14591">
      <c r="P14591" s="42"/>
      <c r="AB14591" s="38"/>
    </row>
    <row r="14592">
      <c r="P14592" s="42"/>
      <c r="AB14592" s="38"/>
    </row>
    <row r="14593">
      <c r="P14593" s="42"/>
      <c r="AB14593" s="38"/>
    </row>
    <row r="14594">
      <c r="P14594" s="42"/>
      <c r="AB14594" s="38"/>
    </row>
    <row r="14595">
      <c r="P14595" s="42"/>
      <c r="AB14595" s="38"/>
    </row>
    <row r="14596">
      <c r="P14596" s="42"/>
      <c r="AB14596" s="38"/>
    </row>
    <row r="14597">
      <c r="P14597" s="42"/>
      <c r="AB14597" s="38"/>
    </row>
    <row r="14598">
      <c r="P14598" s="42"/>
      <c r="AB14598" s="38"/>
    </row>
    <row r="14599">
      <c r="P14599" s="42"/>
      <c r="AB14599" s="38"/>
    </row>
    <row r="14600">
      <c r="P14600" s="42"/>
      <c r="AB14600" s="38"/>
    </row>
    <row r="14601">
      <c r="P14601" s="42"/>
      <c r="AB14601" s="38"/>
    </row>
    <row r="14602">
      <c r="P14602" s="42"/>
      <c r="AB14602" s="38"/>
    </row>
    <row r="14603">
      <c r="P14603" s="42"/>
      <c r="AB14603" s="38"/>
    </row>
    <row r="14604">
      <c r="P14604" s="42"/>
      <c r="AB14604" s="38"/>
    </row>
    <row r="14605">
      <c r="P14605" s="42"/>
      <c r="AB14605" s="38"/>
    </row>
    <row r="14606">
      <c r="P14606" s="42"/>
      <c r="AB14606" s="38"/>
    </row>
    <row r="14607">
      <c r="P14607" s="42"/>
      <c r="AB14607" s="38"/>
    </row>
    <row r="14608">
      <c r="P14608" s="42"/>
      <c r="AB14608" s="38"/>
    </row>
    <row r="14609">
      <c r="P14609" s="42"/>
      <c r="AB14609" s="38"/>
    </row>
    <row r="14610">
      <c r="P14610" s="42"/>
      <c r="AB14610" s="38"/>
    </row>
    <row r="14611">
      <c r="P14611" s="42"/>
      <c r="AB14611" s="38"/>
    </row>
    <row r="14612">
      <c r="P14612" s="42"/>
      <c r="AB14612" s="38"/>
    </row>
    <row r="14613">
      <c r="P14613" s="42"/>
      <c r="AB14613" s="38"/>
    </row>
    <row r="14614">
      <c r="P14614" s="42"/>
      <c r="AB14614" s="38"/>
    </row>
    <row r="14615">
      <c r="P14615" s="42"/>
      <c r="AB14615" s="38"/>
    </row>
    <row r="14616">
      <c r="P14616" s="42"/>
      <c r="AB14616" s="38"/>
    </row>
    <row r="14617">
      <c r="P14617" s="42"/>
      <c r="AB14617" s="38"/>
    </row>
    <row r="14618">
      <c r="P14618" s="42"/>
      <c r="AB14618" s="38"/>
    </row>
    <row r="14619">
      <c r="P14619" s="42"/>
      <c r="AB14619" s="38"/>
    </row>
    <row r="14620">
      <c r="P14620" s="42"/>
      <c r="AB14620" s="38"/>
    </row>
    <row r="14621">
      <c r="P14621" s="42"/>
      <c r="AB14621" s="38"/>
    </row>
    <row r="14622">
      <c r="P14622" s="42"/>
      <c r="AB14622" s="38"/>
    </row>
    <row r="14623">
      <c r="P14623" s="42"/>
      <c r="AB14623" s="38"/>
    </row>
    <row r="14624">
      <c r="P14624" s="42"/>
      <c r="AB14624" s="38"/>
    </row>
    <row r="14625">
      <c r="P14625" s="42"/>
      <c r="AB14625" s="38"/>
    </row>
    <row r="14626">
      <c r="P14626" s="42"/>
      <c r="AB14626" s="38"/>
    </row>
    <row r="14627">
      <c r="P14627" s="42"/>
      <c r="AB14627" s="38"/>
    </row>
    <row r="14628">
      <c r="P14628" s="42"/>
      <c r="AB14628" s="38"/>
    </row>
    <row r="14629">
      <c r="P14629" s="42"/>
      <c r="AB14629" s="38"/>
    </row>
    <row r="14630">
      <c r="P14630" s="42"/>
      <c r="AB14630" s="38"/>
    </row>
    <row r="14631">
      <c r="P14631" s="42"/>
      <c r="AB14631" s="38"/>
    </row>
    <row r="14632">
      <c r="P14632" s="42"/>
      <c r="AB14632" s="38"/>
    </row>
    <row r="14633">
      <c r="P14633" s="42"/>
      <c r="AB14633" s="38"/>
    </row>
    <row r="14634">
      <c r="P14634" s="42"/>
      <c r="AB14634" s="38"/>
    </row>
    <row r="14635">
      <c r="P14635" s="42"/>
      <c r="AB14635" s="38"/>
    </row>
    <row r="14636">
      <c r="P14636" s="42"/>
      <c r="AB14636" s="38"/>
    </row>
    <row r="14637">
      <c r="P14637" s="42"/>
      <c r="AB14637" s="38"/>
    </row>
    <row r="14638">
      <c r="P14638" s="42"/>
      <c r="AB14638" s="38"/>
    </row>
    <row r="14639">
      <c r="P14639" s="42"/>
      <c r="AB14639" s="38"/>
    </row>
    <row r="14640">
      <c r="P14640" s="42"/>
      <c r="AB14640" s="38"/>
    </row>
    <row r="14641">
      <c r="P14641" s="42"/>
      <c r="AB14641" s="38"/>
    </row>
    <row r="14642">
      <c r="P14642" s="42"/>
      <c r="AB14642" s="38"/>
    </row>
    <row r="14643">
      <c r="P14643" s="42"/>
      <c r="AB14643" s="38"/>
    </row>
    <row r="14644">
      <c r="P14644" s="42"/>
      <c r="AB14644" s="38"/>
    </row>
    <row r="14645">
      <c r="P14645" s="42"/>
      <c r="AB14645" s="38"/>
    </row>
    <row r="14646">
      <c r="P14646" s="42"/>
      <c r="AB14646" s="38"/>
    </row>
    <row r="14647">
      <c r="P14647" s="42"/>
      <c r="AB14647" s="38"/>
    </row>
    <row r="14648">
      <c r="P14648" s="42"/>
      <c r="AB14648" s="38"/>
    </row>
    <row r="14649">
      <c r="P14649" s="42"/>
      <c r="AB14649" s="38"/>
    </row>
    <row r="14650">
      <c r="P14650" s="42"/>
      <c r="AB14650" s="38"/>
    </row>
    <row r="14651">
      <c r="P14651" s="42"/>
      <c r="AB14651" s="38"/>
    </row>
    <row r="14652">
      <c r="P14652" s="42"/>
      <c r="AB14652" s="38"/>
    </row>
    <row r="14653">
      <c r="P14653" s="42"/>
      <c r="AB14653" s="38"/>
    </row>
    <row r="14654">
      <c r="P14654" s="42"/>
      <c r="AB14654" s="38"/>
    </row>
    <row r="14655">
      <c r="P14655" s="42"/>
      <c r="AB14655" s="38"/>
    </row>
    <row r="14656">
      <c r="P14656" s="42"/>
      <c r="AB14656" s="38"/>
    </row>
    <row r="14657">
      <c r="P14657" s="42"/>
      <c r="AB14657" s="38"/>
    </row>
    <row r="14658">
      <c r="P14658" s="42"/>
      <c r="AB14658" s="38"/>
    </row>
    <row r="14659">
      <c r="P14659" s="42"/>
      <c r="AB14659" s="38"/>
    </row>
    <row r="14660">
      <c r="P14660" s="42"/>
      <c r="AB14660" s="38"/>
    </row>
    <row r="14661">
      <c r="P14661" s="42"/>
      <c r="AB14661" s="38"/>
    </row>
    <row r="14662">
      <c r="P14662" s="42"/>
      <c r="AB14662" s="38"/>
    </row>
    <row r="14663">
      <c r="P14663" s="42"/>
      <c r="AB14663" s="38"/>
    </row>
    <row r="14664">
      <c r="P14664" s="42"/>
      <c r="AB14664" s="38"/>
    </row>
    <row r="14665">
      <c r="P14665" s="42"/>
      <c r="AB14665" s="38"/>
    </row>
    <row r="14666">
      <c r="P14666" s="42"/>
      <c r="AB14666" s="38"/>
    </row>
    <row r="14667">
      <c r="P14667" s="42"/>
      <c r="AB14667" s="38"/>
    </row>
    <row r="14668">
      <c r="P14668" s="42"/>
      <c r="AB14668" s="38"/>
    </row>
    <row r="14669">
      <c r="P14669" s="42"/>
      <c r="AB14669" s="38"/>
    </row>
    <row r="14670">
      <c r="P14670" s="42"/>
      <c r="AB14670" s="38"/>
    </row>
    <row r="14671">
      <c r="P14671" s="42"/>
      <c r="AB14671" s="38"/>
    </row>
    <row r="14672">
      <c r="P14672" s="42"/>
      <c r="AB14672" s="38"/>
    </row>
    <row r="14673">
      <c r="P14673" s="42"/>
      <c r="AB14673" s="38"/>
    </row>
    <row r="14674">
      <c r="P14674" s="42"/>
      <c r="AB14674" s="38"/>
    </row>
    <row r="14675">
      <c r="P14675" s="42"/>
      <c r="AB14675" s="38"/>
    </row>
    <row r="14676">
      <c r="P14676" s="42"/>
      <c r="AB14676" s="38"/>
    </row>
    <row r="14677">
      <c r="P14677" s="42"/>
      <c r="AB14677" s="38"/>
    </row>
    <row r="14678">
      <c r="P14678" s="42"/>
      <c r="AB14678" s="38"/>
    </row>
    <row r="14679">
      <c r="P14679" s="42"/>
      <c r="AB14679" s="38"/>
    </row>
    <row r="14680">
      <c r="P14680" s="42"/>
      <c r="AB14680" s="38"/>
    </row>
    <row r="14681">
      <c r="P14681" s="42"/>
      <c r="AB14681" s="38"/>
    </row>
    <row r="14682">
      <c r="P14682" s="42"/>
      <c r="AB14682" s="38"/>
    </row>
    <row r="14683">
      <c r="P14683" s="42"/>
      <c r="AB14683" s="38"/>
    </row>
    <row r="14684">
      <c r="P14684" s="42"/>
      <c r="AB14684" s="38"/>
    </row>
    <row r="14685">
      <c r="P14685" s="42"/>
      <c r="AB14685" s="38"/>
    </row>
    <row r="14686">
      <c r="P14686" s="42"/>
      <c r="AB14686" s="38"/>
    </row>
    <row r="14687">
      <c r="P14687" s="42"/>
      <c r="AB14687" s="38"/>
    </row>
    <row r="14688">
      <c r="P14688" s="42"/>
      <c r="AB14688" s="38"/>
    </row>
    <row r="14689">
      <c r="P14689" s="42"/>
      <c r="AB14689" s="38"/>
    </row>
    <row r="14690">
      <c r="P14690" s="42"/>
      <c r="AB14690" s="38"/>
    </row>
    <row r="14691">
      <c r="P14691" s="42"/>
      <c r="AB14691" s="38"/>
    </row>
    <row r="14692">
      <c r="P14692" s="42"/>
      <c r="AB14692" s="38"/>
    </row>
    <row r="14693">
      <c r="P14693" s="42"/>
      <c r="AB14693" s="38"/>
    </row>
    <row r="14694">
      <c r="P14694" s="42"/>
      <c r="AB14694" s="38"/>
    </row>
    <row r="14695">
      <c r="P14695" s="42"/>
      <c r="AB14695" s="38"/>
    </row>
    <row r="14696">
      <c r="P14696" s="42"/>
      <c r="AB14696" s="38"/>
    </row>
    <row r="14697">
      <c r="P14697" s="42"/>
      <c r="AB14697" s="38"/>
    </row>
    <row r="14698">
      <c r="P14698" s="42"/>
      <c r="AB14698" s="38"/>
    </row>
    <row r="14699">
      <c r="P14699" s="42"/>
      <c r="AB14699" s="38"/>
    </row>
    <row r="14700">
      <c r="P14700" s="42"/>
      <c r="AB14700" s="38"/>
    </row>
    <row r="14701">
      <c r="P14701" s="42"/>
      <c r="AB14701" s="38"/>
    </row>
    <row r="14702">
      <c r="P14702" s="42"/>
      <c r="AB14702" s="38"/>
    </row>
    <row r="14703">
      <c r="P14703" s="42"/>
      <c r="AB14703" s="38"/>
    </row>
    <row r="14704">
      <c r="P14704" s="42"/>
      <c r="AB14704" s="38"/>
    </row>
    <row r="14705">
      <c r="P14705" s="42"/>
      <c r="AB14705" s="38"/>
    </row>
    <row r="14706">
      <c r="P14706" s="42"/>
      <c r="AB14706" s="38"/>
    </row>
    <row r="14707">
      <c r="P14707" s="42"/>
      <c r="AB14707" s="38"/>
    </row>
    <row r="14708">
      <c r="P14708" s="42"/>
      <c r="AB14708" s="38"/>
    </row>
    <row r="14709">
      <c r="P14709" s="42"/>
      <c r="AB14709" s="38"/>
    </row>
    <row r="14710">
      <c r="P14710" s="42"/>
      <c r="AB14710" s="38"/>
    </row>
    <row r="14711">
      <c r="P14711" s="42"/>
      <c r="AB14711" s="38"/>
    </row>
    <row r="14712">
      <c r="P14712" s="42"/>
      <c r="AB14712" s="38"/>
    </row>
    <row r="14713">
      <c r="P14713" s="42"/>
      <c r="AB14713" s="38"/>
    </row>
    <row r="14714">
      <c r="P14714" s="42"/>
      <c r="AB14714" s="38"/>
    </row>
    <row r="14715">
      <c r="P14715" s="42"/>
      <c r="AB14715" s="38"/>
    </row>
    <row r="14716">
      <c r="P14716" s="42"/>
      <c r="AB14716" s="38"/>
    </row>
    <row r="14717">
      <c r="P14717" s="42"/>
      <c r="AB14717" s="38"/>
    </row>
    <row r="14718">
      <c r="P14718" s="42"/>
      <c r="AB14718" s="38"/>
    </row>
    <row r="14719">
      <c r="P14719" s="42"/>
      <c r="AB14719" s="38"/>
    </row>
    <row r="14720">
      <c r="P14720" s="42"/>
      <c r="AB14720" s="38"/>
    </row>
    <row r="14721">
      <c r="P14721" s="42"/>
      <c r="AB14721" s="38"/>
    </row>
    <row r="14722">
      <c r="P14722" s="42"/>
      <c r="AB14722" s="38"/>
    </row>
    <row r="14723">
      <c r="P14723" s="42"/>
      <c r="AB14723" s="38"/>
    </row>
    <row r="14724">
      <c r="P14724" s="42"/>
      <c r="AB14724" s="38"/>
    </row>
    <row r="14725">
      <c r="P14725" s="42"/>
      <c r="AB14725" s="38"/>
    </row>
    <row r="14726">
      <c r="P14726" s="42"/>
      <c r="AB14726" s="38"/>
    </row>
    <row r="14727">
      <c r="P14727" s="42"/>
      <c r="AB14727" s="38"/>
    </row>
    <row r="14728">
      <c r="P14728" s="42"/>
      <c r="AB14728" s="38"/>
    </row>
    <row r="14729">
      <c r="P14729" s="42"/>
      <c r="AB14729" s="38"/>
    </row>
    <row r="14730">
      <c r="P14730" s="42"/>
      <c r="AB14730" s="38"/>
    </row>
    <row r="14731">
      <c r="P14731" s="42"/>
      <c r="AB14731" s="38"/>
    </row>
    <row r="14732">
      <c r="P14732" s="42"/>
      <c r="AB14732" s="38"/>
    </row>
    <row r="14733">
      <c r="P14733" s="42"/>
      <c r="AB14733" s="38"/>
    </row>
    <row r="14734">
      <c r="P14734" s="42"/>
      <c r="AB14734" s="38"/>
    </row>
    <row r="14735">
      <c r="P14735" s="42"/>
      <c r="AB14735" s="38"/>
    </row>
    <row r="14736">
      <c r="P14736" s="42"/>
      <c r="AB14736" s="38"/>
    </row>
    <row r="14737">
      <c r="P14737" s="42"/>
      <c r="AB14737" s="38"/>
    </row>
    <row r="14738">
      <c r="P14738" s="42"/>
      <c r="AB14738" s="38"/>
    </row>
    <row r="14739">
      <c r="P14739" s="42"/>
      <c r="AB14739" s="38"/>
    </row>
    <row r="14740">
      <c r="P14740" s="42"/>
      <c r="AB14740" s="38"/>
    </row>
    <row r="14741">
      <c r="P14741" s="42"/>
      <c r="AB14741" s="38"/>
    </row>
    <row r="14742">
      <c r="P14742" s="42"/>
      <c r="AB14742" s="38"/>
    </row>
    <row r="14743">
      <c r="P14743" s="42"/>
      <c r="AB14743" s="38"/>
    </row>
    <row r="14744">
      <c r="P14744" s="42"/>
      <c r="AB14744" s="38"/>
    </row>
    <row r="14745">
      <c r="P14745" s="42"/>
      <c r="AB14745" s="38"/>
    </row>
    <row r="14746">
      <c r="P14746" s="42"/>
      <c r="AB14746" s="38"/>
    </row>
    <row r="14747">
      <c r="P14747" s="42"/>
      <c r="AB14747" s="38"/>
    </row>
    <row r="14748">
      <c r="P14748" s="42"/>
      <c r="AB14748" s="38"/>
    </row>
    <row r="14749">
      <c r="P14749" s="42"/>
      <c r="AB14749" s="38"/>
    </row>
    <row r="14750">
      <c r="P14750" s="42"/>
      <c r="AB14750" s="38"/>
    </row>
    <row r="14751">
      <c r="P14751" s="42"/>
      <c r="AB14751" s="38"/>
    </row>
    <row r="14752">
      <c r="P14752" s="42"/>
      <c r="AB14752" s="38"/>
    </row>
    <row r="14753">
      <c r="P14753" s="42"/>
      <c r="AB14753" s="38"/>
    </row>
    <row r="14754">
      <c r="P14754" s="42"/>
      <c r="AB14754" s="38"/>
    </row>
    <row r="14755">
      <c r="P14755" s="42"/>
      <c r="AB14755" s="38"/>
    </row>
    <row r="14756">
      <c r="P14756" s="42"/>
      <c r="AB14756" s="38"/>
    </row>
    <row r="14757">
      <c r="P14757" s="42"/>
      <c r="AB14757" s="38"/>
    </row>
    <row r="14758">
      <c r="P14758" s="42"/>
      <c r="AB14758" s="38"/>
    </row>
    <row r="14759">
      <c r="P14759" s="42"/>
      <c r="AB14759" s="38"/>
    </row>
    <row r="14760">
      <c r="P14760" s="42"/>
      <c r="AB14760" s="38"/>
    </row>
    <row r="14761">
      <c r="P14761" s="42"/>
      <c r="AB14761" s="38"/>
    </row>
    <row r="14762">
      <c r="P14762" s="42"/>
      <c r="AB14762" s="38"/>
    </row>
    <row r="14763">
      <c r="P14763" s="42"/>
      <c r="AB14763" s="38"/>
    </row>
    <row r="14764">
      <c r="P14764" s="42"/>
      <c r="AB14764" s="38"/>
    </row>
    <row r="14765">
      <c r="P14765" s="42"/>
      <c r="AB14765" s="38"/>
    </row>
    <row r="14766">
      <c r="P14766" s="42"/>
      <c r="AB14766" s="38"/>
    </row>
    <row r="14767">
      <c r="P14767" s="42"/>
      <c r="AB14767" s="38"/>
    </row>
    <row r="14768">
      <c r="P14768" s="42"/>
      <c r="AB14768" s="38"/>
    </row>
    <row r="14769">
      <c r="P14769" s="42"/>
      <c r="AB14769" s="38"/>
    </row>
    <row r="14770">
      <c r="P14770" s="42"/>
      <c r="AB14770" s="38"/>
    </row>
    <row r="14771">
      <c r="P14771" s="42"/>
      <c r="AB14771" s="38"/>
    </row>
    <row r="14772">
      <c r="P14772" s="42"/>
      <c r="AB14772" s="38"/>
    </row>
    <row r="14773">
      <c r="P14773" s="42"/>
      <c r="AB14773" s="38"/>
    </row>
    <row r="14774">
      <c r="P14774" s="42"/>
      <c r="AB14774" s="38"/>
    </row>
    <row r="14775">
      <c r="P14775" s="42"/>
      <c r="AB14775" s="38"/>
    </row>
    <row r="14776">
      <c r="P14776" s="42"/>
      <c r="AB14776" s="38"/>
    </row>
    <row r="14777">
      <c r="P14777" s="42"/>
      <c r="AB14777" s="38"/>
    </row>
    <row r="14778">
      <c r="P14778" s="42"/>
      <c r="AB14778" s="38"/>
    </row>
    <row r="14779">
      <c r="P14779" s="42"/>
      <c r="AB14779" s="38"/>
    </row>
    <row r="14780">
      <c r="P14780" s="42"/>
      <c r="AB14780" s="38"/>
    </row>
    <row r="14781">
      <c r="P14781" s="42"/>
      <c r="AB14781" s="38"/>
    </row>
    <row r="14782">
      <c r="P14782" s="42"/>
      <c r="AB14782" s="38"/>
    </row>
    <row r="14783">
      <c r="P14783" s="42"/>
      <c r="AB14783" s="38"/>
    </row>
    <row r="14784">
      <c r="P14784" s="42"/>
      <c r="AB14784" s="38"/>
    </row>
    <row r="14785">
      <c r="P14785" s="42"/>
      <c r="AB14785" s="38"/>
    </row>
    <row r="14786">
      <c r="P14786" s="42"/>
      <c r="AB14786" s="38"/>
    </row>
    <row r="14787">
      <c r="P14787" s="42"/>
      <c r="AB14787" s="38"/>
    </row>
    <row r="14788">
      <c r="P14788" s="42"/>
      <c r="AB14788" s="38"/>
    </row>
    <row r="14789">
      <c r="P14789" s="42"/>
      <c r="AB14789" s="38"/>
    </row>
    <row r="14790">
      <c r="P14790" s="42"/>
      <c r="AB14790" s="38"/>
    </row>
    <row r="14791">
      <c r="P14791" s="42"/>
      <c r="AB14791" s="38"/>
    </row>
    <row r="14792">
      <c r="P14792" s="42"/>
      <c r="AB14792" s="38"/>
    </row>
    <row r="14793">
      <c r="P14793" s="42"/>
      <c r="AB14793" s="38"/>
    </row>
    <row r="14794">
      <c r="P14794" s="42"/>
      <c r="AB14794" s="38"/>
    </row>
    <row r="14795">
      <c r="P14795" s="42"/>
      <c r="AB14795" s="38"/>
    </row>
    <row r="14796">
      <c r="P14796" s="42"/>
      <c r="AB14796" s="38"/>
    </row>
    <row r="14797">
      <c r="P14797" s="42"/>
      <c r="AB14797" s="38"/>
    </row>
    <row r="14798">
      <c r="P14798" s="42"/>
      <c r="AB14798" s="38"/>
    </row>
    <row r="14799">
      <c r="P14799" s="42"/>
      <c r="AB14799" s="38"/>
    </row>
    <row r="14800">
      <c r="P14800" s="42"/>
      <c r="AB14800" s="38"/>
    </row>
    <row r="14801">
      <c r="P14801" s="42"/>
      <c r="AB14801" s="38"/>
    </row>
    <row r="14802">
      <c r="P14802" s="42"/>
      <c r="AB14802" s="38"/>
    </row>
    <row r="14803">
      <c r="P14803" s="42"/>
      <c r="AB14803" s="38"/>
    </row>
    <row r="14804">
      <c r="P14804" s="42"/>
      <c r="AB14804" s="38"/>
    </row>
    <row r="14805">
      <c r="P14805" s="42"/>
      <c r="AB14805" s="38"/>
    </row>
    <row r="14806">
      <c r="P14806" s="42"/>
      <c r="AB14806" s="38"/>
    </row>
    <row r="14807">
      <c r="P14807" s="42"/>
      <c r="AB14807" s="38"/>
    </row>
    <row r="14808">
      <c r="P14808" s="42"/>
      <c r="AB14808" s="38"/>
    </row>
    <row r="14809">
      <c r="P14809" s="42"/>
      <c r="AB14809" s="38"/>
    </row>
    <row r="14810">
      <c r="P14810" s="42"/>
      <c r="AB14810" s="38"/>
    </row>
    <row r="14811">
      <c r="P14811" s="42"/>
      <c r="AB14811" s="38"/>
    </row>
    <row r="14812">
      <c r="P14812" s="42"/>
      <c r="AB14812" s="38"/>
    </row>
    <row r="14813">
      <c r="P14813" s="42"/>
      <c r="AB14813" s="38"/>
    </row>
    <row r="14814">
      <c r="P14814" s="42"/>
      <c r="AB14814" s="38"/>
    </row>
    <row r="14815">
      <c r="P14815" s="42"/>
      <c r="AB14815" s="38"/>
    </row>
    <row r="14816">
      <c r="P14816" s="42"/>
      <c r="AB14816" s="38"/>
    </row>
    <row r="14817">
      <c r="P14817" s="42"/>
      <c r="AB14817" s="38"/>
    </row>
    <row r="14818">
      <c r="P14818" s="42"/>
      <c r="AB14818" s="38"/>
    </row>
    <row r="14819">
      <c r="P14819" s="42"/>
      <c r="AB14819" s="38"/>
    </row>
    <row r="14820">
      <c r="P14820" s="42"/>
      <c r="AB14820" s="38"/>
    </row>
    <row r="14821">
      <c r="P14821" s="42"/>
      <c r="AB14821" s="38"/>
    </row>
    <row r="14822">
      <c r="P14822" s="42"/>
      <c r="AB14822" s="38"/>
    </row>
    <row r="14823">
      <c r="P14823" s="42"/>
      <c r="AB14823" s="38"/>
    </row>
    <row r="14824">
      <c r="P14824" s="42"/>
      <c r="AB14824" s="38"/>
    </row>
    <row r="14825">
      <c r="P14825" s="42"/>
      <c r="AB14825" s="38"/>
    </row>
    <row r="14826">
      <c r="P14826" s="42"/>
      <c r="AB14826" s="38"/>
    </row>
    <row r="14827">
      <c r="P14827" s="42"/>
      <c r="AB14827" s="38"/>
    </row>
    <row r="14828">
      <c r="P14828" s="42"/>
      <c r="AB14828" s="38"/>
    </row>
    <row r="14829">
      <c r="P14829" s="42"/>
      <c r="AB14829" s="38"/>
    </row>
    <row r="14830">
      <c r="P14830" s="42"/>
      <c r="AB14830" s="38"/>
    </row>
    <row r="14831">
      <c r="P14831" s="42"/>
      <c r="AB14831" s="38"/>
    </row>
    <row r="14832">
      <c r="P14832" s="42"/>
      <c r="AB14832" s="38"/>
    </row>
    <row r="14833">
      <c r="P14833" s="42"/>
      <c r="AB14833" s="38"/>
    </row>
    <row r="14834">
      <c r="P14834" s="42"/>
      <c r="AB14834" s="38"/>
    </row>
    <row r="14835">
      <c r="P14835" s="42"/>
      <c r="AB14835" s="38"/>
    </row>
    <row r="14836">
      <c r="P14836" s="42"/>
      <c r="AB14836" s="38"/>
    </row>
    <row r="14837">
      <c r="P14837" s="42"/>
      <c r="AB14837" s="38"/>
    </row>
    <row r="14838">
      <c r="P14838" s="42"/>
      <c r="AB14838" s="38"/>
    </row>
    <row r="14839">
      <c r="P14839" s="42"/>
      <c r="AB14839" s="38"/>
    </row>
    <row r="14840">
      <c r="P14840" s="42"/>
      <c r="AB14840" s="38"/>
    </row>
    <row r="14841">
      <c r="P14841" s="42"/>
      <c r="AB14841" s="38"/>
    </row>
    <row r="14842">
      <c r="P14842" s="42"/>
      <c r="AB14842" s="38"/>
    </row>
    <row r="14843">
      <c r="P14843" s="42"/>
      <c r="AB14843" s="38"/>
    </row>
    <row r="14844">
      <c r="P14844" s="42"/>
      <c r="AB14844" s="38"/>
    </row>
    <row r="14845">
      <c r="P14845" s="42"/>
      <c r="AB14845" s="38"/>
    </row>
    <row r="14846">
      <c r="P14846" s="42"/>
      <c r="AB14846" s="38"/>
    </row>
    <row r="14847">
      <c r="P14847" s="42"/>
      <c r="AB14847" s="38"/>
    </row>
    <row r="14848">
      <c r="P14848" s="42"/>
      <c r="AB14848" s="38"/>
    </row>
    <row r="14849">
      <c r="P14849" s="42"/>
      <c r="AB14849" s="38"/>
    </row>
    <row r="14850">
      <c r="P14850" s="42"/>
      <c r="AB14850" s="38"/>
    </row>
    <row r="14851">
      <c r="P14851" s="42"/>
      <c r="AB14851" s="38"/>
    </row>
    <row r="14852">
      <c r="P14852" s="42"/>
      <c r="AB14852" s="38"/>
    </row>
    <row r="14853">
      <c r="P14853" s="42"/>
      <c r="AB14853" s="38"/>
    </row>
    <row r="14854">
      <c r="P14854" s="42"/>
      <c r="AB14854" s="38"/>
    </row>
    <row r="14855">
      <c r="P14855" s="42"/>
      <c r="AB14855" s="38"/>
    </row>
    <row r="14856">
      <c r="P14856" s="42"/>
      <c r="AB14856" s="38"/>
    </row>
    <row r="14857">
      <c r="P14857" s="42"/>
      <c r="AB14857" s="38"/>
    </row>
    <row r="14858">
      <c r="P14858" s="42"/>
      <c r="AB14858" s="38"/>
    </row>
    <row r="14859">
      <c r="P14859" s="42"/>
      <c r="AB14859" s="38"/>
    </row>
    <row r="14860">
      <c r="P14860" s="42"/>
      <c r="AB14860" s="38"/>
    </row>
    <row r="14861">
      <c r="P14861" s="42"/>
      <c r="AB14861" s="38"/>
    </row>
    <row r="14862">
      <c r="P14862" s="42"/>
      <c r="AB14862" s="38"/>
    </row>
    <row r="14863">
      <c r="P14863" s="42"/>
      <c r="AB14863" s="38"/>
    </row>
    <row r="14864">
      <c r="P14864" s="42"/>
      <c r="AB14864" s="38"/>
    </row>
    <row r="14865">
      <c r="P14865" s="42"/>
      <c r="AB14865" s="38"/>
    </row>
    <row r="14866">
      <c r="P14866" s="42"/>
      <c r="AB14866" s="38"/>
    </row>
    <row r="14867">
      <c r="P14867" s="42"/>
      <c r="AB14867" s="38"/>
    </row>
    <row r="14868">
      <c r="P14868" s="42"/>
      <c r="AB14868" s="38"/>
    </row>
    <row r="14869">
      <c r="P14869" s="42"/>
      <c r="AB14869" s="38"/>
    </row>
    <row r="14870">
      <c r="P14870" s="42"/>
      <c r="AB14870" s="38"/>
    </row>
    <row r="14871">
      <c r="P14871" s="42"/>
      <c r="AB14871" s="38"/>
    </row>
    <row r="14872">
      <c r="P14872" s="42"/>
      <c r="AB14872" s="38"/>
    </row>
    <row r="14873">
      <c r="P14873" s="42"/>
      <c r="AB14873" s="38"/>
    </row>
    <row r="14874">
      <c r="P14874" s="42"/>
      <c r="AB14874" s="38"/>
    </row>
    <row r="14875">
      <c r="P14875" s="42"/>
      <c r="AB14875" s="38"/>
    </row>
    <row r="14876">
      <c r="P14876" s="42"/>
      <c r="AB14876" s="38"/>
    </row>
    <row r="14877">
      <c r="P14877" s="42"/>
      <c r="AB14877" s="38"/>
    </row>
    <row r="14878">
      <c r="P14878" s="42"/>
      <c r="AB14878" s="38"/>
    </row>
    <row r="14879">
      <c r="P14879" s="42"/>
      <c r="AB14879" s="38"/>
    </row>
    <row r="14880">
      <c r="P14880" s="42"/>
      <c r="AB14880" s="38"/>
    </row>
    <row r="14881">
      <c r="P14881" s="42"/>
      <c r="AB14881" s="38"/>
    </row>
    <row r="14882">
      <c r="P14882" s="42"/>
      <c r="AB14882" s="38"/>
    </row>
    <row r="14883">
      <c r="P14883" s="42"/>
      <c r="AB14883" s="38"/>
    </row>
    <row r="14884">
      <c r="P14884" s="42"/>
      <c r="AB14884" s="38"/>
    </row>
    <row r="14885">
      <c r="P14885" s="42"/>
      <c r="AB14885" s="38"/>
    </row>
    <row r="14886">
      <c r="P14886" s="42"/>
      <c r="AB14886" s="38"/>
    </row>
    <row r="14887">
      <c r="P14887" s="42"/>
      <c r="AB14887" s="38"/>
    </row>
    <row r="14888">
      <c r="P14888" s="42"/>
      <c r="AB14888" s="38"/>
    </row>
    <row r="14889">
      <c r="P14889" s="42"/>
      <c r="AB14889" s="38"/>
    </row>
    <row r="14890">
      <c r="P14890" s="42"/>
      <c r="AB14890" s="38"/>
    </row>
    <row r="14891">
      <c r="P14891" s="42"/>
      <c r="AB14891" s="38"/>
    </row>
    <row r="14892">
      <c r="P14892" s="42"/>
      <c r="AB14892" s="38"/>
    </row>
    <row r="14893">
      <c r="P14893" s="42"/>
      <c r="AB14893" s="38"/>
    </row>
    <row r="14894">
      <c r="P14894" s="42"/>
      <c r="AB14894" s="38"/>
    </row>
    <row r="14895">
      <c r="P14895" s="42"/>
      <c r="AB14895" s="38"/>
    </row>
    <row r="14896">
      <c r="P14896" s="42"/>
      <c r="AB14896" s="38"/>
    </row>
    <row r="14897">
      <c r="P14897" s="42"/>
      <c r="AB14897" s="38"/>
    </row>
    <row r="14898">
      <c r="P14898" s="42"/>
      <c r="AB14898" s="38"/>
    </row>
    <row r="14899">
      <c r="P14899" s="42"/>
      <c r="AB14899" s="38"/>
    </row>
    <row r="14900">
      <c r="P14900" s="42"/>
      <c r="AB14900" s="38"/>
    </row>
    <row r="14901">
      <c r="P14901" s="42"/>
      <c r="AB14901" s="38"/>
    </row>
    <row r="14902">
      <c r="P14902" s="42"/>
      <c r="AB14902" s="38"/>
    </row>
    <row r="14903">
      <c r="P14903" s="42"/>
      <c r="AB14903" s="38"/>
    </row>
    <row r="14904">
      <c r="P14904" s="42"/>
      <c r="AB14904" s="38"/>
    </row>
    <row r="14905">
      <c r="P14905" s="42"/>
      <c r="AB14905" s="38"/>
    </row>
    <row r="14906">
      <c r="P14906" s="42"/>
      <c r="AB14906" s="38"/>
    </row>
    <row r="14907">
      <c r="P14907" s="42"/>
      <c r="AB14907" s="38"/>
    </row>
    <row r="14908">
      <c r="P14908" s="42"/>
      <c r="AB14908" s="38"/>
    </row>
    <row r="14909">
      <c r="P14909" s="42"/>
      <c r="AB14909" s="38"/>
    </row>
    <row r="14910">
      <c r="P14910" s="42"/>
      <c r="AB14910" s="38"/>
    </row>
    <row r="14911">
      <c r="P14911" s="42"/>
      <c r="AB14911" s="38"/>
    </row>
    <row r="14912">
      <c r="P14912" s="42"/>
      <c r="AB14912" s="38"/>
    </row>
    <row r="14913">
      <c r="P14913" s="42"/>
      <c r="AB14913" s="38"/>
    </row>
    <row r="14914">
      <c r="P14914" s="42"/>
      <c r="AB14914" s="38"/>
    </row>
    <row r="14915">
      <c r="P14915" s="42"/>
      <c r="AB14915" s="38"/>
    </row>
    <row r="14916">
      <c r="P14916" s="42"/>
      <c r="AB14916" s="38"/>
    </row>
    <row r="14917">
      <c r="P14917" s="42"/>
      <c r="AB14917" s="38"/>
    </row>
    <row r="14918">
      <c r="P14918" s="42"/>
      <c r="AB14918" s="38"/>
    </row>
    <row r="14919">
      <c r="P14919" s="42"/>
      <c r="AB14919" s="38"/>
    </row>
    <row r="14920">
      <c r="P14920" s="42"/>
      <c r="AB14920" s="38"/>
    </row>
    <row r="14921">
      <c r="P14921" s="42"/>
      <c r="AB14921" s="38"/>
    </row>
    <row r="14922">
      <c r="P14922" s="42"/>
      <c r="AB14922" s="38"/>
    </row>
    <row r="14923">
      <c r="P14923" s="42"/>
      <c r="AB14923" s="38"/>
    </row>
    <row r="14924">
      <c r="P14924" s="42"/>
      <c r="AB14924" s="38"/>
    </row>
    <row r="14925">
      <c r="P14925" s="42"/>
      <c r="AB14925" s="38"/>
    </row>
    <row r="14926">
      <c r="P14926" s="42"/>
      <c r="AB14926" s="38"/>
    </row>
    <row r="14927">
      <c r="P14927" s="42"/>
      <c r="AB14927" s="38"/>
    </row>
    <row r="14928">
      <c r="P14928" s="42"/>
      <c r="AB14928" s="38"/>
    </row>
    <row r="14929">
      <c r="P14929" s="42"/>
      <c r="AB14929" s="38"/>
    </row>
    <row r="14930">
      <c r="P14930" s="42"/>
      <c r="AB14930" s="38"/>
    </row>
    <row r="14931">
      <c r="P14931" s="42"/>
      <c r="AB14931" s="38"/>
    </row>
    <row r="14932">
      <c r="P14932" s="42"/>
      <c r="AB14932" s="38"/>
    </row>
    <row r="14933">
      <c r="P14933" s="42"/>
      <c r="AB14933" s="38"/>
    </row>
    <row r="14934">
      <c r="P14934" s="42"/>
      <c r="AB14934" s="38"/>
    </row>
    <row r="14935">
      <c r="P14935" s="42"/>
      <c r="AB14935" s="38"/>
    </row>
    <row r="14936">
      <c r="P14936" s="42"/>
      <c r="AB14936" s="38"/>
    </row>
    <row r="14937">
      <c r="P14937" s="42"/>
      <c r="AB14937" s="38"/>
    </row>
    <row r="14938">
      <c r="P14938" s="42"/>
      <c r="AB14938" s="38"/>
    </row>
    <row r="14939">
      <c r="P14939" s="42"/>
      <c r="AB14939" s="38"/>
    </row>
    <row r="14940">
      <c r="P14940" s="42"/>
      <c r="AB14940" s="38"/>
    </row>
    <row r="14941">
      <c r="P14941" s="42"/>
      <c r="AB14941" s="38"/>
    </row>
    <row r="14942">
      <c r="P14942" s="42"/>
      <c r="AB14942" s="38"/>
    </row>
    <row r="14943">
      <c r="P14943" s="42"/>
      <c r="AB14943" s="38"/>
    </row>
    <row r="14944">
      <c r="P14944" s="42"/>
      <c r="AB14944" s="38"/>
    </row>
    <row r="14945">
      <c r="P14945" s="42"/>
      <c r="AB14945" s="38"/>
    </row>
    <row r="14946">
      <c r="P14946" s="42"/>
      <c r="AB14946" s="38"/>
    </row>
    <row r="14947">
      <c r="P14947" s="42"/>
      <c r="AB14947" s="38"/>
    </row>
    <row r="14948">
      <c r="P14948" s="42"/>
      <c r="AB14948" s="38"/>
    </row>
    <row r="14949">
      <c r="P14949" s="42"/>
      <c r="AB14949" s="38"/>
    </row>
    <row r="14950">
      <c r="P14950" s="42"/>
      <c r="AB14950" s="38"/>
    </row>
    <row r="14951">
      <c r="P14951" s="42"/>
      <c r="AB14951" s="38"/>
    </row>
    <row r="14952">
      <c r="P14952" s="42"/>
      <c r="AB14952" s="38"/>
    </row>
    <row r="14953">
      <c r="P14953" s="42"/>
      <c r="AB14953" s="38"/>
    </row>
    <row r="14954">
      <c r="P14954" s="42"/>
      <c r="AB14954" s="38"/>
    </row>
    <row r="14955">
      <c r="P14955" s="42"/>
      <c r="AB14955" s="38"/>
    </row>
    <row r="14956">
      <c r="P14956" s="42"/>
      <c r="AB14956" s="38"/>
    </row>
    <row r="14957">
      <c r="P14957" s="42"/>
      <c r="AB14957" s="38"/>
    </row>
    <row r="14958">
      <c r="P14958" s="42"/>
      <c r="AB14958" s="38"/>
    </row>
    <row r="14959">
      <c r="P14959" s="42"/>
      <c r="AB14959" s="38"/>
    </row>
    <row r="14960">
      <c r="P14960" s="42"/>
      <c r="AB14960" s="38"/>
    </row>
    <row r="14961">
      <c r="P14961" s="42"/>
      <c r="AB14961" s="38"/>
    </row>
    <row r="14962">
      <c r="P14962" s="42"/>
      <c r="AB14962" s="38"/>
    </row>
    <row r="14963">
      <c r="P14963" s="42"/>
      <c r="AB14963" s="38"/>
    </row>
    <row r="14964">
      <c r="P14964" s="42"/>
      <c r="AB14964" s="38"/>
    </row>
    <row r="14965">
      <c r="P14965" s="42"/>
      <c r="AB14965" s="38"/>
    </row>
    <row r="14966">
      <c r="P14966" s="42"/>
      <c r="AB14966" s="38"/>
    </row>
    <row r="14967">
      <c r="P14967" s="42"/>
      <c r="AB14967" s="38"/>
    </row>
    <row r="14968">
      <c r="P14968" s="42"/>
      <c r="AB14968" s="38"/>
    </row>
    <row r="14969">
      <c r="P14969" s="42"/>
      <c r="AB14969" s="38"/>
    </row>
    <row r="14970">
      <c r="P14970" s="42"/>
      <c r="AB14970" s="38"/>
    </row>
    <row r="14971">
      <c r="P14971" s="42"/>
      <c r="AB14971" s="38"/>
    </row>
    <row r="14972">
      <c r="P14972" s="42"/>
      <c r="AB14972" s="38"/>
    </row>
    <row r="14973">
      <c r="P14973" s="42"/>
      <c r="AB14973" s="38"/>
    </row>
    <row r="14974">
      <c r="P14974" s="42"/>
      <c r="AB14974" s="38"/>
    </row>
    <row r="14975">
      <c r="P14975" s="42"/>
      <c r="AB14975" s="38"/>
    </row>
    <row r="14976">
      <c r="P14976" s="42"/>
      <c r="AB14976" s="38"/>
    </row>
    <row r="14977">
      <c r="P14977" s="42"/>
      <c r="AB14977" s="38"/>
    </row>
    <row r="14978">
      <c r="P14978" s="42"/>
      <c r="AB14978" s="38"/>
    </row>
    <row r="14979">
      <c r="P14979" s="42"/>
      <c r="AB14979" s="38"/>
    </row>
    <row r="14980">
      <c r="P14980" s="42"/>
      <c r="AB14980" s="38"/>
    </row>
    <row r="14981">
      <c r="P14981" s="42"/>
      <c r="AB14981" s="38"/>
    </row>
    <row r="14982">
      <c r="P14982" s="42"/>
      <c r="AB14982" s="38"/>
    </row>
    <row r="14983">
      <c r="P14983" s="42"/>
      <c r="AB14983" s="38"/>
    </row>
    <row r="14984">
      <c r="P14984" s="42"/>
      <c r="AB14984" s="38"/>
    </row>
    <row r="14985">
      <c r="P14985" s="42"/>
      <c r="AB14985" s="38"/>
    </row>
    <row r="14986">
      <c r="P14986" s="42"/>
      <c r="AB14986" s="38"/>
    </row>
    <row r="14987">
      <c r="P14987" s="42"/>
      <c r="AB14987" s="38"/>
    </row>
    <row r="14988">
      <c r="P14988" s="42"/>
      <c r="AB14988" s="38"/>
    </row>
    <row r="14989">
      <c r="P14989" s="42"/>
      <c r="AB14989" s="38"/>
    </row>
    <row r="14990">
      <c r="P14990" s="42"/>
      <c r="AB14990" s="38"/>
    </row>
    <row r="14991">
      <c r="P14991" s="42"/>
      <c r="AB14991" s="38"/>
    </row>
    <row r="14992">
      <c r="P14992" s="42"/>
      <c r="AB14992" s="38"/>
    </row>
    <row r="14993">
      <c r="P14993" s="42"/>
      <c r="AB14993" s="38"/>
    </row>
    <row r="14994">
      <c r="P14994" s="42"/>
      <c r="AB14994" s="38"/>
    </row>
    <row r="14995">
      <c r="P14995" s="42"/>
      <c r="AB14995" s="38"/>
    </row>
    <row r="14996">
      <c r="P14996" s="42"/>
      <c r="AB14996" s="38"/>
    </row>
    <row r="14997">
      <c r="P14997" s="42"/>
      <c r="AB14997" s="38"/>
    </row>
    <row r="14998">
      <c r="P14998" s="42"/>
      <c r="AB14998" s="38"/>
    </row>
    <row r="14999">
      <c r="P14999" s="42"/>
      <c r="AB14999" s="38"/>
    </row>
    <row r="15000">
      <c r="P15000" s="42"/>
      <c r="AB15000" s="38"/>
    </row>
    <row r="15001">
      <c r="P15001" s="42"/>
      <c r="AB15001" s="38"/>
    </row>
    <row r="15002">
      <c r="P15002" s="42"/>
      <c r="AB15002" s="38"/>
    </row>
    <row r="15003">
      <c r="P15003" s="42"/>
      <c r="AB15003" s="38"/>
    </row>
    <row r="15004">
      <c r="P15004" s="42"/>
      <c r="AB15004" s="38"/>
    </row>
    <row r="15005">
      <c r="P15005" s="42"/>
      <c r="AB15005" s="38"/>
    </row>
    <row r="15006">
      <c r="P15006" s="42"/>
      <c r="AB15006" s="38"/>
    </row>
    <row r="15007">
      <c r="P15007" s="42"/>
      <c r="AB15007" s="38"/>
    </row>
    <row r="15008">
      <c r="P15008" s="42"/>
      <c r="AB15008" s="38"/>
    </row>
    <row r="15009">
      <c r="P15009" s="42"/>
      <c r="AB15009" s="38"/>
    </row>
    <row r="15010">
      <c r="P15010" s="42"/>
      <c r="AB15010" s="38"/>
    </row>
    <row r="15011">
      <c r="P15011" s="42"/>
      <c r="AB15011" s="38"/>
    </row>
    <row r="15012">
      <c r="P15012" s="42"/>
      <c r="AB15012" s="38"/>
    </row>
    <row r="15013">
      <c r="P15013" s="42"/>
      <c r="AB15013" s="38"/>
    </row>
    <row r="15014">
      <c r="P15014" s="42"/>
      <c r="AB15014" s="38"/>
    </row>
    <row r="15015">
      <c r="P15015" s="42"/>
      <c r="AB15015" s="38"/>
    </row>
    <row r="15016">
      <c r="P15016" s="42"/>
      <c r="AB15016" s="38"/>
    </row>
    <row r="15017">
      <c r="P15017" s="42"/>
      <c r="AB15017" s="38"/>
    </row>
    <row r="15018">
      <c r="P15018" s="42"/>
      <c r="AB15018" s="38"/>
    </row>
    <row r="15019">
      <c r="P15019" s="42"/>
      <c r="AB15019" s="38"/>
    </row>
    <row r="15020">
      <c r="P15020" s="42"/>
      <c r="AB15020" s="38"/>
    </row>
    <row r="15021">
      <c r="P15021" s="42"/>
      <c r="AB15021" s="38"/>
    </row>
    <row r="15022">
      <c r="P15022" s="42"/>
      <c r="AB15022" s="38"/>
    </row>
    <row r="15023">
      <c r="P15023" s="42"/>
      <c r="AB15023" s="38"/>
    </row>
    <row r="15024">
      <c r="P15024" s="42"/>
      <c r="AB15024" s="38"/>
    </row>
    <row r="15025">
      <c r="P15025" s="42"/>
      <c r="AB15025" s="38"/>
    </row>
    <row r="15026">
      <c r="P15026" s="42"/>
      <c r="AB15026" s="38"/>
    </row>
    <row r="15027">
      <c r="P15027" s="42"/>
      <c r="AB15027" s="38"/>
    </row>
    <row r="15028">
      <c r="P15028" s="42"/>
      <c r="AB15028" s="38"/>
    </row>
    <row r="15029">
      <c r="P15029" s="42"/>
      <c r="AB15029" s="38"/>
    </row>
    <row r="15030">
      <c r="P15030" s="42"/>
      <c r="AB15030" s="38"/>
    </row>
    <row r="15031">
      <c r="P15031" s="42"/>
      <c r="AB15031" s="38"/>
    </row>
    <row r="15032">
      <c r="P15032" s="42"/>
      <c r="AB15032" s="38"/>
    </row>
    <row r="15033">
      <c r="P15033" s="42"/>
      <c r="AB15033" s="38"/>
    </row>
    <row r="15034">
      <c r="P15034" s="42"/>
      <c r="AB15034" s="38"/>
    </row>
    <row r="15035">
      <c r="P15035" s="42"/>
      <c r="AB15035" s="38"/>
    </row>
    <row r="15036">
      <c r="P15036" s="42"/>
      <c r="AB15036" s="38"/>
    </row>
    <row r="15037">
      <c r="P15037" s="42"/>
      <c r="AB15037" s="38"/>
    </row>
    <row r="15038">
      <c r="P15038" s="42"/>
      <c r="AB15038" s="38"/>
    </row>
    <row r="15039">
      <c r="P15039" s="42"/>
      <c r="AB15039" s="38"/>
    </row>
    <row r="15040">
      <c r="P15040" s="42"/>
      <c r="AB15040" s="38"/>
    </row>
    <row r="15041">
      <c r="P15041" s="42"/>
      <c r="AB15041" s="38"/>
    </row>
    <row r="15042">
      <c r="P15042" s="42"/>
      <c r="AB15042" s="38"/>
    </row>
    <row r="15043">
      <c r="P15043" s="42"/>
      <c r="AB15043" s="38"/>
    </row>
    <row r="15044">
      <c r="P15044" s="42"/>
      <c r="AB15044" s="38"/>
    </row>
    <row r="15045">
      <c r="P15045" s="42"/>
      <c r="AB15045" s="38"/>
    </row>
    <row r="15046">
      <c r="P15046" s="42"/>
      <c r="AB15046" s="38"/>
    </row>
    <row r="15047">
      <c r="P15047" s="42"/>
      <c r="AB15047" s="38"/>
    </row>
    <row r="15048">
      <c r="P15048" s="42"/>
      <c r="AB15048" s="38"/>
    </row>
    <row r="15049">
      <c r="P15049" s="42"/>
      <c r="AB15049" s="38"/>
    </row>
    <row r="15050">
      <c r="P15050" s="42"/>
      <c r="AB15050" s="38"/>
    </row>
    <row r="15051">
      <c r="P15051" s="42"/>
      <c r="AB15051" s="38"/>
    </row>
    <row r="15052">
      <c r="P15052" s="42"/>
      <c r="AB15052" s="38"/>
    </row>
    <row r="15053">
      <c r="P15053" s="42"/>
      <c r="AB15053" s="38"/>
    </row>
    <row r="15054">
      <c r="P15054" s="42"/>
      <c r="AB15054" s="38"/>
    </row>
    <row r="15055">
      <c r="P15055" s="42"/>
      <c r="AB15055" s="38"/>
    </row>
    <row r="15056">
      <c r="P15056" s="42"/>
      <c r="AB15056" s="38"/>
    </row>
    <row r="15057">
      <c r="P15057" s="42"/>
      <c r="AB15057" s="38"/>
    </row>
    <row r="15058">
      <c r="P15058" s="42"/>
      <c r="AB15058" s="38"/>
    </row>
    <row r="15059">
      <c r="P15059" s="42"/>
      <c r="AB15059" s="38"/>
    </row>
    <row r="15060">
      <c r="P15060" s="42"/>
      <c r="AB15060" s="38"/>
    </row>
    <row r="15061">
      <c r="P15061" s="42"/>
      <c r="AB15061" s="38"/>
    </row>
    <row r="15062">
      <c r="P15062" s="42"/>
      <c r="AB15062" s="38"/>
    </row>
    <row r="15063">
      <c r="P15063" s="42"/>
      <c r="AB15063" s="38"/>
    </row>
    <row r="15064">
      <c r="P15064" s="42"/>
      <c r="AB15064" s="38"/>
    </row>
    <row r="15065">
      <c r="P15065" s="42"/>
      <c r="AB15065" s="38"/>
    </row>
    <row r="15066">
      <c r="P15066" s="42"/>
      <c r="AB15066" s="38"/>
    </row>
    <row r="15067">
      <c r="P15067" s="42"/>
      <c r="AB15067" s="38"/>
    </row>
    <row r="15068">
      <c r="P15068" s="42"/>
      <c r="AB15068" s="38"/>
    </row>
    <row r="15069">
      <c r="P15069" s="42"/>
      <c r="AB15069" s="38"/>
    </row>
    <row r="15070">
      <c r="P15070" s="42"/>
      <c r="AB15070" s="38"/>
    </row>
    <row r="15071">
      <c r="P15071" s="42"/>
      <c r="AB15071" s="38"/>
    </row>
    <row r="15072">
      <c r="P15072" s="42"/>
      <c r="AB15072" s="38"/>
    </row>
    <row r="15073">
      <c r="P15073" s="42"/>
      <c r="AB15073" s="38"/>
    </row>
    <row r="15074">
      <c r="P15074" s="42"/>
      <c r="AB15074" s="38"/>
    </row>
    <row r="15075">
      <c r="P15075" s="42"/>
      <c r="AB15075" s="38"/>
    </row>
    <row r="15076">
      <c r="P15076" s="42"/>
      <c r="AB15076" s="38"/>
    </row>
    <row r="15077">
      <c r="P15077" s="42"/>
      <c r="AB15077" s="38"/>
    </row>
    <row r="15078">
      <c r="P15078" s="42"/>
      <c r="AB15078" s="38"/>
    </row>
    <row r="15079">
      <c r="P15079" s="42"/>
      <c r="AB15079" s="38"/>
    </row>
    <row r="15080">
      <c r="P15080" s="42"/>
      <c r="AB15080" s="38"/>
    </row>
    <row r="15081">
      <c r="P15081" s="42"/>
      <c r="AB15081" s="38"/>
    </row>
    <row r="15082">
      <c r="P15082" s="42"/>
      <c r="AB15082" s="38"/>
    </row>
    <row r="15083">
      <c r="P15083" s="42"/>
      <c r="AB15083" s="38"/>
    </row>
    <row r="15084">
      <c r="P15084" s="42"/>
      <c r="AB15084" s="38"/>
    </row>
    <row r="15085">
      <c r="P15085" s="42"/>
      <c r="AB15085" s="38"/>
    </row>
    <row r="15086">
      <c r="P15086" s="42"/>
      <c r="AB15086" s="38"/>
    </row>
    <row r="15087">
      <c r="P15087" s="42"/>
      <c r="AB15087" s="38"/>
    </row>
    <row r="15088">
      <c r="P15088" s="42"/>
      <c r="AB15088" s="38"/>
    </row>
    <row r="15089">
      <c r="P15089" s="42"/>
      <c r="AB15089" s="38"/>
    </row>
    <row r="15090">
      <c r="P15090" s="42"/>
      <c r="AB15090" s="38"/>
    </row>
    <row r="15091">
      <c r="P15091" s="42"/>
      <c r="AB15091" s="38"/>
    </row>
    <row r="15092">
      <c r="P15092" s="42"/>
      <c r="AB15092" s="38"/>
    </row>
    <row r="15093">
      <c r="P15093" s="42"/>
      <c r="AB15093" s="38"/>
    </row>
    <row r="15094">
      <c r="P15094" s="42"/>
      <c r="AB15094" s="38"/>
    </row>
    <row r="15095">
      <c r="P15095" s="42"/>
      <c r="AB15095" s="38"/>
    </row>
    <row r="15096">
      <c r="P15096" s="42"/>
      <c r="AB15096" s="38"/>
    </row>
    <row r="15097">
      <c r="P15097" s="42"/>
      <c r="AB15097" s="38"/>
    </row>
    <row r="15098">
      <c r="P15098" s="42"/>
      <c r="AB15098" s="38"/>
    </row>
    <row r="15099">
      <c r="P15099" s="42"/>
      <c r="AB15099" s="38"/>
    </row>
    <row r="15100">
      <c r="P15100" s="42"/>
      <c r="AB15100" s="38"/>
    </row>
    <row r="15101">
      <c r="P15101" s="42"/>
      <c r="AB15101" s="38"/>
    </row>
    <row r="15102">
      <c r="P15102" s="42"/>
      <c r="AB15102" s="38"/>
    </row>
    <row r="15103">
      <c r="P15103" s="42"/>
      <c r="AB15103" s="38"/>
    </row>
    <row r="15104">
      <c r="P15104" s="42"/>
      <c r="AB15104" s="38"/>
    </row>
    <row r="15105">
      <c r="P15105" s="42"/>
      <c r="AB15105" s="38"/>
    </row>
    <row r="15106">
      <c r="P15106" s="42"/>
      <c r="AB15106" s="38"/>
    </row>
    <row r="15107">
      <c r="P15107" s="42"/>
      <c r="AB15107" s="38"/>
    </row>
    <row r="15108">
      <c r="P15108" s="42"/>
      <c r="AB15108" s="38"/>
    </row>
    <row r="15109">
      <c r="P15109" s="42"/>
      <c r="AB15109" s="38"/>
    </row>
    <row r="15110">
      <c r="P15110" s="42"/>
      <c r="AB15110" s="38"/>
    </row>
    <row r="15111">
      <c r="P15111" s="42"/>
      <c r="AB15111" s="38"/>
    </row>
    <row r="15112">
      <c r="P15112" s="42"/>
      <c r="AB15112" s="38"/>
    </row>
    <row r="15113">
      <c r="P15113" s="42"/>
      <c r="AB15113" s="38"/>
    </row>
    <row r="15114">
      <c r="P15114" s="42"/>
      <c r="AB15114" s="38"/>
    </row>
    <row r="15115">
      <c r="P15115" s="42"/>
      <c r="AB15115" s="38"/>
    </row>
    <row r="15116">
      <c r="P15116" s="42"/>
      <c r="AB15116" s="38"/>
    </row>
    <row r="15117">
      <c r="P15117" s="42"/>
      <c r="AB15117" s="38"/>
    </row>
    <row r="15118">
      <c r="P15118" s="42"/>
      <c r="AB15118" s="38"/>
    </row>
    <row r="15119">
      <c r="P15119" s="42"/>
      <c r="AB15119" s="38"/>
    </row>
    <row r="15120">
      <c r="P15120" s="42"/>
      <c r="AB15120" s="38"/>
    </row>
    <row r="15121">
      <c r="P15121" s="42"/>
      <c r="AB15121" s="38"/>
    </row>
    <row r="15122">
      <c r="P15122" s="42"/>
      <c r="AB15122" s="38"/>
    </row>
    <row r="15123">
      <c r="P15123" s="42"/>
      <c r="AB15123" s="38"/>
    </row>
    <row r="15124">
      <c r="P15124" s="42"/>
      <c r="AB15124" s="38"/>
    </row>
    <row r="15125">
      <c r="P15125" s="42"/>
      <c r="AB15125" s="38"/>
    </row>
    <row r="15126">
      <c r="P15126" s="42"/>
      <c r="AB15126" s="38"/>
    </row>
    <row r="15127">
      <c r="P15127" s="42"/>
      <c r="AB15127" s="38"/>
    </row>
    <row r="15128">
      <c r="P15128" s="42"/>
      <c r="AB15128" s="38"/>
    </row>
    <row r="15129">
      <c r="P15129" s="42"/>
      <c r="AB15129" s="38"/>
    </row>
    <row r="15130">
      <c r="P15130" s="42"/>
      <c r="AB15130" s="38"/>
    </row>
    <row r="15131">
      <c r="P15131" s="42"/>
      <c r="AB15131" s="38"/>
    </row>
    <row r="15132">
      <c r="P15132" s="42"/>
      <c r="AB15132" s="38"/>
    </row>
    <row r="15133">
      <c r="P15133" s="42"/>
      <c r="AB15133" s="38"/>
    </row>
    <row r="15134">
      <c r="P15134" s="42"/>
      <c r="AB15134" s="38"/>
    </row>
    <row r="15135">
      <c r="P15135" s="42"/>
      <c r="AB15135" s="38"/>
    </row>
    <row r="15136">
      <c r="P15136" s="42"/>
      <c r="AB15136" s="38"/>
    </row>
    <row r="15137">
      <c r="P15137" s="42"/>
      <c r="AB15137" s="38"/>
    </row>
    <row r="15138">
      <c r="P15138" s="42"/>
      <c r="AB15138" s="38"/>
    </row>
    <row r="15139">
      <c r="P15139" s="42"/>
      <c r="AB15139" s="38"/>
    </row>
    <row r="15140">
      <c r="P15140" s="42"/>
      <c r="AB15140" s="38"/>
    </row>
    <row r="15141">
      <c r="P15141" s="42"/>
      <c r="AB15141" s="38"/>
    </row>
    <row r="15142">
      <c r="P15142" s="42"/>
      <c r="AB15142" s="38"/>
    </row>
    <row r="15143">
      <c r="P15143" s="42"/>
      <c r="AB15143" s="38"/>
    </row>
    <row r="15144">
      <c r="P15144" s="42"/>
      <c r="AB15144" s="38"/>
    </row>
    <row r="15145">
      <c r="P15145" s="42"/>
      <c r="AB15145" s="38"/>
    </row>
    <row r="15146">
      <c r="P15146" s="42"/>
      <c r="AB15146" s="38"/>
    </row>
    <row r="15147">
      <c r="P15147" s="42"/>
      <c r="AB15147" s="38"/>
    </row>
    <row r="15148">
      <c r="P15148" s="42"/>
      <c r="AB15148" s="38"/>
    </row>
    <row r="15149">
      <c r="P15149" s="42"/>
      <c r="AB15149" s="38"/>
    </row>
    <row r="15150">
      <c r="P15150" s="42"/>
      <c r="AB15150" s="38"/>
    </row>
    <row r="15151">
      <c r="P15151" s="42"/>
      <c r="AB15151" s="38"/>
    </row>
    <row r="15152">
      <c r="P15152" s="42"/>
      <c r="AB15152" s="38"/>
    </row>
    <row r="15153">
      <c r="P15153" s="42"/>
      <c r="AB15153" s="38"/>
    </row>
    <row r="15154">
      <c r="P15154" s="42"/>
      <c r="AB15154" s="38"/>
    </row>
    <row r="15155">
      <c r="P15155" s="42"/>
      <c r="AB15155" s="38"/>
    </row>
    <row r="15156">
      <c r="P15156" s="42"/>
      <c r="AB15156" s="38"/>
    </row>
    <row r="15157">
      <c r="P15157" s="42"/>
      <c r="AB15157" s="38"/>
    </row>
    <row r="15158">
      <c r="P15158" s="42"/>
      <c r="AB15158" s="38"/>
    </row>
    <row r="15159">
      <c r="P15159" s="42"/>
      <c r="AB15159" s="38"/>
    </row>
    <row r="15160">
      <c r="P15160" s="42"/>
      <c r="AB15160" s="38"/>
    </row>
    <row r="15161">
      <c r="P15161" s="42"/>
      <c r="AB15161" s="38"/>
    </row>
    <row r="15162">
      <c r="P15162" s="42"/>
      <c r="AB15162" s="38"/>
    </row>
    <row r="15163">
      <c r="P15163" s="42"/>
      <c r="AB15163" s="38"/>
    </row>
    <row r="15164">
      <c r="P15164" s="42"/>
      <c r="AB15164" s="38"/>
    </row>
    <row r="15165">
      <c r="P15165" s="42"/>
      <c r="AB15165" s="38"/>
    </row>
    <row r="15166">
      <c r="P15166" s="42"/>
      <c r="AB15166" s="38"/>
    </row>
    <row r="15167">
      <c r="P15167" s="42"/>
      <c r="AB15167" s="38"/>
    </row>
    <row r="15168">
      <c r="P15168" s="42"/>
      <c r="AB15168" s="38"/>
    </row>
    <row r="15169">
      <c r="P15169" s="42"/>
      <c r="AB15169" s="38"/>
    </row>
    <row r="15170">
      <c r="P15170" s="42"/>
      <c r="AB15170" s="38"/>
    </row>
    <row r="15171">
      <c r="P15171" s="42"/>
      <c r="AB15171" s="38"/>
    </row>
    <row r="15172">
      <c r="P15172" s="42"/>
      <c r="AB15172" s="38"/>
    </row>
    <row r="15173">
      <c r="P15173" s="42"/>
      <c r="AB15173" s="38"/>
    </row>
    <row r="15174">
      <c r="P15174" s="42"/>
      <c r="AB15174" s="38"/>
    </row>
    <row r="15175">
      <c r="P15175" s="42"/>
      <c r="AB15175" s="38"/>
    </row>
    <row r="15176">
      <c r="P15176" s="42"/>
      <c r="AB15176" s="38"/>
    </row>
    <row r="15177">
      <c r="P15177" s="42"/>
      <c r="AB15177" s="38"/>
    </row>
    <row r="15178">
      <c r="P15178" s="42"/>
      <c r="AB15178" s="38"/>
    </row>
    <row r="15179">
      <c r="P15179" s="42"/>
      <c r="AB15179" s="38"/>
    </row>
    <row r="15180">
      <c r="P15180" s="42"/>
      <c r="AB15180" s="38"/>
    </row>
    <row r="15181">
      <c r="P15181" s="42"/>
      <c r="AB15181" s="38"/>
    </row>
    <row r="15182">
      <c r="P15182" s="42"/>
      <c r="AB15182" s="38"/>
    </row>
    <row r="15183">
      <c r="P15183" s="42"/>
      <c r="AB15183" s="38"/>
    </row>
    <row r="15184">
      <c r="P15184" s="42"/>
      <c r="AB15184" s="38"/>
    </row>
    <row r="15185">
      <c r="P15185" s="42"/>
      <c r="AB15185" s="38"/>
    </row>
    <row r="15186">
      <c r="P15186" s="42"/>
      <c r="AB15186" s="38"/>
    </row>
    <row r="15187">
      <c r="P15187" s="42"/>
      <c r="AB15187" s="38"/>
    </row>
    <row r="15188">
      <c r="P15188" s="42"/>
      <c r="AB15188" s="38"/>
    </row>
    <row r="15189">
      <c r="P15189" s="42"/>
      <c r="AB15189" s="38"/>
    </row>
    <row r="15190">
      <c r="P15190" s="42"/>
      <c r="AB15190" s="38"/>
    </row>
    <row r="15191">
      <c r="P15191" s="42"/>
      <c r="AB15191" s="38"/>
    </row>
    <row r="15192">
      <c r="P15192" s="42"/>
      <c r="AB15192" s="38"/>
    </row>
    <row r="15193">
      <c r="P15193" s="42"/>
      <c r="AB15193" s="38"/>
    </row>
    <row r="15194">
      <c r="P15194" s="42"/>
      <c r="AB15194" s="38"/>
    </row>
    <row r="15195">
      <c r="P15195" s="42"/>
      <c r="AB15195" s="38"/>
    </row>
    <row r="15196">
      <c r="P15196" s="42"/>
      <c r="AB15196" s="38"/>
    </row>
    <row r="15197">
      <c r="P15197" s="42"/>
      <c r="AB15197" s="38"/>
    </row>
    <row r="15198">
      <c r="P15198" s="42"/>
      <c r="AB15198" s="38"/>
    </row>
    <row r="15199">
      <c r="P15199" s="42"/>
      <c r="AB15199" s="38"/>
    </row>
    <row r="15200">
      <c r="P15200" s="42"/>
      <c r="AB15200" s="38"/>
    </row>
    <row r="15201">
      <c r="P15201" s="42"/>
      <c r="AB15201" s="38"/>
    </row>
    <row r="15202">
      <c r="P15202" s="42"/>
      <c r="AB15202" s="38"/>
    </row>
    <row r="15203">
      <c r="P15203" s="42"/>
      <c r="AB15203" s="38"/>
    </row>
    <row r="15204">
      <c r="P15204" s="42"/>
      <c r="AB15204" s="38"/>
    </row>
    <row r="15205">
      <c r="P15205" s="42"/>
      <c r="AB15205" s="38"/>
    </row>
    <row r="15206">
      <c r="P15206" s="42"/>
      <c r="AB15206" s="38"/>
    </row>
    <row r="15207">
      <c r="P15207" s="42"/>
      <c r="AB15207" s="38"/>
    </row>
    <row r="15208">
      <c r="P15208" s="42"/>
      <c r="AB15208" s="38"/>
    </row>
    <row r="15209">
      <c r="P15209" s="42"/>
      <c r="AB15209" s="38"/>
    </row>
    <row r="15210">
      <c r="P15210" s="42"/>
      <c r="AB15210" s="38"/>
    </row>
    <row r="15211">
      <c r="P15211" s="42"/>
      <c r="AB15211" s="38"/>
    </row>
    <row r="15212">
      <c r="P15212" s="42"/>
      <c r="AB15212" s="38"/>
    </row>
    <row r="15213">
      <c r="P15213" s="42"/>
      <c r="AB15213" s="38"/>
    </row>
    <row r="15214">
      <c r="P15214" s="42"/>
      <c r="AB15214" s="38"/>
    </row>
    <row r="15215">
      <c r="P15215" s="42"/>
      <c r="AB15215" s="38"/>
    </row>
    <row r="15216">
      <c r="P15216" s="42"/>
      <c r="AB15216" s="38"/>
    </row>
    <row r="15217">
      <c r="P15217" s="42"/>
      <c r="AB15217" s="38"/>
    </row>
    <row r="15218">
      <c r="P15218" s="42"/>
      <c r="AB15218" s="38"/>
    </row>
    <row r="15219">
      <c r="P15219" s="42"/>
      <c r="AB15219" s="38"/>
    </row>
    <row r="15220">
      <c r="P15220" s="42"/>
      <c r="AB15220" s="38"/>
    </row>
    <row r="15221">
      <c r="P15221" s="42"/>
      <c r="AB15221" s="38"/>
    </row>
    <row r="15222">
      <c r="P15222" s="42"/>
      <c r="AB15222" s="38"/>
    </row>
    <row r="15223">
      <c r="P15223" s="42"/>
      <c r="AB15223" s="38"/>
    </row>
    <row r="15224">
      <c r="P15224" s="42"/>
      <c r="AB15224" s="38"/>
    </row>
    <row r="15225">
      <c r="P15225" s="42"/>
      <c r="AB15225" s="38"/>
    </row>
    <row r="15226">
      <c r="P15226" s="42"/>
      <c r="AB15226" s="38"/>
    </row>
    <row r="15227">
      <c r="P15227" s="42"/>
      <c r="AB15227" s="38"/>
    </row>
    <row r="15228">
      <c r="P15228" s="42"/>
      <c r="AB15228" s="38"/>
    </row>
    <row r="15229">
      <c r="P15229" s="42"/>
      <c r="AB15229" s="38"/>
    </row>
    <row r="15230">
      <c r="P15230" s="42"/>
      <c r="AB15230" s="38"/>
    </row>
    <row r="15231">
      <c r="P15231" s="42"/>
      <c r="AB15231" s="38"/>
    </row>
    <row r="15232">
      <c r="P15232" s="42"/>
      <c r="AB15232" s="38"/>
    </row>
    <row r="15233">
      <c r="P15233" s="42"/>
      <c r="AB15233" s="38"/>
    </row>
    <row r="15234">
      <c r="P15234" s="42"/>
      <c r="AB15234" s="38"/>
    </row>
    <row r="15235">
      <c r="P15235" s="42"/>
      <c r="AB15235" s="38"/>
    </row>
    <row r="15236">
      <c r="P15236" s="42"/>
      <c r="AB15236" s="38"/>
    </row>
    <row r="15237">
      <c r="P15237" s="42"/>
      <c r="AB15237" s="38"/>
    </row>
    <row r="15238">
      <c r="P15238" s="42"/>
      <c r="AB15238" s="38"/>
    </row>
    <row r="15239">
      <c r="P15239" s="42"/>
      <c r="AB15239" s="38"/>
    </row>
    <row r="15240">
      <c r="P15240" s="42"/>
      <c r="AB15240" s="38"/>
    </row>
    <row r="15241">
      <c r="P15241" s="42"/>
      <c r="AB15241" s="38"/>
    </row>
    <row r="15242">
      <c r="P15242" s="42"/>
      <c r="AB15242" s="38"/>
    </row>
    <row r="15243">
      <c r="P15243" s="42"/>
      <c r="AB15243" s="38"/>
    </row>
    <row r="15244">
      <c r="P15244" s="42"/>
      <c r="AB15244" s="38"/>
    </row>
    <row r="15245">
      <c r="P15245" s="42"/>
      <c r="AB15245" s="38"/>
    </row>
    <row r="15246">
      <c r="P15246" s="42"/>
      <c r="AB15246" s="38"/>
    </row>
    <row r="15247">
      <c r="P15247" s="42"/>
      <c r="AB15247" s="38"/>
    </row>
    <row r="15248">
      <c r="P15248" s="42"/>
      <c r="AB15248" s="38"/>
    </row>
    <row r="15249">
      <c r="P15249" s="42"/>
      <c r="AB15249" s="38"/>
    </row>
    <row r="15250">
      <c r="P15250" s="42"/>
      <c r="AB15250" s="38"/>
    </row>
    <row r="15251">
      <c r="P15251" s="42"/>
      <c r="AB15251" s="38"/>
    </row>
    <row r="15252">
      <c r="P15252" s="42"/>
      <c r="AB15252" s="38"/>
    </row>
    <row r="15253">
      <c r="P15253" s="42"/>
      <c r="AB15253" s="38"/>
    </row>
    <row r="15254">
      <c r="P15254" s="42"/>
      <c r="AB15254" s="38"/>
    </row>
    <row r="15255">
      <c r="P15255" s="42"/>
      <c r="AB15255" s="38"/>
    </row>
    <row r="15256">
      <c r="P15256" s="42"/>
      <c r="AB15256" s="38"/>
    </row>
    <row r="15257">
      <c r="P15257" s="42"/>
      <c r="AB15257" s="38"/>
    </row>
    <row r="15258">
      <c r="P15258" s="42"/>
      <c r="AB15258" s="38"/>
    </row>
    <row r="15259">
      <c r="P15259" s="42"/>
      <c r="AB15259" s="38"/>
    </row>
    <row r="15260">
      <c r="P15260" s="42"/>
      <c r="AB15260" s="38"/>
    </row>
    <row r="15261">
      <c r="P15261" s="42"/>
      <c r="AB15261" s="38"/>
    </row>
    <row r="15262">
      <c r="P15262" s="42"/>
      <c r="AB15262" s="38"/>
    </row>
    <row r="15263">
      <c r="P15263" s="42"/>
      <c r="AB15263" s="38"/>
    </row>
    <row r="15264">
      <c r="P15264" s="42"/>
      <c r="AB15264" s="38"/>
    </row>
    <row r="15265">
      <c r="P15265" s="42"/>
      <c r="AB15265" s="38"/>
    </row>
    <row r="15266">
      <c r="P15266" s="42"/>
      <c r="AB15266" s="38"/>
    </row>
    <row r="15267">
      <c r="P15267" s="42"/>
      <c r="AB15267" s="38"/>
    </row>
    <row r="15268">
      <c r="P15268" s="42"/>
      <c r="AB15268" s="38"/>
    </row>
    <row r="15269">
      <c r="P15269" s="42"/>
      <c r="AB15269" s="38"/>
    </row>
    <row r="15270">
      <c r="P15270" s="42"/>
      <c r="AB15270" s="38"/>
    </row>
    <row r="15271">
      <c r="P15271" s="42"/>
      <c r="AB15271" s="38"/>
    </row>
    <row r="15272">
      <c r="P15272" s="42"/>
      <c r="AB15272" s="38"/>
    </row>
    <row r="15273">
      <c r="P15273" s="42"/>
      <c r="AB15273" s="38"/>
    </row>
    <row r="15274">
      <c r="P15274" s="42"/>
      <c r="AB15274" s="38"/>
    </row>
    <row r="15275">
      <c r="P15275" s="42"/>
      <c r="AB15275" s="38"/>
    </row>
    <row r="15276">
      <c r="P15276" s="42"/>
      <c r="AB15276" s="38"/>
    </row>
    <row r="15277">
      <c r="P15277" s="42"/>
      <c r="AB15277" s="38"/>
    </row>
    <row r="15278">
      <c r="P15278" s="42"/>
      <c r="AB15278" s="38"/>
    </row>
    <row r="15279">
      <c r="P15279" s="42"/>
      <c r="AB15279" s="38"/>
    </row>
    <row r="15280">
      <c r="P15280" s="42"/>
      <c r="AB15280" s="38"/>
    </row>
    <row r="15281">
      <c r="P15281" s="42"/>
      <c r="AB15281" s="38"/>
    </row>
    <row r="15282">
      <c r="P15282" s="42"/>
      <c r="AB15282" s="38"/>
    </row>
    <row r="15283">
      <c r="P15283" s="42"/>
      <c r="AB15283" s="38"/>
    </row>
    <row r="15284">
      <c r="P15284" s="42"/>
      <c r="AB15284" s="38"/>
    </row>
    <row r="15285">
      <c r="P15285" s="42"/>
      <c r="AB15285" s="38"/>
    </row>
    <row r="15286">
      <c r="P15286" s="42"/>
      <c r="AB15286" s="38"/>
    </row>
    <row r="15287">
      <c r="P15287" s="42"/>
      <c r="AB15287" s="38"/>
    </row>
    <row r="15288">
      <c r="P15288" s="42"/>
      <c r="AB15288" s="38"/>
    </row>
    <row r="15289">
      <c r="P15289" s="42"/>
      <c r="AB15289" s="38"/>
    </row>
    <row r="15290">
      <c r="P15290" s="42"/>
      <c r="AB15290" s="38"/>
    </row>
    <row r="15291">
      <c r="P15291" s="42"/>
      <c r="AB15291" s="38"/>
    </row>
    <row r="15292">
      <c r="P15292" s="42"/>
      <c r="AB15292" s="38"/>
    </row>
    <row r="15293">
      <c r="P15293" s="42"/>
      <c r="AB15293" s="38"/>
    </row>
    <row r="15294">
      <c r="P15294" s="42"/>
      <c r="AB15294" s="38"/>
    </row>
    <row r="15295">
      <c r="P15295" s="42"/>
      <c r="AB15295" s="38"/>
    </row>
    <row r="15296">
      <c r="P15296" s="42"/>
      <c r="AB15296" s="38"/>
    </row>
    <row r="15297">
      <c r="P15297" s="42"/>
      <c r="AB15297" s="38"/>
    </row>
    <row r="15298">
      <c r="P15298" s="42"/>
      <c r="AB15298" s="38"/>
    </row>
    <row r="15299">
      <c r="P15299" s="42"/>
      <c r="AB15299" s="38"/>
    </row>
    <row r="15300">
      <c r="P15300" s="42"/>
      <c r="AB15300" s="38"/>
    </row>
    <row r="15301">
      <c r="P15301" s="42"/>
      <c r="AB15301" s="38"/>
    </row>
    <row r="15302">
      <c r="P15302" s="42"/>
      <c r="AB15302" s="38"/>
    </row>
    <row r="15303">
      <c r="P15303" s="42"/>
      <c r="AB15303" s="38"/>
    </row>
    <row r="15304">
      <c r="P15304" s="42"/>
      <c r="AB15304" s="38"/>
    </row>
    <row r="15305">
      <c r="P15305" s="42"/>
      <c r="AB15305" s="38"/>
    </row>
    <row r="15306">
      <c r="P15306" s="42"/>
      <c r="AB15306" s="38"/>
    </row>
    <row r="15307">
      <c r="P15307" s="42"/>
      <c r="AB15307" s="38"/>
    </row>
    <row r="15308">
      <c r="P15308" s="42"/>
      <c r="AB15308" s="38"/>
    </row>
    <row r="15309">
      <c r="P15309" s="42"/>
      <c r="AB15309" s="38"/>
    </row>
    <row r="15310">
      <c r="P15310" s="42"/>
      <c r="AB15310" s="38"/>
    </row>
    <row r="15311">
      <c r="P15311" s="42"/>
      <c r="AB15311" s="38"/>
    </row>
    <row r="15312">
      <c r="P15312" s="42"/>
      <c r="AB15312" s="38"/>
    </row>
    <row r="15313">
      <c r="P15313" s="42"/>
      <c r="AB15313" s="38"/>
    </row>
    <row r="15314">
      <c r="P15314" s="42"/>
      <c r="AB15314" s="38"/>
    </row>
    <row r="15315">
      <c r="P15315" s="42"/>
      <c r="AB15315" s="38"/>
    </row>
    <row r="15316">
      <c r="P15316" s="42"/>
      <c r="AB15316" s="38"/>
    </row>
    <row r="15317">
      <c r="P15317" s="42"/>
      <c r="AB15317" s="38"/>
    </row>
    <row r="15318">
      <c r="P15318" s="42"/>
      <c r="AB15318" s="38"/>
    </row>
    <row r="15319">
      <c r="P15319" s="42"/>
      <c r="AB15319" s="38"/>
    </row>
    <row r="15320">
      <c r="P15320" s="42"/>
      <c r="AB15320" s="38"/>
    </row>
    <row r="15321">
      <c r="P15321" s="42"/>
      <c r="AB15321" s="38"/>
    </row>
    <row r="15322">
      <c r="P15322" s="42"/>
      <c r="AB15322" s="38"/>
    </row>
    <row r="15323">
      <c r="P15323" s="42"/>
      <c r="AB15323" s="38"/>
    </row>
    <row r="15324">
      <c r="P15324" s="42"/>
      <c r="AB15324" s="38"/>
    </row>
    <row r="15325">
      <c r="P15325" s="42"/>
      <c r="AB15325" s="38"/>
    </row>
    <row r="15326">
      <c r="P15326" s="42"/>
      <c r="AB15326" s="38"/>
    </row>
    <row r="15327">
      <c r="P15327" s="42"/>
      <c r="AB15327" s="38"/>
    </row>
    <row r="15328">
      <c r="P15328" s="42"/>
      <c r="AB15328" s="38"/>
    </row>
    <row r="15329">
      <c r="P15329" s="42"/>
      <c r="AB15329" s="38"/>
    </row>
    <row r="15330">
      <c r="P15330" s="42"/>
      <c r="AB15330" s="38"/>
    </row>
    <row r="15331">
      <c r="P15331" s="42"/>
      <c r="AB15331" s="38"/>
    </row>
    <row r="15332">
      <c r="P15332" s="42"/>
      <c r="AB15332" s="38"/>
    </row>
    <row r="15333">
      <c r="P15333" s="42"/>
      <c r="AB15333" s="38"/>
    </row>
    <row r="15334">
      <c r="P15334" s="42"/>
      <c r="AB15334" s="38"/>
    </row>
    <row r="15335">
      <c r="P15335" s="42"/>
      <c r="AB15335" s="38"/>
    </row>
    <row r="15336">
      <c r="P15336" s="42"/>
      <c r="AB15336" s="38"/>
    </row>
    <row r="15337">
      <c r="P15337" s="42"/>
      <c r="AB15337" s="38"/>
    </row>
    <row r="15338">
      <c r="P15338" s="42"/>
      <c r="AB15338" s="38"/>
    </row>
    <row r="15339">
      <c r="P15339" s="42"/>
      <c r="AB15339" s="38"/>
    </row>
    <row r="15340">
      <c r="P15340" s="42"/>
      <c r="AB15340" s="38"/>
    </row>
    <row r="15341">
      <c r="P15341" s="42"/>
      <c r="AB15341" s="38"/>
    </row>
    <row r="15342">
      <c r="P15342" s="42"/>
      <c r="AB15342" s="38"/>
    </row>
    <row r="15343">
      <c r="P15343" s="42"/>
      <c r="AB15343" s="38"/>
    </row>
    <row r="15344">
      <c r="P15344" s="42"/>
      <c r="AB15344" s="38"/>
    </row>
    <row r="15345">
      <c r="P15345" s="42"/>
      <c r="AB15345" s="38"/>
    </row>
    <row r="15346">
      <c r="P15346" s="42"/>
      <c r="AB15346" s="38"/>
    </row>
    <row r="15347">
      <c r="P15347" s="42"/>
      <c r="AB15347" s="38"/>
    </row>
    <row r="15348">
      <c r="P15348" s="42"/>
      <c r="AB15348" s="38"/>
    </row>
    <row r="15349">
      <c r="P15349" s="42"/>
      <c r="AB15349" s="38"/>
    </row>
    <row r="15350">
      <c r="P15350" s="42"/>
      <c r="AB15350" s="38"/>
    </row>
    <row r="15351">
      <c r="P15351" s="42"/>
      <c r="AB15351" s="38"/>
    </row>
    <row r="15352">
      <c r="P15352" s="42"/>
      <c r="AB15352" s="38"/>
    </row>
    <row r="15353">
      <c r="P15353" s="42"/>
      <c r="AB15353" s="38"/>
    </row>
    <row r="15354">
      <c r="P15354" s="42"/>
      <c r="AB15354" s="38"/>
    </row>
    <row r="15355">
      <c r="P15355" s="42"/>
      <c r="AB15355" s="38"/>
    </row>
    <row r="15356">
      <c r="P15356" s="42"/>
      <c r="AB15356" s="38"/>
    </row>
    <row r="15357">
      <c r="P15357" s="42"/>
      <c r="AB15357" s="38"/>
    </row>
    <row r="15358">
      <c r="P15358" s="42"/>
      <c r="AB15358" s="38"/>
    </row>
    <row r="15359">
      <c r="P15359" s="42"/>
      <c r="AB15359" s="38"/>
    </row>
    <row r="15360">
      <c r="P15360" s="42"/>
      <c r="AB15360" s="38"/>
    </row>
    <row r="15361">
      <c r="P15361" s="42"/>
      <c r="AB15361" s="38"/>
    </row>
    <row r="15362">
      <c r="P15362" s="42"/>
      <c r="AB15362" s="38"/>
    </row>
    <row r="15363">
      <c r="P15363" s="42"/>
      <c r="AB15363" s="38"/>
    </row>
    <row r="15364">
      <c r="P15364" s="42"/>
      <c r="AB15364" s="38"/>
    </row>
    <row r="15365">
      <c r="P15365" s="42"/>
      <c r="AB15365" s="38"/>
    </row>
    <row r="15366">
      <c r="P15366" s="42"/>
      <c r="AB15366" s="38"/>
    </row>
    <row r="15367">
      <c r="P15367" s="42"/>
      <c r="AB15367" s="38"/>
    </row>
    <row r="15368">
      <c r="P15368" s="42"/>
      <c r="AB15368" s="38"/>
    </row>
    <row r="15369">
      <c r="P15369" s="42"/>
      <c r="AB15369" s="38"/>
    </row>
    <row r="15370">
      <c r="P15370" s="42"/>
      <c r="AB15370" s="38"/>
    </row>
    <row r="15371">
      <c r="P15371" s="42"/>
      <c r="AB15371" s="38"/>
    </row>
    <row r="15372">
      <c r="P15372" s="42"/>
      <c r="AB15372" s="38"/>
    </row>
    <row r="15373">
      <c r="P15373" s="42"/>
      <c r="AB15373" s="38"/>
    </row>
    <row r="15374">
      <c r="P15374" s="42"/>
      <c r="AB15374" s="38"/>
    </row>
    <row r="15375">
      <c r="P15375" s="42"/>
      <c r="AB15375" s="38"/>
    </row>
    <row r="15376">
      <c r="P15376" s="42"/>
      <c r="AB15376" s="38"/>
    </row>
    <row r="15377">
      <c r="P15377" s="42"/>
      <c r="AB15377" s="38"/>
    </row>
    <row r="15378">
      <c r="P15378" s="42"/>
      <c r="AB15378" s="38"/>
    </row>
    <row r="15379">
      <c r="P15379" s="42"/>
      <c r="AB15379" s="38"/>
    </row>
    <row r="15380">
      <c r="P15380" s="42"/>
      <c r="AB15380" s="38"/>
    </row>
    <row r="15381">
      <c r="P15381" s="42"/>
      <c r="AB15381" s="38"/>
    </row>
    <row r="15382">
      <c r="P15382" s="42"/>
      <c r="AB15382" s="38"/>
    </row>
    <row r="15383">
      <c r="P15383" s="42"/>
      <c r="AB15383" s="38"/>
    </row>
    <row r="15384">
      <c r="P15384" s="42"/>
      <c r="AB15384" s="38"/>
    </row>
    <row r="15385">
      <c r="P15385" s="42"/>
      <c r="AB15385" s="38"/>
    </row>
    <row r="15386">
      <c r="P15386" s="42"/>
      <c r="AB15386" s="38"/>
    </row>
    <row r="15387">
      <c r="P15387" s="42"/>
      <c r="AB15387" s="38"/>
    </row>
    <row r="15388">
      <c r="P15388" s="42"/>
      <c r="AB15388" s="38"/>
    </row>
    <row r="15389">
      <c r="P15389" s="42"/>
      <c r="AB15389" s="38"/>
    </row>
    <row r="15390">
      <c r="P15390" s="42"/>
      <c r="AB15390" s="38"/>
    </row>
    <row r="15391">
      <c r="P15391" s="42"/>
      <c r="AB15391" s="38"/>
    </row>
    <row r="15392">
      <c r="P15392" s="42"/>
      <c r="AB15392" s="38"/>
    </row>
    <row r="15393">
      <c r="P15393" s="42"/>
      <c r="AB15393" s="38"/>
    </row>
    <row r="15394">
      <c r="P15394" s="42"/>
      <c r="AB15394" s="38"/>
    </row>
    <row r="15395">
      <c r="P15395" s="42"/>
      <c r="AB15395" s="38"/>
    </row>
    <row r="15396">
      <c r="P15396" s="42"/>
      <c r="AB15396" s="38"/>
    </row>
    <row r="15397">
      <c r="P15397" s="42"/>
      <c r="AB15397" s="38"/>
    </row>
    <row r="15398">
      <c r="P15398" s="42"/>
      <c r="AB15398" s="38"/>
    </row>
    <row r="15399">
      <c r="P15399" s="42"/>
      <c r="AB15399" s="38"/>
    </row>
    <row r="15400">
      <c r="P15400" s="42"/>
      <c r="AB15400" s="38"/>
    </row>
    <row r="15401">
      <c r="P15401" s="42"/>
      <c r="AB15401" s="38"/>
    </row>
    <row r="15402">
      <c r="P15402" s="42"/>
      <c r="AB15402" s="38"/>
    </row>
    <row r="15403">
      <c r="P15403" s="42"/>
      <c r="AB15403" s="38"/>
    </row>
    <row r="15404">
      <c r="P15404" s="42"/>
      <c r="AB15404" s="38"/>
    </row>
    <row r="15405">
      <c r="P15405" s="42"/>
      <c r="AB15405" s="38"/>
    </row>
    <row r="15406">
      <c r="P15406" s="42"/>
      <c r="AB15406" s="38"/>
    </row>
    <row r="15407">
      <c r="P15407" s="42"/>
      <c r="AB15407" s="38"/>
    </row>
    <row r="15408">
      <c r="P15408" s="42"/>
      <c r="AB15408" s="38"/>
    </row>
    <row r="15409">
      <c r="P15409" s="42"/>
      <c r="AB15409" s="38"/>
    </row>
    <row r="15410">
      <c r="P15410" s="42"/>
      <c r="AB15410" s="38"/>
    </row>
    <row r="15411">
      <c r="P15411" s="42"/>
      <c r="AB15411" s="38"/>
    </row>
    <row r="15412">
      <c r="P15412" s="42"/>
      <c r="AB15412" s="38"/>
    </row>
    <row r="15413">
      <c r="P15413" s="42"/>
      <c r="AB15413" s="38"/>
    </row>
    <row r="15414">
      <c r="P15414" s="42"/>
      <c r="AB15414" s="38"/>
    </row>
    <row r="15415">
      <c r="P15415" s="42"/>
      <c r="AB15415" s="38"/>
    </row>
    <row r="15416">
      <c r="P15416" s="42"/>
      <c r="AB15416" s="38"/>
    </row>
    <row r="15417">
      <c r="P15417" s="42"/>
      <c r="AB15417" s="38"/>
    </row>
    <row r="15418">
      <c r="P15418" s="42"/>
      <c r="AB15418" s="38"/>
    </row>
    <row r="15419">
      <c r="P15419" s="42"/>
      <c r="AB15419" s="38"/>
    </row>
    <row r="15420">
      <c r="P15420" s="42"/>
      <c r="AB15420" s="38"/>
    </row>
    <row r="15421">
      <c r="P15421" s="42"/>
      <c r="AB15421" s="38"/>
    </row>
    <row r="15422">
      <c r="P15422" s="42"/>
      <c r="AB15422" s="38"/>
    </row>
    <row r="15423">
      <c r="P15423" s="42"/>
      <c r="AB15423" s="38"/>
    </row>
    <row r="15424">
      <c r="P15424" s="42"/>
      <c r="AB15424" s="38"/>
    </row>
    <row r="15425">
      <c r="P15425" s="42"/>
      <c r="AB15425" s="38"/>
    </row>
    <row r="15426">
      <c r="P15426" s="42"/>
      <c r="AB15426" s="38"/>
    </row>
    <row r="15427">
      <c r="P15427" s="42"/>
      <c r="AB15427" s="38"/>
    </row>
    <row r="15428">
      <c r="P15428" s="42"/>
      <c r="AB15428" s="38"/>
    </row>
    <row r="15429">
      <c r="P15429" s="42"/>
      <c r="AB15429" s="38"/>
    </row>
    <row r="15430">
      <c r="P15430" s="42"/>
      <c r="AB15430" s="38"/>
    </row>
    <row r="15431">
      <c r="P15431" s="42"/>
      <c r="AB15431" s="38"/>
    </row>
    <row r="15432">
      <c r="P15432" s="42"/>
      <c r="AB15432" s="38"/>
    </row>
    <row r="15433">
      <c r="P15433" s="42"/>
      <c r="AB15433" s="38"/>
    </row>
    <row r="15434">
      <c r="P15434" s="42"/>
      <c r="AB15434" s="38"/>
    </row>
    <row r="15435">
      <c r="P15435" s="42"/>
      <c r="AB15435" s="38"/>
    </row>
    <row r="15436">
      <c r="P15436" s="42"/>
      <c r="AB15436" s="38"/>
    </row>
    <row r="15437">
      <c r="P15437" s="42"/>
      <c r="AB15437" s="38"/>
    </row>
    <row r="15438">
      <c r="P15438" s="42"/>
      <c r="AB15438" s="38"/>
    </row>
    <row r="15439">
      <c r="P15439" s="42"/>
      <c r="AB15439" s="38"/>
    </row>
    <row r="15440">
      <c r="P15440" s="42"/>
      <c r="AB15440" s="38"/>
    </row>
    <row r="15441">
      <c r="P15441" s="42"/>
      <c r="AB15441" s="38"/>
    </row>
    <row r="15442">
      <c r="P15442" s="42"/>
      <c r="AB15442" s="38"/>
    </row>
    <row r="15443">
      <c r="P15443" s="42"/>
      <c r="AB15443" s="38"/>
    </row>
    <row r="15444">
      <c r="P15444" s="42"/>
      <c r="AB15444" s="38"/>
    </row>
    <row r="15445">
      <c r="P15445" s="42"/>
      <c r="AB15445" s="38"/>
    </row>
    <row r="15446">
      <c r="P15446" s="42"/>
      <c r="AB15446" s="38"/>
    </row>
    <row r="15447">
      <c r="P15447" s="42"/>
      <c r="AB15447" s="38"/>
    </row>
    <row r="15448">
      <c r="P15448" s="42"/>
      <c r="AB15448" s="38"/>
    </row>
    <row r="15449">
      <c r="P15449" s="42"/>
      <c r="AB15449" s="38"/>
    </row>
    <row r="15450">
      <c r="P15450" s="42"/>
      <c r="AB15450" s="38"/>
    </row>
    <row r="15451">
      <c r="P15451" s="42"/>
      <c r="AB15451" s="38"/>
    </row>
    <row r="15452">
      <c r="P15452" s="42"/>
      <c r="AB15452" s="38"/>
    </row>
    <row r="15453">
      <c r="P15453" s="42"/>
      <c r="AB15453" s="38"/>
    </row>
    <row r="15454">
      <c r="P15454" s="42"/>
      <c r="AB15454" s="38"/>
    </row>
    <row r="15455">
      <c r="P15455" s="42"/>
      <c r="AB15455" s="38"/>
    </row>
    <row r="15456">
      <c r="P15456" s="42"/>
      <c r="AB15456" s="38"/>
    </row>
    <row r="15457">
      <c r="P15457" s="42"/>
      <c r="AB15457" s="38"/>
    </row>
    <row r="15458">
      <c r="P15458" s="42"/>
      <c r="AB15458" s="38"/>
    </row>
    <row r="15459">
      <c r="P15459" s="42"/>
      <c r="AB15459" s="38"/>
    </row>
    <row r="15460">
      <c r="P15460" s="42"/>
      <c r="AB15460" s="38"/>
    </row>
    <row r="15461">
      <c r="P15461" s="42"/>
      <c r="AB15461" s="38"/>
    </row>
    <row r="15462">
      <c r="P15462" s="42"/>
      <c r="AB15462" s="38"/>
    </row>
    <row r="15463">
      <c r="P15463" s="42"/>
      <c r="AB15463" s="38"/>
    </row>
    <row r="15464">
      <c r="P15464" s="42"/>
      <c r="AB15464" s="38"/>
    </row>
    <row r="15465">
      <c r="P15465" s="42"/>
      <c r="AB15465" s="38"/>
    </row>
    <row r="15466">
      <c r="P15466" s="42"/>
      <c r="AB15466" s="38"/>
    </row>
    <row r="15467">
      <c r="P15467" s="42"/>
      <c r="AB15467" s="38"/>
    </row>
    <row r="15468">
      <c r="P15468" s="42"/>
      <c r="AB15468" s="38"/>
    </row>
    <row r="15469">
      <c r="P15469" s="42"/>
      <c r="AB15469" s="38"/>
    </row>
    <row r="15470">
      <c r="P15470" s="42"/>
      <c r="AB15470" s="38"/>
    </row>
    <row r="15471">
      <c r="P15471" s="42"/>
      <c r="AB15471" s="38"/>
    </row>
    <row r="15472">
      <c r="P15472" s="42"/>
      <c r="AB15472" s="38"/>
    </row>
    <row r="15473">
      <c r="P15473" s="42"/>
      <c r="AB15473" s="38"/>
    </row>
    <row r="15474">
      <c r="P15474" s="42"/>
      <c r="AB15474" s="38"/>
    </row>
    <row r="15475">
      <c r="P15475" s="42"/>
      <c r="AB15475" s="38"/>
    </row>
    <row r="15476">
      <c r="P15476" s="42"/>
      <c r="AB15476" s="38"/>
    </row>
    <row r="15477">
      <c r="P15477" s="42"/>
      <c r="AB15477" s="38"/>
    </row>
    <row r="15478">
      <c r="P15478" s="42"/>
      <c r="AB15478" s="38"/>
    </row>
    <row r="15479">
      <c r="P15479" s="42"/>
      <c r="AB15479" s="38"/>
    </row>
    <row r="15480">
      <c r="P15480" s="42"/>
      <c r="AB15480" s="38"/>
    </row>
    <row r="15481">
      <c r="P15481" s="42"/>
      <c r="AB15481" s="38"/>
    </row>
    <row r="15482">
      <c r="P15482" s="42"/>
      <c r="AB15482" s="38"/>
    </row>
    <row r="15483">
      <c r="P15483" s="42"/>
      <c r="AB15483" s="38"/>
    </row>
    <row r="15484">
      <c r="P15484" s="42"/>
      <c r="AB15484" s="38"/>
    </row>
    <row r="15485">
      <c r="P15485" s="42"/>
      <c r="AB15485" s="38"/>
    </row>
    <row r="15486">
      <c r="P15486" s="42"/>
      <c r="AB15486" s="38"/>
    </row>
    <row r="15487">
      <c r="P15487" s="42"/>
      <c r="AB15487" s="38"/>
    </row>
    <row r="15488">
      <c r="P15488" s="42"/>
      <c r="AB15488" s="38"/>
    </row>
    <row r="15489">
      <c r="P15489" s="42"/>
      <c r="AB15489" s="38"/>
    </row>
    <row r="15490">
      <c r="P15490" s="42"/>
      <c r="AB15490" s="38"/>
    </row>
    <row r="15491">
      <c r="P15491" s="42"/>
      <c r="AB15491" s="38"/>
    </row>
    <row r="15492">
      <c r="P15492" s="42"/>
      <c r="AB15492" s="38"/>
    </row>
    <row r="15493">
      <c r="P15493" s="42"/>
      <c r="AB15493" s="38"/>
    </row>
    <row r="15494">
      <c r="P15494" s="42"/>
      <c r="AB15494" s="38"/>
    </row>
    <row r="15495">
      <c r="P15495" s="42"/>
      <c r="AB15495" s="38"/>
    </row>
    <row r="15496">
      <c r="P15496" s="42"/>
      <c r="AB15496" s="38"/>
    </row>
    <row r="15497">
      <c r="P15497" s="42"/>
      <c r="AB15497" s="38"/>
    </row>
    <row r="15498">
      <c r="P15498" s="42"/>
      <c r="AB15498" s="38"/>
    </row>
    <row r="15499">
      <c r="P15499" s="42"/>
      <c r="AB15499" s="38"/>
    </row>
    <row r="15500">
      <c r="P15500" s="42"/>
      <c r="AB15500" s="38"/>
    </row>
    <row r="15501">
      <c r="P15501" s="42"/>
      <c r="AB15501" s="38"/>
    </row>
    <row r="15502">
      <c r="P15502" s="42"/>
      <c r="AB15502" s="38"/>
    </row>
    <row r="15503">
      <c r="P15503" s="42"/>
      <c r="AB15503" s="38"/>
    </row>
    <row r="15504">
      <c r="P15504" s="42"/>
      <c r="AB15504" s="38"/>
    </row>
    <row r="15505">
      <c r="P15505" s="42"/>
      <c r="AB15505" s="38"/>
    </row>
    <row r="15506">
      <c r="P15506" s="42"/>
      <c r="AB15506" s="38"/>
    </row>
    <row r="15507">
      <c r="P15507" s="42"/>
      <c r="AB15507" s="38"/>
    </row>
    <row r="15508">
      <c r="P15508" s="42"/>
      <c r="AB15508" s="38"/>
    </row>
    <row r="15509">
      <c r="P15509" s="42"/>
      <c r="AB15509" s="38"/>
    </row>
    <row r="15510">
      <c r="P15510" s="42"/>
      <c r="AB15510" s="38"/>
    </row>
    <row r="15511">
      <c r="P15511" s="42"/>
      <c r="AB15511" s="38"/>
    </row>
    <row r="15512">
      <c r="P15512" s="42"/>
      <c r="AB15512" s="38"/>
    </row>
    <row r="15513">
      <c r="P15513" s="42"/>
      <c r="AB15513" s="38"/>
    </row>
    <row r="15514">
      <c r="P15514" s="42"/>
      <c r="AB15514" s="38"/>
    </row>
    <row r="15515">
      <c r="P15515" s="42"/>
      <c r="AB15515" s="38"/>
    </row>
    <row r="15516">
      <c r="P15516" s="42"/>
      <c r="AB15516" s="38"/>
    </row>
    <row r="15517">
      <c r="P15517" s="42"/>
      <c r="AB15517" s="38"/>
    </row>
    <row r="15518">
      <c r="P15518" s="42"/>
      <c r="AB15518" s="38"/>
    </row>
    <row r="15519">
      <c r="P15519" s="42"/>
      <c r="AB15519" s="38"/>
    </row>
    <row r="15520">
      <c r="P15520" s="42"/>
      <c r="AB15520" s="38"/>
    </row>
    <row r="15521">
      <c r="P15521" s="42"/>
      <c r="AB15521" s="38"/>
    </row>
    <row r="15522">
      <c r="P15522" s="42"/>
      <c r="AB15522" s="38"/>
    </row>
    <row r="15523">
      <c r="P15523" s="42"/>
      <c r="AB15523" s="38"/>
    </row>
    <row r="15524">
      <c r="P15524" s="42"/>
      <c r="AB15524" s="38"/>
    </row>
    <row r="15525">
      <c r="P15525" s="42"/>
      <c r="AB15525" s="38"/>
    </row>
    <row r="15526">
      <c r="P15526" s="42"/>
      <c r="AB15526" s="38"/>
    </row>
    <row r="15527">
      <c r="P15527" s="42"/>
      <c r="AB15527" s="38"/>
    </row>
    <row r="15528">
      <c r="P15528" s="42"/>
      <c r="AB15528" s="38"/>
    </row>
    <row r="15529">
      <c r="P15529" s="42"/>
      <c r="AB15529" s="38"/>
    </row>
    <row r="15530">
      <c r="P15530" s="42"/>
      <c r="AB15530" s="38"/>
    </row>
    <row r="15531">
      <c r="P15531" s="42"/>
      <c r="AB15531" s="38"/>
    </row>
    <row r="15532">
      <c r="P15532" s="42"/>
      <c r="AB15532" s="38"/>
    </row>
    <row r="15533">
      <c r="P15533" s="42"/>
      <c r="AB15533" s="38"/>
    </row>
    <row r="15534">
      <c r="P15534" s="42"/>
      <c r="AB15534" s="38"/>
    </row>
    <row r="15535">
      <c r="P15535" s="42"/>
      <c r="AB15535" s="38"/>
    </row>
    <row r="15536">
      <c r="P15536" s="42"/>
      <c r="AB15536" s="38"/>
    </row>
    <row r="15537">
      <c r="P15537" s="42"/>
      <c r="AB15537" s="38"/>
    </row>
    <row r="15538">
      <c r="P15538" s="42"/>
      <c r="AB15538" s="38"/>
    </row>
    <row r="15539">
      <c r="P15539" s="42"/>
      <c r="AB15539" s="38"/>
    </row>
    <row r="15540">
      <c r="P15540" s="42"/>
      <c r="AB15540" s="38"/>
    </row>
    <row r="15541">
      <c r="P15541" s="42"/>
      <c r="AB15541" s="38"/>
    </row>
    <row r="15542">
      <c r="P15542" s="42"/>
      <c r="AB15542" s="38"/>
    </row>
    <row r="15543">
      <c r="P15543" s="42"/>
      <c r="AB15543" s="38"/>
    </row>
    <row r="15544">
      <c r="P15544" s="42"/>
      <c r="AB15544" s="38"/>
    </row>
    <row r="15545">
      <c r="P15545" s="42"/>
      <c r="AB15545" s="38"/>
    </row>
    <row r="15546">
      <c r="P15546" s="42"/>
      <c r="AB15546" s="38"/>
    </row>
    <row r="15547">
      <c r="P15547" s="42"/>
      <c r="AB15547" s="38"/>
    </row>
    <row r="15548">
      <c r="P15548" s="42"/>
      <c r="AB15548" s="38"/>
    </row>
    <row r="15549">
      <c r="P15549" s="42"/>
      <c r="AB15549" s="38"/>
    </row>
    <row r="15550">
      <c r="P15550" s="42"/>
      <c r="AB15550" s="38"/>
    </row>
    <row r="15551">
      <c r="P15551" s="42"/>
      <c r="AB15551" s="38"/>
    </row>
    <row r="15552">
      <c r="P15552" s="42"/>
      <c r="AB15552" s="38"/>
    </row>
    <row r="15553">
      <c r="P15553" s="42"/>
      <c r="AB15553" s="38"/>
    </row>
    <row r="15554">
      <c r="P15554" s="42"/>
      <c r="AB15554" s="38"/>
    </row>
    <row r="15555">
      <c r="P15555" s="42"/>
      <c r="AB15555" s="38"/>
    </row>
    <row r="15556">
      <c r="P15556" s="42"/>
      <c r="AB15556" s="38"/>
    </row>
    <row r="15557">
      <c r="P15557" s="42"/>
      <c r="AB15557" s="38"/>
    </row>
    <row r="15558">
      <c r="P15558" s="42"/>
      <c r="AB15558" s="38"/>
    </row>
    <row r="15559">
      <c r="P15559" s="42"/>
      <c r="AB15559" s="38"/>
    </row>
    <row r="15560">
      <c r="P15560" s="42"/>
      <c r="AB15560" s="38"/>
    </row>
    <row r="15561">
      <c r="P15561" s="42"/>
      <c r="AB15561" s="38"/>
    </row>
    <row r="15562">
      <c r="P15562" s="42"/>
      <c r="AB15562" s="38"/>
    </row>
    <row r="15563">
      <c r="P15563" s="42"/>
      <c r="AB15563" s="38"/>
    </row>
    <row r="15564">
      <c r="P15564" s="42"/>
      <c r="AB15564" s="38"/>
    </row>
    <row r="15565">
      <c r="P15565" s="42"/>
      <c r="AB15565" s="38"/>
    </row>
    <row r="15566">
      <c r="P15566" s="42"/>
      <c r="AB15566" s="38"/>
    </row>
    <row r="15567">
      <c r="P15567" s="42"/>
      <c r="AB15567" s="38"/>
    </row>
    <row r="15568">
      <c r="P15568" s="42"/>
      <c r="AB15568" s="38"/>
    </row>
    <row r="15569">
      <c r="P15569" s="42"/>
      <c r="AB15569" s="38"/>
    </row>
    <row r="15570">
      <c r="P15570" s="42"/>
      <c r="AB15570" s="38"/>
    </row>
    <row r="15571">
      <c r="P15571" s="42"/>
      <c r="AB15571" s="38"/>
    </row>
    <row r="15572">
      <c r="P15572" s="42"/>
      <c r="AB15572" s="38"/>
    </row>
    <row r="15573">
      <c r="P15573" s="42"/>
      <c r="AB15573" s="38"/>
    </row>
    <row r="15574">
      <c r="P15574" s="42"/>
      <c r="AB15574" s="38"/>
    </row>
    <row r="15575">
      <c r="P15575" s="42"/>
      <c r="AB15575" s="38"/>
    </row>
    <row r="15576">
      <c r="P15576" s="42"/>
      <c r="AB15576" s="38"/>
    </row>
    <row r="15577">
      <c r="P15577" s="42"/>
      <c r="AB15577" s="38"/>
    </row>
    <row r="15578">
      <c r="P15578" s="42"/>
      <c r="AB15578" s="38"/>
    </row>
    <row r="15579">
      <c r="P15579" s="42"/>
      <c r="AB15579" s="38"/>
    </row>
    <row r="15580">
      <c r="P15580" s="42"/>
      <c r="AB15580" s="38"/>
    </row>
    <row r="15581">
      <c r="P15581" s="42"/>
      <c r="AB15581" s="38"/>
    </row>
    <row r="15582">
      <c r="P15582" s="42"/>
      <c r="AB15582" s="38"/>
    </row>
    <row r="15583">
      <c r="P15583" s="42"/>
      <c r="AB15583" s="38"/>
    </row>
    <row r="15584">
      <c r="P15584" s="42"/>
      <c r="AB15584" s="38"/>
    </row>
    <row r="15585">
      <c r="P15585" s="42"/>
      <c r="AB15585" s="38"/>
    </row>
    <row r="15586">
      <c r="P15586" s="42"/>
      <c r="AB15586" s="38"/>
    </row>
    <row r="15587">
      <c r="P15587" s="42"/>
      <c r="AB15587" s="38"/>
    </row>
    <row r="15588">
      <c r="P15588" s="42"/>
      <c r="AB15588" s="38"/>
    </row>
    <row r="15589">
      <c r="P15589" s="42"/>
      <c r="AB15589" s="38"/>
    </row>
    <row r="15590">
      <c r="P15590" s="42"/>
      <c r="AB15590" s="38"/>
    </row>
    <row r="15591">
      <c r="P15591" s="42"/>
      <c r="AB15591" s="38"/>
    </row>
    <row r="15592">
      <c r="P15592" s="42"/>
      <c r="AB15592" s="38"/>
    </row>
    <row r="15593">
      <c r="P15593" s="42"/>
      <c r="AB15593" s="38"/>
    </row>
    <row r="15594">
      <c r="P15594" s="42"/>
      <c r="AB15594" s="38"/>
    </row>
    <row r="15595">
      <c r="P15595" s="42"/>
      <c r="AB15595" s="38"/>
    </row>
    <row r="15596">
      <c r="P15596" s="42"/>
      <c r="AB15596" s="38"/>
    </row>
    <row r="15597">
      <c r="P15597" s="42"/>
      <c r="AB15597" s="38"/>
    </row>
    <row r="15598">
      <c r="P15598" s="42"/>
      <c r="AB15598" s="38"/>
    </row>
    <row r="15599">
      <c r="P15599" s="42"/>
      <c r="AB15599" s="38"/>
    </row>
    <row r="15600">
      <c r="P15600" s="42"/>
      <c r="AB15600" s="38"/>
    </row>
    <row r="15601">
      <c r="P15601" s="42"/>
      <c r="AB15601" s="38"/>
    </row>
    <row r="15602">
      <c r="P15602" s="42"/>
      <c r="AB15602" s="38"/>
    </row>
    <row r="15603">
      <c r="P15603" s="42"/>
      <c r="AB15603" s="38"/>
    </row>
    <row r="15604">
      <c r="P15604" s="42"/>
      <c r="AB15604" s="38"/>
    </row>
    <row r="15605">
      <c r="P15605" s="42"/>
      <c r="AB15605" s="38"/>
    </row>
    <row r="15606">
      <c r="P15606" s="42"/>
      <c r="AB15606" s="38"/>
    </row>
    <row r="15607">
      <c r="P15607" s="42"/>
      <c r="AB15607" s="38"/>
    </row>
    <row r="15608">
      <c r="P15608" s="42"/>
      <c r="AB15608" s="38"/>
    </row>
    <row r="15609">
      <c r="P15609" s="42"/>
      <c r="AB15609" s="38"/>
    </row>
    <row r="15610">
      <c r="P15610" s="42"/>
      <c r="AB15610" s="38"/>
    </row>
    <row r="15611">
      <c r="P15611" s="42"/>
      <c r="AB15611" s="38"/>
    </row>
    <row r="15612">
      <c r="P15612" s="42"/>
      <c r="AB15612" s="38"/>
    </row>
    <row r="15613">
      <c r="P15613" s="42"/>
      <c r="AB15613" s="38"/>
    </row>
    <row r="15614">
      <c r="P15614" s="42"/>
      <c r="AB15614" s="38"/>
    </row>
    <row r="15615">
      <c r="P15615" s="42"/>
      <c r="AB15615" s="38"/>
    </row>
    <row r="15616">
      <c r="P15616" s="42"/>
      <c r="AB15616" s="38"/>
    </row>
    <row r="15617">
      <c r="P15617" s="42"/>
      <c r="AB15617" s="38"/>
    </row>
    <row r="15618">
      <c r="P15618" s="42"/>
      <c r="AB15618" s="38"/>
    </row>
    <row r="15619">
      <c r="P15619" s="42"/>
      <c r="AB15619" s="38"/>
    </row>
    <row r="15620">
      <c r="P15620" s="42"/>
      <c r="AB15620" s="38"/>
    </row>
    <row r="15621">
      <c r="P15621" s="42"/>
      <c r="AB15621" s="38"/>
    </row>
    <row r="15622">
      <c r="P15622" s="42"/>
      <c r="AB15622" s="38"/>
    </row>
    <row r="15623">
      <c r="P15623" s="42"/>
      <c r="AB15623" s="38"/>
    </row>
    <row r="15624">
      <c r="P15624" s="42"/>
      <c r="AB15624" s="38"/>
    </row>
    <row r="15625">
      <c r="P15625" s="42"/>
      <c r="AB15625" s="38"/>
    </row>
    <row r="15626">
      <c r="P15626" s="42"/>
      <c r="AB15626" s="38"/>
    </row>
    <row r="15627">
      <c r="P15627" s="42"/>
      <c r="AB15627" s="38"/>
    </row>
    <row r="15628">
      <c r="P15628" s="42"/>
      <c r="AB15628" s="38"/>
    </row>
    <row r="15629">
      <c r="P15629" s="42"/>
      <c r="AB15629" s="38"/>
    </row>
    <row r="15630">
      <c r="P15630" s="42"/>
      <c r="AB15630" s="38"/>
    </row>
    <row r="15631">
      <c r="P15631" s="42"/>
      <c r="AB15631" s="38"/>
    </row>
    <row r="15632">
      <c r="P15632" s="42"/>
      <c r="AB15632" s="38"/>
    </row>
    <row r="15633">
      <c r="P15633" s="42"/>
      <c r="AB15633" s="38"/>
    </row>
    <row r="15634">
      <c r="P15634" s="42"/>
      <c r="AB15634" s="38"/>
    </row>
    <row r="15635">
      <c r="P15635" s="42"/>
      <c r="AB15635" s="38"/>
    </row>
    <row r="15636">
      <c r="P15636" s="42"/>
      <c r="AB15636" s="38"/>
    </row>
    <row r="15637">
      <c r="P15637" s="42"/>
      <c r="AB15637" s="38"/>
    </row>
    <row r="15638">
      <c r="P15638" s="42"/>
      <c r="AB15638" s="38"/>
    </row>
    <row r="15639">
      <c r="P15639" s="42"/>
      <c r="AB15639" s="38"/>
    </row>
    <row r="15640">
      <c r="P15640" s="42"/>
      <c r="AB15640" s="38"/>
    </row>
    <row r="15641">
      <c r="P15641" s="42"/>
      <c r="AB15641" s="38"/>
    </row>
    <row r="15642">
      <c r="P15642" s="42"/>
      <c r="AB15642" s="38"/>
    </row>
    <row r="15643">
      <c r="P15643" s="42"/>
      <c r="AB15643" s="38"/>
    </row>
    <row r="15644">
      <c r="P15644" s="42"/>
      <c r="AB15644" s="38"/>
    </row>
    <row r="15645">
      <c r="P15645" s="42"/>
      <c r="AB15645" s="38"/>
    </row>
    <row r="15646">
      <c r="P15646" s="42"/>
      <c r="AB15646" s="38"/>
    </row>
    <row r="15647">
      <c r="P15647" s="42"/>
      <c r="AB15647" s="38"/>
    </row>
    <row r="15648">
      <c r="P15648" s="42"/>
      <c r="AB15648" s="38"/>
    </row>
    <row r="15649">
      <c r="P15649" s="42"/>
      <c r="AB15649" s="38"/>
    </row>
    <row r="15650">
      <c r="P15650" s="42"/>
      <c r="AB15650" s="38"/>
    </row>
    <row r="15651">
      <c r="P15651" s="42"/>
      <c r="AB15651" s="38"/>
    </row>
    <row r="15652">
      <c r="P15652" s="42"/>
      <c r="AB15652" s="38"/>
    </row>
    <row r="15653">
      <c r="P15653" s="42"/>
      <c r="AB15653" s="38"/>
    </row>
    <row r="15654">
      <c r="P15654" s="42"/>
      <c r="AB15654" s="38"/>
    </row>
    <row r="15655">
      <c r="P15655" s="42"/>
      <c r="AB15655" s="38"/>
    </row>
    <row r="15656">
      <c r="P15656" s="42"/>
      <c r="AB15656" s="38"/>
    </row>
    <row r="15657">
      <c r="P15657" s="42"/>
      <c r="AB15657" s="38"/>
    </row>
    <row r="15658">
      <c r="P15658" s="42"/>
      <c r="AB15658" s="38"/>
    </row>
    <row r="15659">
      <c r="P15659" s="42"/>
      <c r="AB15659" s="38"/>
    </row>
    <row r="15660">
      <c r="P15660" s="42"/>
      <c r="AB15660" s="38"/>
    </row>
    <row r="15661">
      <c r="P15661" s="42"/>
      <c r="AB15661" s="38"/>
    </row>
    <row r="15662">
      <c r="P15662" s="42"/>
      <c r="AB15662" s="38"/>
    </row>
    <row r="15663">
      <c r="P15663" s="42"/>
      <c r="AB15663" s="38"/>
    </row>
    <row r="15664">
      <c r="P15664" s="42"/>
      <c r="AB15664" s="38"/>
    </row>
    <row r="15665">
      <c r="P15665" s="42"/>
      <c r="AB15665" s="38"/>
    </row>
    <row r="15666">
      <c r="P15666" s="42"/>
      <c r="AB15666" s="38"/>
    </row>
    <row r="15667">
      <c r="P15667" s="42"/>
      <c r="AB15667" s="38"/>
    </row>
    <row r="15668">
      <c r="P15668" s="42"/>
      <c r="AB15668" s="38"/>
    </row>
    <row r="15669">
      <c r="P15669" s="42"/>
      <c r="AB15669" s="38"/>
    </row>
    <row r="15670">
      <c r="P15670" s="42"/>
      <c r="AB15670" s="38"/>
    </row>
    <row r="15671">
      <c r="P15671" s="42"/>
      <c r="AB15671" s="38"/>
    </row>
    <row r="15672">
      <c r="P15672" s="42"/>
      <c r="AB15672" s="38"/>
    </row>
    <row r="15673">
      <c r="P15673" s="42"/>
      <c r="AB15673" s="38"/>
    </row>
    <row r="15674">
      <c r="P15674" s="42"/>
      <c r="AB15674" s="38"/>
    </row>
    <row r="15675">
      <c r="P15675" s="42"/>
      <c r="AB15675" s="38"/>
    </row>
    <row r="15676">
      <c r="P15676" s="42"/>
      <c r="AB15676" s="38"/>
    </row>
    <row r="15677">
      <c r="P15677" s="42"/>
      <c r="AB15677" s="38"/>
    </row>
    <row r="15678">
      <c r="P15678" s="42"/>
      <c r="AB15678" s="38"/>
    </row>
    <row r="15679">
      <c r="P15679" s="42"/>
      <c r="AB15679" s="38"/>
    </row>
    <row r="15680">
      <c r="P15680" s="42"/>
      <c r="AB15680" s="38"/>
    </row>
    <row r="15681">
      <c r="P15681" s="42"/>
      <c r="AB15681" s="38"/>
    </row>
    <row r="15682">
      <c r="P15682" s="42"/>
      <c r="AB15682" s="38"/>
    </row>
    <row r="15683">
      <c r="P15683" s="42"/>
      <c r="AB15683" s="38"/>
    </row>
    <row r="15684">
      <c r="P15684" s="42"/>
      <c r="AB15684" s="38"/>
    </row>
    <row r="15685">
      <c r="P15685" s="42"/>
      <c r="AB15685" s="38"/>
    </row>
    <row r="15686">
      <c r="P15686" s="42"/>
      <c r="AB15686" s="38"/>
    </row>
    <row r="15687">
      <c r="P15687" s="42"/>
      <c r="AB15687" s="38"/>
    </row>
    <row r="15688">
      <c r="P15688" s="42"/>
      <c r="AB15688" s="38"/>
    </row>
    <row r="15689">
      <c r="P15689" s="42"/>
      <c r="AB15689" s="38"/>
    </row>
    <row r="15690">
      <c r="P15690" s="42"/>
      <c r="AB15690" s="38"/>
    </row>
    <row r="15691">
      <c r="P15691" s="42"/>
      <c r="AB15691" s="38"/>
    </row>
    <row r="15692">
      <c r="P15692" s="42"/>
      <c r="AB15692" s="38"/>
    </row>
    <row r="15693">
      <c r="P15693" s="42"/>
      <c r="AB15693" s="38"/>
    </row>
    <row r="15694">
      <c r="P15694" s="42"/>
      <c r="AB15694" s="38"/>
    </row>
    <row r="15695">
      <c r="P15695" s="42"/>
      <c r="AB15695" s="38"/>
    </row>
    <row r="15696">
      <c r="P15696" s="42"/>
      <c r="AB15696" s="38"/>
    </row>
    <row r="15697">
      <c r="P15697" s="42"/>
      <c r="AB15697" s="38"/>
    </row>
    <row r="15698">
      <c r="P15698" s="42"/>
      <c r="AB15698" s="38"/>
    </row>
    <row r="15699">
      <c r="P15699" s="42"/>
      <c r="AB15699" s="38"/>
    </row>
    <row r="15700">
      <c r="P15700" s="42"/>
      <c r="AB15700" s="38"/>
    </row>
    <row r="15701">
      <c r="P15701" s="42"/>
      <c r="AB15701" s="38"/>
    </row>
    <row r="15702">
      <c r="P15702" s="42"/>
      <c r="AB15702" s="38"/>
    </row>
    <row r="15703">
      <c r="P15703" s="42"/>
      <c r="AB15703" s="38"/>
    </row>
    <row r="15704">
      <c r="P15704" s="42"/>
      <c r="AB15704" s="38"/>
    </row>
    <row r="15705">
      <c r="P15705" s="42"/>
      <c r="AB15705" s="38"/>
    </row>
    <row r="15706">
      <c r="P15706" s="42"/>
      <c r="AB15706" s="38"/>
    </row>
    <row r="15707">
      <c r="P15707" s="42"/>
      <c r="AB15707" s="38"/>
    </row>
    <row r="15708">
      <c r="P15708" s="42"/>
      <c r="AB15708" s="38"/>
    </row>
    <row r="15709">
      <c r="P15709" s="42"/>
      <c r="AB15709" s="38"/>
    </row>
    <row r="15710">
      <c r="P15710" s="42"/>
      <c r="AB15710" s="38"/>
    </row>
    <row r="15711">
      <c r="P15711" s="42"/>
      <c r="AB15711" s="38"/>
    </row>
    <row r="15712">
      <c r="P15712" s="42"/>
      <c r="AB15712" s="38"/>
    </row>
    <row r="15713">
      <c r="P15713" s="42"/>
      <c r="AB15713" s="38"/>
    </row>
    <row r="15714">
      <c r="P15714" s="42"/>
      <c r="AB15714" s="38"/>
    </row>
    <row r="15715">
      <c r="P15715" s="42"/>
      <c r="AB15715" s="38"/>
    </row>
    <row r="15716">
      <c r="P15716" s="42"/>
      <c r="AB15716" s="38"/>
    </row>
    <row r="15717">
      <c r="P15717" s="42"/>
      <c r="AB15717" s="38"/>
    </row>
    <row r="15718">
      <c r="P15718" s="42"/>
      <c r="AB15718" s="38"/>
    </row>
    <row r="15719">
      <c r="P15719" s="42"/>
      <c r="AB15719" s="38"/>
    </row>
    <row r="15720">
      <c r="P15720" s="42"/>
      <c r="AB15720" s="38"/>
    </row>
    <row r="15721">
      <c r="P15721" s="42"/>
      <c r="AB15721" s="38"/>
    </row>
    <row r="15722">
      <c r="P15722" s="42"/>
      <c r="AB15722" s="38"/>
    </row>
    <row r="15723">
      <c r="P15723" s="42"/>
      <c r="AB15723" s="38"/>
    </row>
    <row r="15724">
      <c r="P15724" s="42"/>
      <c r="AB15724" s="38"/>
    </row>
    <row r="15725">
      <c r="P15725" s="42"/>
      <c r="AB15725" s="38"/>
    </row>
    <row r="15726">
      <c r="P15726" s="42"/>
      <c r="AB15726" s="38"/>
    </row>
    <row r="15727">
      <c r="P15727" s="42"/>
      <c r="AB15727" s="38"/>
    </row>
    <row r="15728">
      <c r="P15728" s="42"/>
      <c r="AB15728" s="38"/>
    </row>
    <row r="15729">
      <c r="P15729" s="42"/>
      <c r="AB15729" s="38"/>
    </row>
    <row r="15730">
      <c r="P15730" s="42"/>
      <c r="AB15730" s="38"/>
    </row>
    <row r="15731">
      <c r="P15731" s="42"/>
      <c r="AB15731" s="38"/>
    </row>
    <row r="15732">
      <c r="P15732" s="42"/>
      <c r="AB15732" s="38"/>
    </row>
    <row r="15733">
      <c r="P15733" s="42"/>
      <c r="AB15733" s="38"/>
    </row>
    <row r="15734">
      <c r="P15734" s="42"/>
      <c r="AB15734" s="38"/>
    </row>
    <row r="15735">
      <c r="P15735" s="42"/>
      <c r="AB15735" s="38"/>
    </row>
    <row r="15736">
      <c r="P15736" s="42"/>
      <c r="AB15736" s="38"/>
    </row>
    <row r="15737">
      <c r="P15737" s="42"/>
      <c r="AB15737" s="38"/>
    </row>
    <row r="15738">
      <c r="P15738" s="42"/>
      <c r="AB15738" s="38"/>
    </row>
    <row r="15739">
      <c r="P15739" s="42"/>
      <c r="AB15739" s="38"/>
    </row>
    <row r="15740">
      <c r="P15740" s="42"/>
      <c r="AB15740" s="38"/>
    </row>
    <row r="15741">
      <c r="P15741" s="42"/>
      <c r="AB15741" s="38"/>
    </row>
    <row r="15742">
      <c r="P15742" s="42"/>
      <c r="AB15742" s="38"/>
    </row>
    <row r="15743">
      <c r="P15743" s="42"/>
      <c r="AB15743" s="38"/>
    </row>
    <row r="15744">
      <c r="P15744" s="42"/>
      <c r="AB15744" s="38"/>
    </row>
    <row r="15745">
      <c r="P15745" s="42"/>
      <c r="AB15745" s="38"/>
    </row>
    <row r="15746">
      <c r="P15746" s="42"/>
      <c r="AB15746" s="38"/>
    </row>
    <row r="15747">
      <c r="P15747" s="42"/>
      <c r="AB15747" s="38"/>
    </row>
    <row r="15748">
      <c r="P15748" s="42"/>
      <c r="AB15748" s="38"/>
    </row>
    <row r="15749">
      <c r="P15749" s="42"/>
      <c r="AB15749" s="38"/>
    </row>
    <row r="15750">
      <c r="P15750" s="42"/>
      <c r="AB15750" s="38"/>
    </row>
    <row r="15751">
      <c r="P15751" s="42"/>
      <c r="AB15751" s="38"/>
    </row>
    <row r="15752">
      <c r="P15752" s="42"/>
      <c r="AB15752" s="38"/>
    </row>
    <row r="15753">
      <c r="P15753" s="42"/>
      <c r="AB15753" s="38"/>
    </row>
    <row r="15754">
      <c r="P15754" s="42"/>
      <c r="AB15754" s="38"/>
    </row>
    <row r="15755">
      <c r="P15755" s="42"/>
      <c r="AB15755" s="38"/>
    </row>
    <row r="15756">
      <c r="P15756" s="42"/>
      <c r="AB15756" s="38"/>
    </row>
    <row r="15757">
      <c r="P15757" s="42"/>
      <c r="AB15757" s="38"/>
    </row>
    <row r="15758">
      <c r="P15758" s="42"/>
      <c r="AB15758" s="38"/>
    </row>
    <row r="15759">
      <c r="P15759" s="42"/>
      <c r="AB15759" s="38"/>
    </row>
    <row r="15760">
      <c r="P15760" s="42"/>
      <c r="AB15760" s="38"/>
    </row>
    <row r="15761">
      <c r="P15761" s="42"/>
      <c r="AB15761" s="38"/>
    </row>
    <row r="15762">
      <c r="P15762" s="42"/>
      <c r="AB15762" s="38"/>
    </row>
    <row r="15763">
      <c r="P15763" s="42"/>
      <c r="AB15763" s="38"/>
    </row>
    <row r="15764">
      <c r="P15764" s="42"/>
      <c r="AB15764" s="38"/>
    </row>
    <row r="15765">
      <c r="P15765" s="42"/>
      <c r="AB15765" s="38"/>
    </row>
    <row r="15766">
      <c r="P15766" s="42"/>
      <c r="AB15766" s="38"/>
    </row>
    <row r="15767">
      <c r="P15767" s="42"/>
      <c r="AB15767" s="38"/>
    </row>
    <row r="15768">
      <c r="P15768" s="42"/>
      <c r="AB15768" s="38"/>
    </row>
    <row r="15769">
      <c r="P15769" s="42"/>
      <c r="AB15769" s="38"/>
    </row>
    <row r="15770">
      <c r="P15770" s="42"/>
      <c r="AB15770" s="38"/>
    </row>
    <row r="15771">
      <c r="P15771" s="42"/>
      <c r="AB15771" s="38"/>
    </row>
    <row r="15772">
      <c r="P15772" s="42"/>
      <c r="AB15772" s="38"/>
    </row>
    <row r="15773">
      <c r="P15773" s="42"/>
      <c r="AB15773" s="38"/>
    </row>
    <row r="15774">
      <c r="P15774" s="42"/>
      <c r="AB15774" s="38"/>
    </row>
    <row r="15775">
      <c r="P15775" s="42"/>
      <c r="AB15775" s="38"/>
    </row>
    <row r="15776">
      <c r="P15776" s="42"/>
      <c r="AB15776" s="38"/>
    </row>
    <row r="15777">
      <c r="P15777" s="42"/>
      <c r="AB15777" s="38"/>
    </row>
    <row r="15778">
      <c r="P15778" s="42"/>
      <c r="AB15778" s="38"/>
    </row>
    <row r="15779">
      <c r="P15779" s="42"/>
      <c r="AB15779" s="38"/>
    </row>
    <row r="15780">
      <c r="P15780" s="42"/>
      <c r="AB15780" s="38"/>
    </row>
    <row r="15781">
      <c r="P15781" s="42"/>
      <c r="AB15781" s="38"/>
    </row>
    <row r="15782">
      <c r="P15782" s="42"/>
      <c r="AB15782" s="38"/>
    </row>
    <row r="15783">
      <c r="P15783" s="42"/>
      <c r="AB15783" s="38"/>
    </row>
    <row r="15784">
      <c r="P15784" s="42"/>
      <c r="AB15784" s="38"/>
    </row>
    <row r="15785">
      <c r="P15785" s="42"/>
      <c r="AB15785" s="38"/>
    </row>
    <row r="15786">
      <c r="P15786" s="42"/>
      <c r="AB15786" s="38"/>
    </row>
    <row r="15787">
      <c r="P15787" s="42"/>
      <c r="AB15787" s="38"/>
    </row>
    <row r="15788">
      <c r="P15788" s="42"/>
      <c r="AB15788" s="38"/>
    </row>
    <row r="15789">
      <c r="P15789" s="42"/>
      <c r="AB15789" s="38"/>
    </row>
    <row r="15790">
      <c r="P15790" s="42"/>
      <c r="AB15790" s="38"/>
    </row>
    <row r="15791">
      <c r="P15791" s="42"/>
      <c r="AB15791" s="38"/>
    </row>
    <row r="15792">
      <c r="P15792" s="42"/>
      <c r="AB15792" s="38"/>
    </row>
    <row r="15793">
      <c r="P15793" s="42"/>
      <c r="AB15793" s="38"/>
    </row>
    <row r="15794">
      <c r="P15794" s="42"/>
      <c r="AB15794" s="38"/>
    </row>
    <row r="15795">
      <c r="P15795" s="42"/>
      <c r="AB15795" s="38"/>
    </row>
    <row r="15796">
      <c r="P15796" s="42"/>
      <c r="AB15796" s="38"/>
    </row>
    <row r="15797">
      <c r="P15797" s="42"/>
      <c r="AB15797" s="38"/>
    </row>
    <row r="15798">
      <c r="P15798" s="42"/>
      <c r="AB15798" s="38"/>
    </row>
    <row r="15799">
      <c r="P15799" s="42"/>
      <c r="AB15799" s="38"/>
    </row>
    <row r="15800">
      <c r="P15800" s="42"/>
      <c r="AB15800" s="38"/>
    </row>
    <row r="15801">
      <c r="P15801" s="42"/>
      <c r="AB15801" s="38"/>
    </row>
    <row r="15802">
      <c r="P15802" s="42"/>
      <c r="AB15802" s="38"/>
    </row>
    <row r="15803">
      <c r="P15803" s="42"/>
      <c r="AB15803" s="38"/>
    </row>
    <row r="15804">
      <c r="P15804" s="42"/>
      <c r="AB15804" s="38"/>
    </row>
    <row r="15805">
      <c r="P15805" s="42"/>
      <c r="AB15805" s="38"/>
    </row>
    <row r="15806">
      <c r="P15806" s="42"/>
      <c r="AB15806" s="38"/>
    </row>
    <row r="15807">
      <c r="P15807" s="42"/>
      <c r="AB15807" s="38"/>
    </row>
    <row r="15808">
      <c r="P15808" s="42"/>
      <c r="AB15808" s="38"/>
    </row>
    <row r="15809">
      <c r="P15809" s="42"/>
      <c r="AB15809" s="38"/>
    </row>
    <row r="15810">
      <c r="P15810" s="42"/>
      <c r="AB15810" s="38"/>
    </row>
    <row r="15811">
      <c r="P15811" s="42"/>
      <c r="AB15811" s="38"/>
    </row>
    <row r="15812">
      <c r="P15812" s="42"/>
      <c r="AB15812" s="38"/>
    </row>
    <row r="15813">
      <c r="P15813" s="42"/>
      <c r="AB15813" s="38"/>
    </row>
    <row r="15814">
      <c r="P15814" s="42"/>
      <c r="AB15814" s="38"/>
    </row>
    <row r="15815">
      <c r="P15815" s="42"/>
      <c r="AB15815" s="38"/>
    </row>
    <row r="15816">
      <c r="P15816" s="42"/>
      <c r="AB15816" s="38"/>
    </row>
    <row r="15817">
      <c r="P15817" s="42"/>
      <c r="AB15817" s="38"/>
    </row>
    <row r="15818">
      <c r="P15818" s="42"/>
      <c r="AB15818" s="38"/>
    </row>
    <row r="15819">
      <c r="P15819" s="42"/>
      <c r="AB15819" s="38"/>
    </row>
    <row r="15820">
      <c r="P15820" s="42"/>
      <c r="AB15820" s="38"/>
    </row>
    <row r="15821">
      <c r="P15821" s="42"/>
      <c r="AB15821" s="38"/>
    </row>
    <row r="15822">
      <c r="P15822" s="42"/>
      <c r="AB15822" s="38"/>
    </row>
    <row r="15823">
      <c r="P15823" s="42"/>
      <c r="AB15823" s="38"/>
    </row>
    <row r="15824">
      <c r="P15824" s="42"/>
      <c r="AB15824" s="38"/>
    </row>
    <row r="15825">
      <c r="P15825" s="42"/>
      <c r="AB15825" s="38"/>
    </row>
    <row r="15826">
      <c r="P15826" s="42"/>
      <c r="AB15826" s="38"/>
    </row>
    <row r="15827">
      <c r="P15827" s="42"/>
      <c r="AB15827" s="38"/>
    </row>
    <row r="15828">
      <c r="P15828" s="42"/>
      <c r="AB15828" s="38"/>
    </row>
    <row r="15829">
      <c r="P15829" s="42"/>
      <c r="AB15829" s="38"/>
    </row>
    <row r="15830">
      <c r="P15830" s="42"/>
      <c r="AB15830" s="38"/>
    </row>
    <row r="15831">
      <c r="P15831" s="42"/>
      <c r="AB15831" s="38"/>
    </row>
    <row r="15832">
      <c r="P15832" s="42"/>
      <c r="AB15832" s="38"/>
    </row>
    <row r="15833">
      <c r="P15833" s="42"/>
      <c r="AB15833" s="38"/>
    </row>
    <row r="15834">
      <c r="P15834" s="42"/>
      <c r="AB15834" s="38"/>
    </row>
    <row r="15835">
      <c r="P15835" s="42"/>
      <c r="AB15835" s="38"/>
    </row>
    <row r="15836">
      <c r="P15836" s="42"/>
      <c r="AB15836" s="38"/>
    </row>
    <row r="15837">
      <c r="P15837" s="42"/>
      <c r="AB15837" s="38"/>
    </row>
    <row r="15838">
      <c r="P15838" s="42"/>
      <c r="AB15838" s="38"/>
    </row>
    <row r="15839">
      <c r="P15839" s="42"/>
      <c r="AB15839" s="38"/>
    </row>
    <row r="15840">
      <c r="P15840" s="42"/>
      <c r="AB15840" s="38"/>
    </row>
    <row r="15841">
      <c r="P15841" s="42"/>
      <c r="AB15841" s="38"/>
    </row>
    <row r="15842">
      <c r="P15842" s="42"/>
      <c r="AB15842" s="38"/>
    </row>
    <row r="15843">
      <c r="P15843" s="42"/>
      <c r="AB15843" s="38"/>
    </row>
    <row r="15844">
      <c r="P15844" s="42"/>
      <c r="AB15844" s="38"/>
    </row>
    <row r="15845">
      <c r="P15845" s="42"/>
      <c r="AB15845" s="38"/>
    </row>
    <row r="15846">
      <c r="P15846" s="42"/>
      <c r="AB15846" s="38"/>
    </row>
    <row r="15847">
      <c r="P15847" s="42"/>
      <c r="AB15847" s="38"/>
    </row>
    <row r="15848">
      <c r="P15848" s="42"/>
      <c r="AB15848" s="38"/>
    </row>
    <row r="15849">
      <c r="P15849" s="42"/>
      <c r="AB15849" s="38"/>
    </row>
    <row r="15850">
      <c r="P15850" s="42"/>
      <c r="AB15850" s="38"/>
    </row>
    <row r="15851">
      <c r="P15851" s="42"/>
      <c r="AB15851" s="38"/>
    </row>
    <row r="15852">
      <c r="P15852" s="42"/>
      <c r="AB15852" s="38"/>
    </row>
    <row r="15853">
      <c r="P15853" s="42"/>
      <c r="AB15853" s="38"/>
    </row>
    <row r="15854">
      <c r="P15854" s="42"/>
      <c r="AB15854" s="38"/>
    </row>
    <row r="15855">
      <c r="P15855" s="42"/>
      <c r="AB15855" s="38"/>
    </row>
    <row r="15856">
      <c r="P15856" s="42"/>
      <c r="AB15856" s="38"/>
    </row>
    <row r="15857">
      <c r="P15857" s="42"/>
      <c r="AB15857" s="38"/>
    </row>
    <row r="15858">
      <c r="P15858" s="42"/>
      <c r="AB15858" s="38"/>
    </row>
    <row r="15859">
      <c r="P15859" s="42"/>
      <c r="AB15859" s="38"/>
    </row>
    <row r="15860">
      <c r="P15860" s="42"/>
      <c r="AB15860" s="38"/>
    </row>
    <row r="15861">
      <c r="P15861" s="42"/>
      <c r="AB15861" s="38"/>
    </row>
    <row r="15862">
      <c r="P15862" s="42"/>
      <c r="AB15862" s="38"/>
    </row>
    <row r="15863">
      <c r="P15863" s="42"/>
      <c r="AB15863" s="38"/>
    </row>
    <row r="15864">
      <c r="P15864" s="42"/>
      <c r="AB15864" s="38"/>
    </row>
    <row r="15865">
      <c r="P15865" s="42"/>
      <c r="AB15865" s="38"/>
    </row>
    <row r="15866">
      <c r="P15866" s="42"/>
      <c r="AB15866" s="38"/>
    </row>
    <row r="15867">
      <c r="P15867" s="42"/>
      <c r="AB15867" s="38"/>
    </row>
    <row r="15868">
      <c r="P15868" s="42"/>
      <c r="AB15868" s="38"/>
    </row>
    <row r="15869">
      <c r="P15869" s="42"/>
      <c r="AB15869" s="38"/>
    </row>
    <row r="15870">
      <c r="P15870" s="42"/>
      <c r="AB15870" s="38"/>
    </row>
    <row r="15871">
      <c r="P15871" s="42"/>
      <c r="AB15871" s="38"/>
    </row>
    <row r="15872">
      <c r="P15872" s="42"/>
      <c r="AB15872" s="38"/>
    </row>
    <row r="15873">
      <c r="P15873" s="42"/>
      <c r="AB15873" s="38"/>
    </row>
    <row r="15874">
      <c r="P15874" s="42"/>
      <c r="AB15874" s="38"/>
    </row>
    <row r="15875">
      <c r="P15875" s="42"/>
      <c r="AB15875" s="38"/>
    </row>
    <row r="15876">
      <c r="P15876" s="42"/>
      <c r="AB15876" s="38"/>
    </row>
    <row r="15877">
      <c r="P15877" s="42"/>
      <c r="AB15877" s="38"/>
    </row>
    <row r="15878">
      <c r="P15878" s="42"/>
      <c r="AB15878" s="38"/>
    </row>
    <row r="15879">
      <c r="P15879" s="42"/>
      <c r="AB15879" s="38"/>
    </row>
    <row r="15880">
      <c r="P15880" s="42"/>
      <c r="AB15880" s="38"/>
    </row>
    <row r="15881">
      <c r="P15881" s="42"/>
      <c r="AB15881" s="38"/>
    </row>
    <row r="15882">
      <c r="P15882" s="42"/>
      <c r="AB15882" s="38"/>
    </row>
    <row r="15883">
      <c r="P15883" s="42"/>
      <c r="AB15883" s="38"/>
    </row>
    <row r="15884">
      <c r="P15884" s="42"/>
      <c r="AB15884" s="38"/>
    </row>
    <row r="15885">
      <c r="P15885" s="42"/>
      <c r="AB15885" s="38"/>
    </row>
    <row r="15886">
      <c r="P15886" s="42"/>
      <c r="AB15886" s="38"/>
    </row>
    <row r="15887">
      <c r="P15887" s="42"/>
      <c r="AB15887" s="38"/>
    </row>
    <row r="15888">
      <c r="P15888" s="42"/>
      <c r="AB15888" s="38"/>
    </row>
    <row r="15889">
      <c r="P15889" s="42"/>
      <c r="AB15889" s="38"/>
    </row>
    <row r="15890">
      <c r="P15890" s="42"/>
      <c r="AB15890" s="38"/>
    </row>
    <row r="15891">
      <c r="P15891" s="42"/>
      <c r="AB15891" s="38"/>
    </row>
    <row r="15892">
      <c r="P15892" s="42"/>
      <c r="AB15892" s="38"/>
    </row>
    <row r="15893">
      <c r="P15893" s="42"/>
      <c r="AB15893" s="38"/>
    </row>
    <row r="15894">
      <c r="P15894" s="42"/>
      <c r="AB15894" s="38"/>
    </row>
    <row r="15895">
      <c r="P15895" s="42"/>
      <c r="AB15895" s="38"/>
    </row>
    <row r="15896">
      <c r="P15896" s="42"/>
      <c r="AB15896" s="38"/>
    </row>
    <row r="15897">
      <c r="P15897" s="42"/>
      <c r="AB15897" s="38"/>
    </row>
    <row r="15898">
      <c r="P15898" s="42"/>
      <c r="AB15898" s="38"/>
    </row>
    <row r="15899">
      <c r="P15899" s="42"/>
      <c r="AB15899" s="38"/>
    </row>
    <row r="15900">
      <c r="P15900" s="42"/>
      <c r="AB15900" s="38"/>
    </row>
    <row r="15901">
      <c r="P15901" s="42"/>
      <c r="AB15901" s="38"/>
    </row>
    <row r="15902">
      <c r="P15902" s="42"/>
      <c r="AB15902" s="38"/>
    </row>
    <row r="15903">
      <c r="P15903" s="42"/>
      <c r="AB15903" s="38"/>
    </row>
    <row r="15904">
      <c r="P15904" s="42"/>
      <c r="AB15904" s="38"/>
    </row>
    <row r="15905">
      <c r="P15905" s="42"/>
      <c r="AB15905" s="38"/>
    </row>
    <row r="15906">
      <c r="P15906" s="42"/>
      <c r="AB15906" s="38"/>
    </row>
    <row r="15907">
      <c r="P15907" s="42"/>
      <c r="AB15907" s="38"/>
    </row>
    <row r="15908">
      <c r="P15908" s="42"/>
      <c r="AB15908" s="38"/>
    </row>
    <row r="15909">
      <c r="P15909" s="42"/>
      <c r="AB15909" s="38"/>
    </row>
    <row r="15910">
      <c r="P15910" s="42"/>
      <c r="AB15910" s="38"/>
    </row>
    <row r="15911">
      <c r="P15911" s="42"/>
      <c r="AB15911" s="38"/>
    </row>
    <row r="15912">
      <c r="P15912" s="42"/>
      <c r="AB15912" s="38"/>
    </row>
    <row r="15913">
      <c r="P15913" s="42"/>
      <c r="AB15913" s="38"/>
    </row>
    <row r="15914">
      <c r="P15914" s="42"/>
      <c r="AB15914" s="38"/>
    </row>
    <row r="15915">
      <c r="P15915" s="42"/>
      <c r="AB15915" s="38"/>
    </row>
    <row r="15916">
      <c r="P15916" s="42"/>
      <c r="AB15916" s="38"/>
    </row>
    <row r="15917">
      <c r="P15917" s="42"/>
      <c r="AB15917" s="38"/>
    </row>
    <row r="15918">
      <c r="P15918" s="42"/>
      <c r="AB15918" s="38"/>
    </row>
    <row r="15919">
      <c r="P15919" s="42"/>
      <c r="AB15919" s="38"/>
    </row>
    <row r="15920">
      <c r="P15920" s="42"/>
      <c r="AB15920" s="38"/>
    </row>
    <row r="15921">
      <c r="P15921" s="42"/>
      <c r="AB15921" s="38"/>
    </row>
    <row r="15922">
      <c r="P15922" s="42"/>
      <c r="AB15922" s="38"/>
    </row>
    <row r="15923">
      <c r="P15923" s="42"/>
      <c r="AB15923" s="38"/>
    </row>
    <row r="15924">
      <c r="P15924" s="42"/>
      <c r="AB15924" s="38"/>
    </row>
    <row r="15925">
      <c r="P15925" s="42"/>
      <c r="AB15925" s="38"/>
    </row>
    <row r="15926">
      <c r="P15926" s="42"/>
      <c r="AB15926" s="38"/>
    </row>
    <row r="15927">
      <c r="P15927" s="42"/>
      <c r="AB15927" s="38"/>
    </row>
    <row r="15928">
      <c r="P15928" s="42"/>
      <c r="AB15928" s="38"/>
    </row>
    <row r="15929">
      <c r="P15929" s="42"/>
      <c r="AB15929" s="38"/>
    </row>
    <row r="15930">
      <c r="P15930" s="42"/>
      <c r="AB15930" s="38"/>
    </row>
    <row r="15931">
      <c r="P15931" s="42"/>
      <c r="AB15931" s="38"/>
    </row>
    <row r="15932">
      <c r="P15932" s="42"/>
      <c r="AB15932" s="38"/>
    </row>
    <row r="15933">
      <c r="P15933" s="42"/>
      <c r="AB15933" s="38"/>
    </row>
    <row r="15934">
      <c r="P15934" s="42"/>
      <c r="AB15934" s="38"/>
    </row>
    <row r="15935">
      <c r="P15935" s="42"/>
      <c r="AB15935" s="38"/>
    </row>
    <row r="15936">
      <c r="P15936" s="42"/>
      <c r="AB15936" s="38"/>
    </row>
    <row r="15937">
      <c r="P15937" s="42"/>
      <c r="AB15937" s="38"/>
    </row>
    <row r="15938">
      <c r="P15938" s="42"/>
      <c r="AB15938" s="38"/>
    </row>
    <row r="15939">
      <c r="P15939" s="42"/>
      <c r="AB15939" s="38"/>
    </row>
    <row r="15940">
      <c r="P15940" s="42"/>
      <c r="AB15940" s="38"/>
    </row>
    <row r="15941">
      <c r="P15941" s="42"/>
      <c r="AB15941" s="38"/>
    </row>
    <row r="15942">
      <c r="P15942" s="42"/>
      <c r="AB15942" s="38"/>
    </row>
    <row r="15943">
      <c r="P15943" s="42"/>
      <c r="AB15943" s="38"/>
    </row>
    <row r="15944">
      <c r="P15944" s="42"/>
      <c r="AB15944" s="38"/>
    </row>
    <row r="15945">
      <c r="P15945" s="42"/>
      <c r="AB15945" s="38"/>
    </row>
    <row r="15946">
      <c r="P15946" s="42"/>
      <c r="AB15946" s="38"/>
    </row>
    <row r="15947">
      <c r="P15947" s="42"/>
      <c r="AB15947" s="38"/>
    </row>
    <row r="15948">
      <c r="P15948" s="42"/>
      <c r="AB15948" s="38"/>
    </row>
    <row r="15949">
      <c r="P15949" s="42"/>
      <c r="AB15949" s="38"/>
    </row>
    <row r="15950">
      <c r="P15950" s="42"/>
      <c r="AB15950" s="38"/>
    </row>
    <row r="15951">
      <c r="P15951" s="42"/>
      <c r="AB15951" s="38"/>
    </row>
    <row r="15952">
      <c r="P15952" s="42"/>
      <c r="AB15952" s="38"/>
    </row>
    <row r="15953">
      <c r="P15953" s="42"/>
      <c r="AB15953" s="38"/>
    </row>
    <row r="15954">
      <c r="P15954" s="42"/>
      <c r="AB15954" s="38"/>
    </row>
    <row r="15955">
      <c r="P15955" s="42"/>
      <c r="AB15955" s="38"/>
    </row>
    <row r="15956">
      <c r="P15956" s="42"/>
      <c r="AB15956" s="38"/>
    </row>
    <row r="15957">
      <c r="P15957" s="42"/>
      <c r="AB15957" s="38"/>
    </row>
    <row r="15958">
      <c r="P15958" s="42"/>
      <c r="AB15958" s="38"/>
    </row>
    <row r="15959">
      <c r="P15959" s="42"/>
      <c r="AB15959" s="38"/>
    </row>
    <row r="15960">
      <c r="P15960" s="42"/>
      <c r="AB15960" s="38"/>
    </row>
    <row r="15961">
      <c r="P15961" s="42"/>
      <c r="AB15961" s="38"/>
    </row>
    <row r="15962">
      <c r="P15962" s="42"/>
      <c r="AB15962" s="38"/>
    </row>
    <row r="15963">
      <c r="P15963" s="42"/>
      <c r="AB15963" s="38"/>
    </row>
    <row r="15964">
      <c r="P15964" s="42"/>
      <c r="AB15964" s="38"/>
    </row>
    <row r="15965">
      <c r="P15965" s="42"/>
      <c r="AB15965" s="38"/>
    </row>
    <row r="15966">
      <c r="P15966" s="42"/>
      <c r="AB15966" s="38"/>
    </row>
    <row r="15967">
      <c r="P15967" s="42"/>
      <c r="AB15967" s="38"/>
    </row>
    <row r="15968">
      <c r="P15968" s="42"/>
      <c r="AB15968" s="38"/>
    </row>
    <row r="15969">
      <c r="P15969" s="42"/>
      <c r="AB15969" s="38"/>
    </row>
    <row r="15970">
      <c r="P15970" s="42"/>
      <c r="AB15970" s="38"/>
    </row>
    <row r="15971">
      <c r="P15971" s="42"/>
      <c r="AB15971" s="38"/>
    </row>
    <row r="15972">
      <c r="P15972" s="42"/>
      <c r="AB15972" s="38"/>
    </row>
    <row r="15973">
      <c r="P15973" s="42"/>
      <c r="AB15973" s="38"/>
    </row>
    <row r="15974">
      <c r="P15974" s="42"/>
      <c r="AB15974" s="38"/>
    </row>
    <row r="15975">
      <c r="P15975" s="42"/>
      <c r="AB15975" s="38"/>
    </row>
    <row r="15976">
      <c r="P15976" s="42"/>
      <c r="AB15976" s="38"/>
    </row>
    <row r="15977">
      <c r="P15977" s="42"/>
      <c r="AB15977" s="38"/>
    </row>
    <row r="15978">
      <c r="P15978" s="42"/>
      <c r="AB15978" s="38"/>
    </row>
    <row r="15979">
      <c r="P15979" s="42"/>
      <c r="AB15979" s="38"/>
    </row>
    <row r="15980">
      <c r="P15980" s="42"/>
      <c r="AB15980" s="38"/>
    </row>
    <row r="15981">
      <c r="P15981" s="42"/>
      <c r="AB15981" s="38"/>
    </row>
    <row r="15982">
      <c r="P15982" s="42"/>
      <c r="AB15982" s="38"/>
    </row>
    <row r="15983">
      <c r="P15983" s="42"/>
      <c r="AB15983" s="38"/>
    </row>
    <row r="15984">
      <c r="P15984" s="42"/>
      <c r="AB15984" s="38"/>
    </row>
    <row r="15985">
      <c r="P15985" s="42"/>
      <c r="AB15985" s="38"/>
    </row>
    <row r="15986">
      <c r="P15986" s="42"/>
      <c r="AB15986" s="38"/>
    </row>
    <row r="15987">
      <c r="P15987" s="42"/>
      <c r="AB15987" s="38"/>
    </row>
    <row r="15988">
      <c r="P15988" s="42"/>
      <c r="AB15988" s="38"/>
    </row>
    <row r="15989">
      <c r="P15989" s="42"/>
      <c r="AB15989" s="38"/>
    </row>
    <row r="15990">
      <c r="P15990" s="42"/>
      <c r="AB15990" s="38"/>
    </row>
    <row r="15991">
      <c r="P15991" s="42"/>
      <c r="AB15991" s="38"/>
    </row>
    <row r="15992">
      <c r="P15992" s="42"/>
      <c r="AB15992" s="38"/>
    </row>
    <row r="15993">
      <c r="P15993" s="42"/>
      <c r="AB15993" s="38"/>
    </row>
    <row r="15994">
      <c r="P15994" s="42"/>
      <c r="AB15994" s="38"/>
    </row>
    <row r="15995">
      <c r="P15995" s="42"/>
      <c r="AB15995" s="38"/>
    </row>
    <row r="15996">
      <c r="P15996" s="42"/>
      <c r="AB15996" s="38"/>
    </row>
    <row r="15997">
      <c r="P15997" s="42"/>
      <c r="AB15997" s="38"/>
    </row>
    <row r="15998">
      <c r="P15998" s="42"/>
      <c r="AB15998" s="38"/>
    </row>
    <row r="15999">
      <c r="P15999" s="42"/>
      <c r="AB15999" s="38"/>
    </row>
    <row r="16000">
      <c r="P16000" s="42"/>
      <c r="AB16000" s="38"/>
    </row>
    <row r="16001">
      <c r="P16001" s="42"/>
      <c r="AB16001" s="38"/>
    </row>
    <row r="16002">
      <c r="P16002" s="42"/>
      <c r="AB16002" s="38"/>
    </row>
    <row r="16003">
      <c r="P16003" s="42"/>
      <c r="AB16003" s="38"/>
    </row>
    <row r="16004">
      <c r="P16004" s="42"/>
      <c r="AB16004" s="38"/>
    </row>
    <row r="16005">
      <c r="P16005" s="42"/>
      <c r="AB16005" s="38"/>
    </row>
    <row r="16006">
      <c r="P16006" s="42"/>
      <c r="AB16006" s="38"/>
    </row>
    <row r="16007">
      <c r="P16007" s="42"/>
      <c r="AB16007" s="38"/>
    </row>
    <row r="16008">
      <c r="P16008" s="42"/>
      <c r="AB16008" s="38"/>
    </row>
    <row r="16009">
      <c r="P16009" s="42"/>
      <c r="AB16009" s="38"/>
    </row>
    <row r="16010">
      <c r="P16010" s="42"/>
      <c r="AB16010" s="38"/>
    </row>
    <row r="16011">
      <c r="P16011" s="42"/>
      <c r="AB16011" s="38"/>
    </row>
    <row r="16012">
      <c r="P16012" s="42"/>
      <c r="AB16012" s="38"/>
    </row>
    <row r="16013">
      <c r="P16013" s="42"/>
      <c r="AB16013" s="38"/>
    </row>
    <row r="16014">
      <c r="P16014" s="42"/>
      <c r="AB16014" s="38"/>
    </row>
    <row r="16015">
      <c r="P16015" s="42"/>
      <c r="AB16015" s="38"/>
    </row>
    <row r="16016">
      <c r="P16016" s="42"/>
      <c r="AB16016" s="38"/>
    </row>
    <row r="16017">
      <c r="P16017" s="42"/>
      <c r="AB16017" s="38"/>
    </row>
    <row r="16018">
      <c r="P16018" s="42"/>
      <c r="AB16018" s="38"/>
    </row>
    <row r="16019">
      <c r="P16019" s="42"/>
      <c r="AB16019" s="38"/>
    </row>
    <row r="16020">
      <c r="P16020" s="42"/>
      <c r="AB16020" s="38"/>
    </row>
    <row r="16021">
      <c r="P16021" s="42"/>
      <c r="AB16021" s="38"/>
    </row>
    <row r="16022">
      <c r="P16022" s="42"/>
      <c r="AB16022" s="38"/>
    </row>
    <row r="16023">
      <c r="P16023" s="42"/>
      <c r="AB16023" s="38"/>
    </row>
    <row r="16024">
      <c r="P16024" s="42"/>
      <c r="AB16024" s="38"/>
    </row>
    <row r="16025">
      <c r="P16025" s="42"/>
      <c r="AB16025" s="38"/>
    </row>
    <row r="16026">
      <c r="P16026" s="42"/>
      <c r="AB16026" s="38"/>
    </row>
    <row r="16027">
      <c r="P16027" s="42"/>
      <c r="AB16027" s="38"/>
    </row>
    <row r="16028">
      <c r="P16028" s="42"/>
      <c r="AB16028" s="38"/>
    </row>
    <row r="16029">
      <c r="P16029" s="42"/>
      <c r="AB16029" s="38"/>
    </row>
    <row r="16030">
      <c r="P16030" s="42"/>
      <c r="AB16030" s="38"/>
    </row>
    <row r="16031">
      <c r="P16031" s="42"/>
      <c r="AB16031" s="38"/>
    </row>
    <row r="16032">
      <c r="P16032" s="42"/>
      <c r="AB16032" s="38"/>
    </row>
    <row r="16033">
      <c r="P16033" s="42"/>
      <c r="AB16033" s="38"/>
    </row>
    <row r="16034">
      <c r="P16034" s="42"/>
      <c r="AB16034" s="38"/>
    </row>
    <row r="16035">
      <c r="P16035" s="42"/>
      <c r="AB16035" s="38"/>
    </row>
    <row r="16036">
      <c r="P16036" s="42"/>
      <c r="AB16036" s="38"/>
    </row>
    <row r="16037">
      <c r="P16037" s="42"/>
      <c r="AB16037" s="38"/>
    </row>
    <row r="16038">
      <c r="P16038" s="42"/>
      <c r="AB16038" s="38"/>
    </row>
    <row r="16039">
      <c r="P16039" s="42"/>
      <c r="AB16039" s="38"/>
    </row>
    <row r="16040">
      <c r="P16040" s="42"/>
      <c r="AB16040" s="38"/>
    </row>
    <row r="16041">
      <c r="P16041" s="42"/>
      <c r="AB16041" s="38"/>
    </row>
    <row r="16042">
      <c r="P16042" s="42"/>
      <c r="AB16042" s="38"/>
    </row>
    <row r="16043">
      <c r="P16043" s="42"/>
      <c r="AB16043" s="38"/>
    </row>
    <row r="16044">
      <c r="P16044" s="42"/>
      <c r="AB16044" s="38"/>
    </row>
    <row r="16045">
      <c r="P16045" s="42"/>
      <c r="AB16045" s="38"/>
    </row>
    <row r="16046">
      <c r="P16046" s="42"/>
      <c r="AB16046" s="38"/>
    </row>
    <row r="16047">
      <c r="P16047" s="42"/>
      <c r="AB16047" s="38"/>
    </row>
    <row r="16048">
      <c r="P16048" s="42"/>
      <c r="AB16048" s="38"/>
    </row>
    <row r="16049">
      <c r="P16049" s="42"/>
      <c r="AB16049" s="38"/>
    </row>
    <row r="16050">
      <c r="P16050" s="42"/>
      <c r="AB16050" s="38"/>
    </row>
    <row r="16051">
      <c r="P16051" s="42"/>
      <c r="AB16051" s="38"/>
    </row>
    <row r="16052">
      <c r="P16052" s="42"/>
      <c r="AB16052" s="38"/>
    </row>
    <row r="16053">
      <c r="P16053" s="42"/>
      <c r="AB16053" s="38"/>
    </row>
    <row r="16054">
      <c r="P16054" s="42"/>
      <c r="AB16054" s="38"/>
    </row>
    <row r="16055">
      <c r="P16055" s="42"/>
      <c r="AB16055" s="38"/>
    </row>
    <row r="16056">
      <c r="P16056" s="42"/>
      <c r="AB16056" s="38"/>
    </row>
    <row r="16057">
      <c r="P16057" s="42"/>
      <c r="AB16057" s="38"/>
    </row>
    <row r="16058">
      <c r="P16058" s="42"/>
      <c r="AB16058" s="38"/>
    </row>
    <row r="16059">
      <c r="P16059" s="42"/>
      <c r="AB16059" s="38"/>
    </row>
    <row r="16060">
      <c r="P16060" s="42"/>
      <c r="AB16060" s="38"/>
    </row>
    <row r="16061">
      <c r="P16061" s="42"/>
      <c r="AB16061" s="38"/>
    </row>
    <row r="16062">
      <c r="P16062" s="42"/>
      <c r="AB16062" s="38"/>
    </row>
    <row r="16063">
      <c r="P16063" s="42"/>
      <c r="AB16063" s="38"/>
    </row>
    <row r="16064">
      <c r="P16064" s="42"/>
      <c r="AB16064" s="38"/>
    </row>
    <row r="16065">
      <c r="P16065" s="42"/>
      <c r="AB16065" s="38"/>
    </row>
    <row r="16066">
      <c r="P16066" s="42"/>
      <c r="AB16066" s="38"/>
    </row>
    <row r="16067">
      <c r="P16067" s="42"/>
      <c r="AB16067" s="38"/>
    </row>
    <row r="16068">
      <c r="P16068" s="42"/>
      <c r="AB16068" s="38"/>
    </row>
    <row r="16069">
      <c r="P16069" s="42"/>
      <c r="AB16069" s="38"/>
    </row>
    <row r="16070">
      <c r="P16070" s="42"/>
      <c r="AB16070" s="38"/>
    </row>
    <row r="16071">
      <c r="P16071" s="42"/>
      <c r="AB16071" s="38"/>
    </row>
    <row r="16072">
      <c r="P16072" s="42"/>
      <c r="AB16072" s="38"/>
    </row>
    <row r="16073">
      <c r="P16073" s="42"/>
      <c r="AB16073" s="38"/>
    </row>
    <row r="16074">
      <c r="P16074" s="42"/>
      <c r="AB16074" s="38"/>
    </row>
    <row r="16075">
      <c r="P16075" s="42"/>
      <c r="AB16075" s="38"/>
    </row>
    <row r="16076">
      <c r="P16076" s="42"/>
      <c r="AB16076" s="38"/>
    </row>
    <row r="16077">
      <c r="P16077" s="42"/>
      <c r="AB16077" s="38"/>
    </row>
    <row r="16078">
      <c r="P16078" s="42"/>
      <c r="AB16078" s="38"/>
    </row>
    <row r="16079">
      <c r="P16079" s="42"/>
      <c r="AB16079" s="38"/>
    </row>
    <row r="16080">
      <c r="P16080" s="42"/>
      <c r="AB16080" s="38"/>
    </row>
    <row r="16081">
      <c r="P16081" s="42"/>
      <c r="AB16081" s="38"/>
    </row>
    <row r="16082">
      <c r="P16082" s="42"/>
      <c r="AB16082" s="38"/>
    </row>
    <row r="16083">
      <c r="P16083" s="42"/>
      <c r="AB16083" s="38"/>
    </row>
    <row r="16084">
      <c r="P16084" s="42"/>
      <c r="AB16084" s="38"/>
    </row>
    <row r="16085">
      <c r="P16085" s="42"/>
      <c r="AB16085" s="38"/>
    </row>
    <row r="16086">
      <c r="P16086" s="42"/>
      <c r="AB16086" s="38"/>
    </row>
    <row r="16087">
      <c r="P16087" s="42"/>
      <c r="AB16087" s="38"/>
    </row>
    <row r="16088">
      <c r="P16088" s="42"/>
      <c r="AB16088" s="38"/>
    </row>
    <row r="16089">
      <c r="P16089" s="42"/>
      <c r="AB16089" s="38"/>
    </row>
    <row r="16090">
      <c r="P16090" s="42"/>
      <c r="AB16090" s="38"/>
    </row>
    <row r="16091">
      <c r="P16091" s="42"/>
      <c r="AB16091" s="38"/>
    </row>
    <row r="16092">
      <c r="P16092" s="42"/>
      <c r="AB16092" s="38"/>
    </row>
    <row r="16093">
      <c r="P16093" s="42"/>
      <c r="AB16093" s="38"/>
    </row>
    <row r="16094">
      <c r="P16094" s="42"/>
      <c r="AB16094" s="38"/>
    </row>
    <row r="16095">
      <c r="P16095" s="42"/>
      <c r="AB16095" s="38"/>
    </row>
    <row r="16096">
      <c r="P16096" s="42"/>
      <c r="AB16096" s="38"/>
    </row>
    <row r="16097">
      <c r="P16097" s="42"/>
      <c r="AB16097" s="38"/>
    </row>
    <row r="16098">
      <c r="P16098" s="42"/>
      <c r="AB16098" s="38"/>
    </row>
    <row r="16099">
      <c r="P16099" s="42"/>
      <c r="AB16099" s="38"/>
    </row>
    <row r="16100">
      <c r="P16100" s="42"/>
      <c r="AB16100" s="38"/>
    </row>
    <row r="16101">
      <c r="P16101" s="42"/>
      <c r="AB16101" s="38"/>
    </row>
    <row r="16102">
      <c r="P16102" s="42"/>
      <c r="AB16102" s="38"/>
    </row>
    <row r="16103">
      <c r="P16103" s="42"/>
      <c r="AB16103" s="38"/>
    </row>
    <row r="16104">
      <c r="P16104" s="42"/>
      <c r="AB16104" s="38"/>
    </row>
    <row r="16105">
      <c r="P16105" s="42"/>
      <c r="AB16105" s="38"/>
    </row>
    <row r="16106">
      <c r="P16106" s="42"/>
      <c r="AB16106" s="38"/>
    </row>
    <row r="16107">
      <c r="P16107" s="42"/>
      <c r="AB16107" s="38"/>
    </row>
    <row r="16108">
      <c r="P16108" s="42"/>
      <c r="AB16108" s="38"/>
    </row>
    <row r="16109">
      <c r="P16109" s="42"/>
      <c r="AB16109" s="38"/>
    </row>
    <row r="16110">
      <c r="P16110" s="42"/>
      <c r="AB16110" s="38"/>
    </row>
    <row r="16111">
      <c r="P16111" s="42"/>
      <c r="AB16111" s="38"/>
    </row>
    <row r="16112">
      <c r="P16112" s="42"/>
      <c r="AB16112" s="38"/>
    </row>
    <row r="16113">
      <c r="P16113" s="42"/>
      <c r="AB16113" s="38"/>
    </row>
    <row r="16114">
      <c r="P16114" s="42"/>
      <c r="AB16114" s="38"/>
    </row>
    <row r="16115">
      <c r="P16115" s="42"/>
      <c r="AB16115" s="38"/>
    </row>
    <row r="16116">
      <c r="P16116" s="42"/>
      <c r="AB16116" s="38"/>
    </row>
    <row r="16117">
      <c r="P16117" s="42"/>
      <c r="AB16117" s="38"/>
    </row>
    <row r="16118">
      <c r="P16118" s="42"/>
      <c r="AB16118" s="38"/>
    </row>
    <row r="16119">
      <c r="P16119" s="42"/>
      <c r="AB16119" s="38"/>
    </row>
    <row r="16120">
      <c r="P16120" s="42"/>
      <c r="AB16120" s="38"/>
    </row>
    <row r="16121">
      <c r="P16121" s="42"/>
      <c r="AB16121" s="38"/>
    </row>
    <row r="16122">
      <c r="P16122" s="42"/>
      <c r="AB16122" s="38"/>
    </row>
    <row r="16123">
      <c r="P16123" s="42"/>
      <c r="AB16123" s="38"/>
    </row>
    <row r="16124">
      <c r="P16124" s="42"/>
      <c r="AB16124" s="38"/>
    </row>
    <row r="16125">
      <c r="P16125" s="42"/>
      <c r="AB16125" s="38"/>
    </row>
    <row r="16126">
      <c r="P16126" s="42"/>
      <c r="AB16126" s="38"/>
    </row>
    <row r="16127">
      <c r="P16127" s="42"/>
      <c r="AB16127" s="38"/>
    </row>
    <row r="16128">
      <c r="P16128" s="42"/>
      <c r="AB16128" s="38"/>
    </row>
    <row r="16129">
      <c r="P16129" s="42"/>
      <c r="AB16129" s="38"/>
    </row>
    <row r="16130">
      <c r="P16130" s="42"/>
      <c r="AB16130" s="38"/>
    </row>
    <row r="16131">
      <c r="P16131" s="42"/>
      <c r="AB16131" s="38"/>
    </row>
    <row r="16132">
      <c r="P16132" s="42"/>
      <c r="AB16132" s="38"/>
    </row>
    <row r="16133">
      <c r="P16133" s="42"/>
      <c r="AB16133" s="38"/>
    </row>
    <row r="16134">
      <c r="P16134" s="42"/>
      <c r="AB16134" s="38"/>
    </row>
    <row r="16135">
      <c r="P16135" s="42"/>
      <c r="AB16135" s="38"/>
    </row>
    <row r="16136">
      <c r="P16136" s="42"/>
      <c r="AB16136" s="38"/>
    </row>
    <row r="16137">
      <c r="P16137" s="42"/>
      <c r="AB16137" s="38"/>
    </row>
    <row r="16138">
      <c r="P16138" s="42"/>
      <c r="AB16138" s="38"/>
    </row>
    <row r="16139">
      <c r="P16139" s="42"/>
      <c r="AB16139" s="38"/>
    </row>
    <row r="16140">
      <c r="P16140" s="42"/>
      <c r="AB16140" s="38"/>
    </row>
    <row r="16141">
      <c r="P16141" s="42"/>
      <c r="AB16141" s="38"/>
    </row>
    <row r="16142">
      <c r="P16142" s="42"/>
      <c r="AB16142" s="38"/>
    </row>
    <row r="16143">
      <c r="P16143" s="42"/>
      <c r="AB16143" s="38"/>
    </row>
    <row r="16144">
      <c r="P16144" s="42"/>
      <c r="AB16144" s="38"/>
    </row>
    <row r="16145">
      <c r="P16145" s="42"/>
      <c r="AB16145" s="38"/>
    </row>
    <row r="16146">
      <c r="P16146" s="42"/>
      <c r="AB16146" s="38"/>
    </row>
    <row r="16147">
      <c r="P16147" s="42"/>
      <c r="AB16147" s="38"/>
    </row>
    <row r="16148">
      <c r="P16148" s="42"/>
      <c r="AB16148" s="38"/>
    </row>
    <row r="16149">
      <c r="P16149" s="42"/>
      <c r="AB16149" s="38"/>
    </row>
    <row r="16150">
      <c r="P16150" s="42"/>
      <c r="AB16150" s="38"/>
    </row>
    <row r="16151">
      <c r="P16151" s="42"/>
      <c r="AB16151" s="38"/>
    </row>
    <row r="16152">
      <c r="P16152" s="42"/>
      <c r="AB16152" s="38"/>
    </row>
    <row r="16153">
      <c r="P16153" s="42"/>
      <c r="AB16153" s="38"/>
    </row>
    <row r="16154">
      <c r="P16154" s="42"/>
      <c r="AB16154" s="38"/>
    </row>
    <row r="16155">
      <c r="P16155" s="42"/>
      <c r="AB16155" s="38"/>
    </row>
    <row r="16156">
      <c r="P16156" s="42"/>
      <c r="AB16156" s="38"/>
    </row>
    <row r="16157">
      <c r="P16157" s="42"/>
      <c r="AB16157" s="38"/>
    </row>
    <row r="16158">
      <c r="P16158" s="42"/>
      <c r="AB16158" s="38"/>
    </row>
    <row r="16159">
      <c r="P16159" s="42"/>
      <c r="AB16159" s="38"/>
    </row>
    <row r="16160">
      <c r="P16160" s="42"/>
      <c r="AB16160" s="38"/>
    </row>
    <row r="16161">
      <c r="P16161" s="42"/>
      <c r="AB16161" s="38"/>
    </row>
    <row r="16162">
      <c r="P16162" s="42"/>
      <c r="AB16162" s="38"/>
    </row>
    <row r="16163">
      <c r="P16163" s="42"/>
      <c r="AB16163" s="38"/>
    </row>
    <row r="16164">
      <c r="P16164" s="42"/>
      <c r="AB16164" s="38"/>
    </row>
    <row r="16165">
      <c r="P16165" s="42"/>
      <c r="AB16165" s="38"/>
    </row>
    <row r="16166">
      <c r="P16166" s="42"/>
      <c r="AB16166" s="38"/>
    </row>
    <row r="16167">
      <c r="P16167" s="42"/>
      <c r="AB16167" s="38"/>
    </row>
    <row r="16168">
      <c r="P16168" s="42"/>
      <c r="AB16168" s="38"/>
    </row>
    <row r="16169">
      <c r="P16169" s="42"/>
      <c r="AB16169" s="38"/>
    </row>
    <row r="16170">
      <c r="P16170" s="42"/>
      <c r="AB16170" s="38"/>
    </row>
    <row r="16171">
      <c r="P16171" s="42"/>
      <c r="AB16171" s="38"/>
    </row>
    <row r="16172">
      <c r="P16172" s="42"/>
      <c r="AB16172" s="38"/>
    </row>
    <row r="16173">
      <c r="P16173" s="42"/>
      <c r="AB16173" s="38"/>
    </row>
    <row r="16174">
      <c r="P16174" s="42"/>
      <c r="AB16174" s="38"/>
    </row>
    <row r="16175">
      <c r="P16175" s="42"/>
      <c r="AB16175" s="38"/>
    </row>
    <row r="16176">
      <c r="P16176" s="42"/>
      <c r="AB16176" s="38"/>
    </row>
    <row r="16177">
      <c r="P16177" s="42"/>
      <c r="AB16177" s="38"/>
    </row>
    <row r="16178">
      <c r="P16178" s="42"/>
      <c r="AB16178" s="38"/>
    </row>
    <row r="16179">
      <c r="P16179" s="42"/>
      <c r="AB16179" s="38"/>
    </row>
    <row r="16180">
      <c r="P16180" s="42"/>
      <c r="AB16180" s="38"/>
    </row>
    <row r="16181">
      <c r="P16181" s="42"/>
      <c r="AB16181" s="38"/>
    </row>
    <row r="16182">
      <c r="P16182" s="42"/>
      <c r="AB16182" s="38"/>
    </row>
    <row r="16183">
      <c r="P16183" s="42"/>
      <c r="AB16183" s="38"/>
    </row>
    <row r="16184">
      <c r="P16184" s="42"/>
      <c r="AB16184" s="38"/>
    </row>
    <row r="16185">
      <c r="P16185" s="42"/>
      <c r="AB16185" s="38"/>
    </row>
    <row r="16186">
      <c r="P16186" s="42"/>
      <c r="AB16186" s="38"/>
    </row>
    <row r="16187">
      <c r="P16187" s="42"/>
      <c r="AB16187" s="38"/>
    </row>
    <row r="16188">
      <c r="P16188" s="42"/>
      <c r="AB16188" s="38"/>
    </row>
    <row r="16189">
      <c r="P16189" s="42"/>
      <c r="AB16189" s="38"/>
    </row>
    <row r="16190">
      <c r="P16190" s="42"/>
      <c r="AB16190" s="38"/>
    </row>
    <row r="16191">
      <c r="P16191" s="42"/>
      <c r="AB16191" s="38"/>
    </row>
    <row r="16192">
      <c r="P16192" s="42"/>
      <c r="AB16192" s="38"/>
    </row>
    <row r="16193">
      <c r="P16193" s="42"/>
      <c r="AB16193" s="38"/>
    </row>
    <row r="16194">
      <c r="P16194" s="42"/>
      <c r="AB16194" s="38"/>
    </row>
    <row r="16195">
      <c r="P16195" s="42"/>
      <c r="AB16195" s="38"/>
    </row>
    <row r="16196">
      <c r="P16196" s="42"/>
      <c r="AB16196" s="38"/>
    </row>
    <row r="16197">
      <c r="P16197" s="42"/>
      <c r="AB16197" s="38"/>
    </row>
    <row r="16198">
      <c r="P16198" s="42"/>
      <c r="AB16198" s="38"/>
    </row>
    <row r="16199">
      <c r="P16199" s="42"/>
      <c r="AB16199" s="38"/>
    </row>
    <row r="16200">
      <c r="P16200" s="42"/>
      <c r="AB16200" s="38"/>
    </row>
    <row r="16201">
      <c r="P16201" s="42"/>
      <c r="AB16201" s="38"/>
    </row>
    <row r="16202">
      <c r="P16202" s="42"/>
      <c r="AB16202" s="38"/>
    </row>
    <row r="16203">
      <c r="P16203" s="42"/>
      <c r="AB16203" s="38"/>
    </row>
    <row r="16204">
      <c r="P16204" s="42"/>
      <c r="AB16204" s="38"/>
    </row>
    <row r="16205">
      <c r="P16205" s="42"/>
      <c r="AB16205" s="38"/>
    </row>
    <row r="16206">
      <c r="P16206" s="42"/>
      <c r="AB16206" s="38"/>
    </row>
    <row r="16207">
      <c r="P16207" s="42"/>
      <c r="AB16207" s="38"/>
    </row>
    <row r="16208">
      <c r="P16208" s="42"/>
      <c r="AB16208" s="38"/>
    </row>
    <row r="16209">
      <c r="P16209" s="42"/>
      <c r="AB16209" s="38"/>
    </row>
    <row r="16210">
      <c r="P16210" s="42"/>
      <c r="AB16210" s="38"/>
    </row>
    <row r="16211">
      <c r="P16211" s="42"/>
      <c r="AB16211" s="38"/>
    </row>
    <row r="16212">
      <c r="P16212" s="42"/>
      <c r="AB16212" s="38"/>
    </row>
    <row r="16213">
      <c r="P16213" s="42"/>
      <c r="AB16213" s="38"/>
    </row>
    <row r="16214">
      <c r="P16214" s="42"/>
      <c r="AB16214" s="38"/>
    </row>
    <row r="16215">
      <c r="P16215" s="42"/>
      <c r="AB16215" s="38"/>
    </row>
    <row r="16216">
      <c r="P16216" s="42"/>
      <c r="AB16216" s="38"/>
    </row>
    <row r="16217">
      <c r="P16217" s="42"/>
      <c r="AB16217" s="38"/>
    </row>
    <row r="16218">
      <c r="P16218" s="42"/>
      <c r="AB16218" s="38"/>
    </row>
    <row r="16219">
      <c r="P16219" s="42"/>
      <c r="AB16219" s="38"/>
    </row>
    <row r="16220">
      <c r="P16220" s="42"/>
      <c r="AB16220" s="38"/>
    </row>
    <row r="16221">
      <c r="P16221" s="42"/>
      <c r="AB16221" s="38"/>
    </row>
    <row r="16222">
      <c r="P16222" s="42"/>
      <c r="AB16222" s="38"/>
    </row>
    <row r="16223">
      <c r="P16223" s="42"/>
      <c r="AB16223" s="38"/>
    </row>
    <row r="16224">
      <c r="P16224" s="42"/>
      <c r="AB16224" s="38"/>
    </row>
    <row r="16225">
      <c r="P16225" s="42"/>
      <c r="AB16225" s="38"/>
    </row>
    <row r="16226">
      <c r="P16226" s="42"/>
      <c r="AB16226" s="38"/>
    </row>
    <row r="16227">
      <c r="P16227" s="42"/>
      <c r="AB16227" s="38"/>
    </row>
    <row r="16228">
      <c r="P16228" s="42"/>
      <c r="AB16228" s="38"/>
    </row>
    <row r="16229">
      <c r="P16229" s="42"/>
      <c r="AB16229" s="38"/>
    </row>
    <row r="16230">
      <c r="P16230" s="42"/>
      <c r="AB16230" s="38"/>
    </row>
    <row r="16231">
      <c r="P16231" s="42"/>
      <c r="AB16231" s="38"/>
    </row>
    <row r="16232">
      <c r="P16232" s="42"/>
      <c r="AB16232" s="38"/>
    </row>
    <row r="16233">
      <c r="P16233" s="42"/>
      <c r="AB16233" s="38"/>
    </row>
    <row r="16234">
      <c r="P16234" s="42"/>
      <c r="AB16234" s="38"/>
    </row>
    <row r="16235">
      <c r="P16235" s="42"/>
      <c r="AB16235" s="38"/>
    </row>
    <row r="16236">
      <c r="P16236" s="42"/>
      <c r="AB16236" s="38"/>
    </row>
    <row r="16237">
      <c r="P16237" s="42"/>
      <c r="AB16237" s="38"/>
    </row>
    <row r="16238">
      <c r="P16238" s="42"/>
      <c r="AB16238" s="38"/>
    </row>
    <row r="16239">
      <c r="P16239" s="42"/>
      <c r="AB16239" s="38"/>
    </row>
    <row r="16240">
      <c r="P16240" s="42"/>
      <c r="AB16240" s="38"/>
    </row>
    <row r="16241">
      <c r="P16241" s="42"/>
      <c r="AB16241" s="38"/>
    </row>
    <row r="16242">
      <c r="P16242" s="42"/>
      <c r="AB16242" s="38"/>
    </row>
    <row r="16243">
      <c r="P16243" s="42"/>
      <c r="AB16243" s="38"/>
    </row>
    <row r="16244">
      <c r="P16244" s="42"/>
      <c r="AB16244" s="38"/>
    </row>
    <row r="16245">
      <c r="P16245" s="42"/>
      <c r="AB16245" s="38"/>
    </row>
    <row r="16246">
      <c r="P16246" s="42"/>
      <c r="AB16246" s="38"/>
    </row>
    <row r="16247">
      <c r="P16247" s="42"/>
      <c r="AB16247" s="38"/>
    </row>
    <row r="16248">
      <c r="P16248" s="42"/>
      <c r="AB16248" s="38"/>
    </row>
    <row r="16249">
      <c r="P16249" s="42"/>
      <c r="AB16249" s="38"/>
    </row>
    <row r="16250">
      <c r="P16250" s="42"/>
      <c r="AB16250" s="38"/>
    </row>
    <row r="16251">
      <c r="P16251" s="42"/>
      <c r="AB16251" s="38"/>
    </row>
    <row r="16252">
      <c r="P16252" s="42"/>
      <c r="AB16252" s="38"/>
    </row>
    <row r="16253">
      <c r="P16253" s="42"/>
      <c r="AB16253" s="38"/>
    </row>
    <row r="16254">
      <c r="P16254" s="42"/>
      <c r="AB16254" s="38"/>
    </row>
    <row r="16255">
      <c r="P16255" s="42"/>
      <c r="AB16255" s="38"/>
    </row>
    <row r="16256">
      <c r="P16256" s="42"/>
      <c r="AB16256" s="38"/>
    </row>
    <row r="16257">
      <c r="P16257" s="42"/>
      <c r="AB16257" s="38"/>
    </row>
    <row r="16258">
      <c r="P16258" s="42"/>
      <c r="AB16258" s="38"/>
    </row>
    <row r="16259">
      <c r="P16259" s="42"/>
      <c r="AB16259" s="38"/>
    </row>
    <row r="16260">
      <c r="P16260" s="42"/>
      <c r="AB16260" s="38"/>
    </row>
    <row r="16261">
      <c r="P16261" s="42"/>
      <c r="AB16261" s="38"/>
    </row>
    <row r="16262">
      <c r="P16262" s="42"/>
      <c r="AB16262" s="38"/>
    </row>
    <row r="16263">
      <c r="P16263" s="42"/>
      <c r="AB16263" s="38"/>
    </row>
    <row r="16264">
      <c r="P16264" s="42"/>
      <c r="AB16264" s="38"/>
    </row>
    <row r="16265">
      <c r="P16265" s="42"/>
      <c r="AB16265" s="38"/>
    </row>
    <row r="16266">
      <c r="P16266" s="42"/>
      <c r="AB16266" s="38"/>
    </row>
    <row r="16267">
      <c r="P16267" s="42"/>
      <c r="AB16267" s="38"/>
    </row>
    <row r="16268">
      <c r="P16268" s="42"/>
      <c r="AB16268" s="38"/>
    </row>
    <row r="16269">
      <c r="P16269" s="42"/>
      <c r="AB16269" s="38"/>
    </row>
    <row r="16270">
      <c r="P16270" s="42"/>
      <c r="AB16270" s="38"/>
    </row>
    <row r="16271">
      <c r="P16271" s="42"/>
      <c r="AB16271" s="38"/>
    </row>
    <row r="16272">
      <c r="P16272" s="42"/>
      <c r="AB16272" s="38"/>
    </row>
    <row r="16273">
      <c r="P16273" s="42"/>
      <c r="AB16273" s="38"/>
    </row>
    <row r="16274">
      <c r="P16274" s="42"/>
      <c r="AB16274" s="38"/>
    </row>
    <row r="16275">
      <c r="P16275" s="42"/>
      <c r="AB16275" s="38"/>
    </row>
    <row r="16276">
      <c r="P16276" s="42"/>
      <c r="AB16276" s="38"/>
    </row>
    <row r="16277">
      <c r="P16277" s="42"/>
      <c r="AB16277" s="38"/>
    </row>
    <row r="16278">
      <c r="P16278" s="42"/>
      <c r="AB16278" s="38"/>
    </row>
    <row r="16279">
      <c r="P16279" s="42"/>
      <c r="AB16279" s="38"/>
    </row>
    <row r="16280">
      <c r="P16280" s="42"/>
      <c r="AB16280" s="38"/>
    </row>
    <row r="16281">
      <c r="P16281" s="42"/>
      <c r="AB16281" s="38"/>
    </row>
    <row r="16282">
      <c r="P16282" s="42"/>
      <c r="AB16282" s="38"/>
    </row>
    <row r="16283">
      <c r="P16283" s="42"/>
      <c r="AB16283" s="38"/>
    </row>
    <row r="16284">
      <c r="P16284" s="42"/>
      <c r="AB16284" s="38"/>
    </row>
    <row r="16285">
      <c r="P16285" s="42"/>
      <c r="AB16285" s="38"/>
    </row>
    <row r="16286">
      <c r="P16286" s="42"/>
      <c r="AB16286" s="38"/>
    </row>
    <row r="16287">
      <c r="P16287" s="42"/>
      <c r="AB16287" s="38"/>
    </row>
    <row r="16288">
      <c r="P16288" s="42"/>
      <c r="AB16288" s="38"/>
    </row>
    <row r="16289">
      <c r="P16289" s="42"/>
      <c r="AB16289" s="38"/>
    </row>
    <row r="16290">
      <c r="P16290" s="42"/>
      <c r="AB16290" s="38"/>
    </row>
    <row r="16291">
      <c r="P16291" s="42"/>
      <c r="AB16291" s="38"/>
    </row>
    <row r="16292">
      <c r="P16292" s="42"/>
      <c r="AB16292" s="38"/>
    </row>
    <row r="16293">
      <c r="P16293" s="42"/>
      <c r="AB16293" s="38"/>
    </row>
    <row r="16294">
      <c r="P16294" s="42"/>
      <c r="AB16294" s="38"/>
    </row>
    <row r="16295">
      <c r="P16295" s="42"/>
      <c r="AB16295" s="38"/>
    </row>
    <row r="16296">
      <c r="P16296" s="42"/>
      <c r="AB16296" s="38"/>
    </row>
    <row r="16297">
      <c r="P16297" s="42"/>
      <c r="AB16297" s="38"/>
    </row>
    <row r="16298">
      <c r="P16298" s="42"/>
      <c r="AB16298" s="38"/>
    </row>
    <row r="16299">
      <c r="P16299" s="42"/>
      <c r="AB16299" s="38"/>
    </row>
    <row r="16300">
      <c r="P16300" s="42"/>
      <c r="AB16300" s="38"/>
    </row>
    <row r="16301">
      <c r="P16301" s="42"/>
      <c r="AB16301" s="38"/>
    </row>
    <row r="16302">
      <c r="P16302" s="42"/>
      <c r="AB16302" s="38"/>
    </row>
    <row r="16303">
      <c r="P16303" s="42"/>
      <c r="AB16303" s="38"/>
    </row>
    <row r="16304">
      <c r="P16304" s="42"/>
      <c r="AB16304" s="38"/>
    </row>
    <row r="16305">
      <c r="P16305" s="42"/>
      <c r="AB16305" s="38"/>
    </row>
    <row r="16306">
      <c r="P16306" s="42"/>
      <c r="AB16306" s="38"/>
    </row>
    <row r="16307">
      <c r="P16307" s="42"/>
      <c r="AB16307" s="38"/>
    </row>
    <row r="16308">
      <c r="P16308" s="42"/>
      <c r="AB16308" s="38"/>
    </row>
    <row r="16309">
      <c r="P16309" s="42"/>
      <c r="AB16309" s="38"/>
    </row>
    <row r="16310">
      <c r="P16310" s="42"/>
      <c r="AB16310" s="38"/>
    </row>
    <row r="16311">
      <c r="P16311" s="42"/>
      <c r="AB16311" s="38"/>
    </row>
    <row r="16312">
      <c r="P16312" s="42"/>
      <c r="AB16312" s="38"/>
    </row>
    <row r="16313">
      <c r="P16313" s="42"/>
      <c r="AB16313" s="38"/>
    </row>
    <row r="16314">
      <c r="P16314" s="42"/>
      <c r="AB16314" s="38"/>
    </row>
    <row r="16315">
      <c r="P16315" s="42"/>
      <c r="AB16315" s="38"/>
    </row>
    <row r="16316">
      <c r="P16316" s="42"/>
      <c r="AB16316" s="38"/>
    </row>
    <row r="16317">
      <c r="P16317" s="42"/>
      <c r="AB16317" s="38"/>
    </row>
    <row r="16318">
      <c r="P16318" s="42"/>
      <c r="AB16318" s="38"/>
    </row>
    <row r="16319">
      <c r="P16319" s="42"/>
      <c r="AB16319" s="38"/>
    </row>
    <row r="16320">
      <c r="P16320" s="42"/>
      <c r="AB16320" s="38"/>
    </row>
    <row r="16321">
      <c r="P16321" s="42"/>
      <c r="AB16321" s="38"/>
    </row>
    <row r="16322">
      <c r="P16322" s="42"/>
      <c r="AB16322" s="38"/>
    </row>
    <row r="16323">
      <c r="P16323" s="42"/>
      <c r="AB16323" s="38"/>
    </row>
    <row r="16324">
      <c r="P16324" s="42"/>
      <c r="AB16324" s="38"/>
    </row>
    <row r="16325">
      <c r="P16325" s="42"/>
      <c r="AB16325" s="38"/>
    </row>
    <row r="16326">
      <c r="P16326" s="42"/>
      <c r="AB16326" s="38"/>
    </row>
    <row r="16327">
      <c r="P16327" s="42"/>
      <c r="AB16327" s="38"/>
    </row>
    <row r="16328">
      <c r="P16328" s="42"/>
      <c r="AB16328" s="38"/>
    </row>
    <row r="16329">
      <c r="P16329" s="42"/>
      <c r="AB16329" s="38"/>
    </row>
    <row r="16330">
      <c r="P16330" s="42"/>
      <c r="AB16330" s="38"/>
    </row>
    <row r="16331">
      <c r="P16331" s="42"/>
      <c r="AB16331" s="38"/>
    </row>
    <row r="16332">
      <c r="P16332" s="42"/>
      <c r="AB16332" s="38"/>
    </row>
    <row r="16333">
      <c r="P16333" s="42"/>
      <c r="AB16333" s="38"/>
    </row>
    <row r="16334">
      <c r="P16334" s="42"/>
      <c r="AB16334" s="38"/>
    </row>
    <row r="16335">
      <c r="P16335" s="42"/>
      <c r="AB16335" s="38"/>
    </row>
    <row r="16336">
      <c r="P16336" s="42"/>
      <c r="AB16336" s="38"/>
    </row>
    <row r="16337">
      <c r="P16337" s="42"/>
      <c r="AB16337" s="38"/>
    </row>
    <row r="16338">
      <c r="P16338" s="42"/>
      <c r="AB16338" s="38"/>
    </row>
    <row r="16339">
      <c r="P16339" s="42"/>
      <c r="AB16339" s="38"/>
    </row>
    <row r="16340">
      <c r="P16340" s="42"/>
      <c r="AB16340" s="38"/>
    </row>
    <row r="16341">
      <c r="P16341" s="42"/>
      <c r="AB16341" s="38"/>
    </row>
    <row r="16342">
      <c r="P16342" s="42"/>
      <c r="AB16342" s="38"/>
    </row>
    <row r="16343">
      <c r="P16343" s="42"/>
      <c r="AB16343" s="38"/>
    </row>
    <row r="16344">
      <c r="P16344" s="42"/>
      <c r="AB16344" s="38"/>
    </row>
    <row r="16345">
      <c r="P16345" s="42"/>
      <c r="AB16345" s="38"/>
    </row>
    <row r="16346">
      <c r="P16346" s="42"/>
      <c r="AB16346" s="38"/>
    </row>
    <row r="16347">
      <c r="P16347" s="42"/>
      <c r="AB16347" s="38"/>
    </row>
    <row r="16348">
      <c r="P16348" s="42"/>
      <c r="AB16348" s="38"/>
    </row>
    <row r="16349">
      <c r="P16349" s="42"/>
      <c r="AB16349" s="38"/>
    </row>
    <row r="16350">
      <c r="P16350" s="42"/>
      <c r="AB16350" s="38"/>
    </row>
    <row r="16351">
      <c r="P16351" s="42"/>
      <c r="AB16351" s="38"/>
    </row>
    <row r="16352">
      <c r="P16352" s="42"/>
      <c r="AB16352" s="38"/>
    </row>
    <row r="16353">
      <c r="P16353" s="42"/>
      <c r="AB16353" s="38"/>
    </row>
    <row r="16354">
      <c r="P16354" s="42"/>
      <c r="AB16354" s="38"/>
    </row>
    <row r="16355">
      <c r="P16355" s="42"/>
      <c r="AB16355" s="38"/>
    </row>
    <row r="16356">
      <c r="P16356" s="42"/>
      <c r="AB16356" s="38"/>
    </row>
    <row r="16357">
      <c r="P16357" s="42"/>
      <c r="AB16357" s="38"/>
    </row>
    <row r="16358">
      <c r="P16358" s="42"/>
      <c r="AB16358" s="38"/>
    </row>
    <row r="16359">
      <c r="P16359" s="42"/>
      <c r="AB16359" s="38"/>
    </row>
    <row r="16360">
      <c r="P16360" s="42"/>
      <c r="AB16360" s="38"/>
    </row>
    <row r="16361">
      <c r="P16361" s="42"/>
      <c r="AB16361" s="38"/>
    </row>
    <row r="16362">
      <c r="P16362" s="42"/>
      <c r="AB16362" s="38"/>
    </row>
    <row r="16363">
      <c r="P16363" s="42"/>
      <c r="AB16363" s="38"/>
    </row>
    <row r="16364">
      <c r="P16364" s="42"/>
      <c r="AB16364" s="38"/>
    </row>
    <row r="16365">
      <c r="P16365" s="42"/>
      <c r="AB16365" s="38"/>
    </row>
    <row r="16366">
      <c r="P16366" s="42"/>
      <c r="AB16366" s="38"/>
    </row>
    <row r="16367">
      <c r="P16367" s="42"/>
      <c r="AB16367" s="38"/>
    </row>
    <row r="16368">
      <c r="P16368" s="42"/>
      <c r="AB16368" s="38"/>
    </row>
    <row r="16369">
      <c r="P16369" s="42"/>
      <c r="AB16369" s="38"/>
    </row>
    <row r="16370">
      <c r="P16370" s="42"/>
      <c r="AB16370" s="38"/>
    </row>
    <row r="16371">
      <c r="P16371" s="42"/>
      <c r="AB16371" s="38"/>
    </row>
    <row r="16372">
      <c r="P16372" s="42"/>
      <c r="AB16372" s="38"/>
    </row>
    <row r="16373">
      <c r="P16373" s="42"/>
      <c r="AB16373" s="38"/>
    </row>
    <row r="16374">
      <c r="P16374" s="42"/>
      <c r="AB16374" s="38"/>
    </row>
    <row r="16375">
      <c r="P16375" s="42"/>
      <c r="AB16375" s="38"/>
    </row>
    <row r="16376">
      <c r="P16376" s="42"/>
      <c r="AB16376" s="38"/>
    </row>
    <row r="16377">
      <c r="P16377" s="42"/>
      <c r="AB16377" s="38"/>
    </row>
    <row r="16378">
      <c r="P16378" s="42"/>
      <c r="AB16378" s="38"/>
    </row>
    <row r="16379">
      <c r="P16379" s="42"/>
      <c r="AB16379" s="38"/>
    </row>
    <row r="16380">
      <c r="P16380" s="42"/>
      <c r="AB16380" s="38"/>
    </row>
    <row r="16381">
      <c r="P16381" s="42"/>
      <c r="AB16381" s="38"/>
    </row>
    <row r="16382">
      <c r="P16382" s="42"/>
      <c r="AB16382" s="38"/>
    </row>
    <row r="16383">
      <c r="P16383" s="42"/>
      <c r="AB16383" s="38"/>
    </row>
    <row r="16384">
      <c r="P16384" s="42"/>
      <c r="AB16384" s="38"/>
    </row>
    <row r="16385">
      <c r="P16385" s="42"/>
      <c r="AB16385" s="38"/>
    </row>
    <row r="16386">
      <c r="P16386" s="42"/>
      <c r="AB16386" s="38"/>
    </row>
    <row r="16387">
      <c r="P16387" s="42"/>
      <c r="AB16387" s="38"/>
    </row>
    <row r="16388">
      <c r="P16388" s="42"/>
      <c r="AB16388" s="38"/>
    </row>
    <row r="16389">
      <c r="P16389" s="42"/>
      <c r="AB16389" s="38"/>
    </row>
    <row r="16390">
      <c r="P16390" s="42"/>
      <c r="AB16390" s="38"/>
    </row>
    <row r="16391">
      <c r="P16391" s="42"/>
      <c r="AB16391" s="38"/>
    </row>
    <row r="16392">
      <c r="P16392" s="42"/>
      <c r="AB16392" s="38"/>
    </row>
    <row r="16393">
      <c r="P16393" s="42"/>
      <c r="AB16393" s="38"/>
    </row>
    <row r="16394">
      <c r="P16394" s="42"/>
      <c r="AB16394" s="38"/>
    </row>
    <row r="16395">
      <c r="P16395" s="42"/>
      <c r="AB16395" s="38"/>
    </row>
    <row r="16396">
      <c r="P16396" s="42"/>
      <c r="AB16396" s="38"/>
    </row>
    <row r="16397">
      <c r="P16397" s="42"/>
      <c r="AB16397" s="38"/>
    </row>
    <row r="16398">
      <c r="P16398" s="42"/>
      <c r="AB16398" s="38"/>
    </row>
    <row r="16399">
      <c r="P16399" s="42"/>
      <c r="AB16399" s="38"/>
    </row>
    <row r="16400">
      <c r="P16400" s="42"/>
      <c r="AB16400" s="38"/>
    </row>
    <row r="16401">
      <c r="P16401" s="42"/>
      <c r="AB16401" s="38"/>
    </row>
    <row r="16402">
      <c r="P16402" s="42"/>
      <c r="AB16402" s="38"/>
    </row>
    <row r="16403">
      <c r="P16403" s="42"/>
      <c r="AB16403" s="38"/>
    </row>
    <row r="16404">
      <c r="P16404" s="42"/>
      <c r="AB16404" s="38"/>
    </row>
    <row r="16405">
      <c r="P16405" s="42"/>
      <c r="AB16405" s="38"/>
    </row>
    <row r="16406">
      <c r="P16406" s="42"/>
      <c r="AB16406" s="38"/>
    </row>
    <row r="16407">
      <c r="P16407" s="42"/>
      <c r="AB16407" s="38"/>
    </row>
    <row r="16408">
      <c r="P16408" s="42"/>
      <c r="AB16408" s="38"/>
    </row>
    <row r="16409">
      <c r="P16409" s="42"/>
      <c r="AB16409" s="38"/>
    </row>
    <row r="16410">
      <c r="P16410" s="42"/>
      <c r="AB16410" s="38"/>
    </row>
    <row r="16411">
      <c r="P16411" s="42"/>
      <c r="AB16411" s="38"/>
    </row>
    <row r="16412">
      <c r="P16412" s="42"/>
      <c r="AB16412" s="38"/>
    </row>
    <row r="16413">
      <c r="P16413" s="42"/>
      <c r="AB16413" s="38"/>
    </row>
    <row r="16414">
      <c r="P16414" s="42"/>
      <c r="AB16414" s="38"/>
    </row>
    <row r="16415">
      <c r="P16415" s="42"/>
      <c r="AB16415" s="38"/>
    </row>
    <row r="16416">
      <c r="P16416" s="42"/>
      <c r="AB16416" s="38"/>
    </row>
    <row r="16417">
      <c r="P16417" s="42"/>
      <c r="AB16417" s="38"/>
    </row>
    <row r="16418">
      <c r="P16418" s="42"/>
      <c r="AB16418" s="38"/>
    </row>
    <row r="16419">
      <c r="P16419" s="42"/>
      <c r="AB16419" s="38"/>
    </row>
    <row r="16420">
      <c r="P16420" s="42"/>
      <c r="AB16420" s="38"/>
    </row>
    <row r="16421">
      <c r="P16421" s="42"/>
      <c r="AB16421" s="38"/>
    </row>
    <row r="16422">
      <c r="P16422" s="42"/>
      <c r="AB16422" s="38"/>
    </row>
    <row r="16423">
      <c r="P16423" s="42"/>
      <c r="AB16423" s="38"/>
    </row>
    <row r="16424">
      <c r="P16424" s="42"/>
      <c r="AB16424" s="38"/>
    </row>
    <row r="16425">
      <c r="P16425" s="42"/>
      <c r="AB16425" s="38"/>
    </row>
    <row r="16426">
      <c r="P16426" s="42"/>
      <c r="AB16426" s="38"/>
    </row>
    <row r="16427">
      <c r="P16427" s="42"/>
      <c r="AB16427" s="38"/>
    </row>
    <row r="16428">
      <c r="P16428" s="42"/>
      <c r="AB16428" s="38"/>
    </row>
    <row r="16429">
      <c r="P16429" s="42"/>
      <c r="AB16429" s="38"/>
    </row>
    <row r="16430">
      <c r="P16430" s="42"/>
      <c r="AB16430" s="38"/>
    </row>
    <row r="16431">
      <c r="P16431" s="42"/>
      <c r="AB16431" s="38"/>
    </row>
    <row r="16432">
      <c r="P16432" s="42"/>
      <c r="AB16432" s="38"/>
    </row>
    <row r="16433">
      <c r="P16433" s="42"/>
      <c r="AB16433" s="38"/>
    </row>
    <row r="16434">
      <c r="P16434" s="42"/>
      <c r="AB16434" s="38"/>
    </row>
    <row r="16435">
      <c r="P16435" s="42"/>
      <c r="AB16435" s="38"/>
    </row>
    <row r="16436">
      <c r="P16436" s="42"/>
      <c r="AB16436" s="38"/>
    </row>
    <row r="16437">
      <c r="P16437" s="42"/>
      <c r="AB16437" s="38"/>
    </row>
    <row r="16438">
      <c r="P16438" s="42"/>
      <c r="AB16438" s="38"/>
    </row>
    <row r="16439">
      <c r="P16439" s="42"/>
      <c r="AB16439" s="38"/>
    </row>
    <row r="16440">
      <c r="P16440" s="42"/>
      <c r="AB16440" s="38"/>
    </row>
    <row r="16441">
      <c r="P16441" s="42"/>
      <c r="AB16441" s="38"/>
    </row>
    <row r="16442">
      <c r="P16442" s="42"/>
      <c r="AB16442" s="38"/>
    </row>
    <row r="16443">
      <c r="P16443" s="42"/>
      <c r="AB16443" s="38"/>
    </row>
    <row r="16444">
      <c r="P16444" s="42"/>
      <c r="AB16444" s="38"/>
    </row>
    <row r="16445">
      <c r="P16445" s="42"/>
      <c r="AB16445" s="38"/>
    </row>
    <row r="16446">
      <c r="P16446" s="42"/>
      <c r="AB16446" s="38"/>
    </row>
    <row r="16447">
      <c r="P16447" s="42"/>
      <c r="AB16447" s="38"/>
    </row>
    <row r="16448">
      <c r="P16448" s="42"/>
      <c r="AB16448" s="38"/>
    </row>
    <row r="16449">
      <c r="P16449" s="42"/>
      <c r="AB16449" s="38"/>
    </row>
    <row r="16450">
      <c r="P16450" s="42"/>
      <c r="AB16450" s="38"/>
    </row>
    <row r="16451">
      <c r="P16451" s="42"/>
      <c r="AB16451" s="38"/>
    </row>
    <row r="16452">
      <c r="P16452" s="42"/>
      <c r="AB16452" s="38"/>
    </row>
    <row r="16453">
      <c r="P16453" s="42"/>
      <c r="AB16453" s="38"/>
    </row>
    <row r="16454">
      <c r="P16454" s="42"/>
      <c r="AB16454" s="38"/>
    </row>
    <row r="16455">
      <c r="P16455" s="42"/>
      <c r="AB16455" s="38"/>
    </row>
    <row r="16456">
      <c r="P16456" s="42"/>
      <c r="AB16456" s="38"/>
    </row>
    <row r="16457">
      <c r="P16457" s="42"/>
      <c r="AB16457" s="38"/>
    </row>
    <row r="16458">
      <c r="P16458" s="42"/>
      <c r="AB16458" s="38"/>
    </row>
    <row r="16459">
      <c r="P16459" s="42"/>
      <c r="AB16459" s="38"/>
    </row>
    <row r="16460">
      <c r="P16460" s="42"/>
      <c r="AB16460" s="38"/>
    </row>
    <row r="16461">
      <c r="P16461" s="42"/>
      <c r="AB16461" s="38"/>
    </row>
    <row r="16462">
      <c r="P16462" s="42"/>
      <c r="AB16462" s="38"/>
    </row>
    <row r="16463">
      <c r="P16463" s="42"/>
      <c r="AB16463" s="38"/>
    </row>
    <row r="16464">
      <c r="P16464" s="42"/>
      <c r="AB16464" s="38"/>
    </row>
    <row r="16465">
      <c r="P16465" s="42"/>
      <c r="AB16465" s="38"/>
    </row>
    <row r="16466">
      <c r="P16466" s="42"/>
      <c r="AB16466" s="38"/>
    </row>
    <row r="16467">
      <c r="P16467" s="42"/>
      <c r="AB16467" s="38"/>
    </row>
    <row r="16468">
      <c r="P16468" s="42"/>
      <c r="AB16468" s="38"/>
    </row>
    <row r="16469">
      <c r="P16469" s="42"/>
      <c r="AB16469" s="38"/>
    </row>
    <row r="16470">
      <c r="P16470" s="42"/>
      <c r="AB16470" s="38"/>
    </row>
    <row r="16471">
      <c r="P16471" s="42"/>
      <c r="AB16471" s="38"/>
    </row>
    <row r="16472">
      <c r="P16472" s="42"/>
      <c r="AB16472" s="38"/>
    </row>
    <row r="16473">
      <c r="P16473" s="42"/>
      <c r="AB16473" s="38"/>
    </row>
    <row r="16474">
      <c r="P16474" s="42"/>
      <c r="AB16474" s="38"/>
    </row>
    <row r="16475">
      <c r="P16475" s="42"/>
      <c r="AB16475" s="38"/>
    </row>
    <row r="16476">
      <c r="P16476" s="42"/>
      <c r="AB16476" s="38"/>
    </row>
    <row r="16477">
      <c r="P16477" s="42"/>
      <c r="AB16477" s="38"/>
    </row>
    <row r="16478">
      <c r="P16478" s="42"/>
      <c r="AB16478" s="38"/>
    </row>
    <row r="16479">
      <c r="P16479" s="42"/>
      <c r="AB16479" s="38"/>
    </row>
    <row r="16480">
      <c r="P16480" s="42"/>
      <c r="AB16480" s="38"/>
    </row>
    <row r="16481">
      <c r="P16481" s="42"/>
      <c r="AB16481" s="38"/>
    </row>
    <row r="16482">
      <c r="P16482" s="42"/>
      <c r="AB16482" s="38"/>
    </row>
    <row r="16483">
      <c r="P16483" s="42"/>
      <c r="AB16483" s="38"/>
    </row>
    <row r="16484">
      <c r="P16484" s="42"/>
      <c r="AB16484" s="38"/>
    </row>
    <row r="16485">
      <c r="P16485" s="42"/>
      <c r="AB16485" s="38"/>
    </row>
    <row r="16486">
      <c r="P16486" s="42"/>
      <c r="AB16486" s="38"/>
    </row>
    <row r="16487">
      <c r="P16487" s="42"/>
      <c r="AB16487" s="38"/>
    </row>
    <row r="16488">
      <c r="P16488" s="42"/>
      <c r="AB16488" s="38"/>
    </row>
    <row r="16489">
      <c r="P16489" s="42"/>
      <c r="AB16489" s="38"/>
    </row>
    <row r="16490">
      <c r="P16490" s="42"/>
      <c r="AB16490" s="38"/>
    </row>
    <row r="16491">
      <c r="P16491" s="42"/>
      <c r="AB16491" s="38"/>
    </row>
    <row r="16492">
      <c r="P16492" s="42"/>
      <c r="AB16492" s="38"/>
    </row>
    <row r="16493">
      <c r="P16493" s="42"/>
      <c r="AB16493" s="38"/>
    </row>
    <row r="16494">
      <c r="P16494" s="42"/>
      <c r="AB16494" s="38"/>
    </row>
    <row r="16495">
      <c r="P16495" s="42"/>
      <c r="AB16495" s="38"/>
    </row>
    <row r="16496">
      <c r="P16496" s="42"/>
      <c r="AB16496" s="38"/>
    </row>
    <row r="16497">
      <c r="P16497" s="42"/>
      <c r="AB16497" s="38"/>
    </row>
    <row r="16498">
      <c r="P16498" s="42"/>
      <c r="AB16498" s="38"/>
    </row>
    <row r="16499">
      <c r="P16499" s="42"/>
      <c r="AB16499" s="38"/>
    </row>
    <row r="16500">
      <c r="P16500" s="42"/>
      <c r="AB16500" s="38"/>
    </row>
    <row r="16501">
      <c r="P16501" s="42"/>
      <c r="AB16501" s="38"/>
    </row>
    <row r="16502">
      <c r="P16502" s="42"/>
      <c r="AB16502" s="38"/>
    </row>
    <row r="16503">
      <c r="P16503" s="42"/>
      <c r="AB16503" s="38"/>
    </row>
    <row r="16504">
      <c r="P16504" s="42"/>
      <c r="AB16504" s="38"/>
    </row>
    <row r="16505">
      <c r="P16505" s="42"/>
      <c r="AB16505" s="38"/>
    </row>
    <row r="16506">
      <c r="P16506" s="42"/>
      <c r="AB16506" s="38"/>
    </row>
    <row r="16507">
      <c r="P16507" s="42"/>
      <c r="AB16507" s="38"/>
    </row>
    <row r="16508">
      <c r="P16508" s="42"/>
      <c r="AB16508" s="38"/>
    </row>
    <row r="16509">
      <c r="P16509" s="42"/>
      <c r="AB16509" s="38"/>
    </row>
    <row r="16510">
      <c r="P16510" s="42"/>
      <c r="AB16510" s="38"/>
    </row>
    <row r="16511">
      <c r="P16511" s="42"/>
      <c r="AB16511" s="38"/>
    </row>
    <row r="16512">
      <c r="P16512" s="42"/>
      <c r="AB16512" s="38"/>
    </row>
    <row r="16513">
      <c r="P16513" s="42"/>
      <c r="AB16513" s="38"/>
    </row>
    <row r="16514">
      <c r="P16514" s="42"/>
      <c r="AB16514" s="38"/>
    </row>
    <row r="16515">
      <c r="P16515" s="42"/>
      <c r="AB16515" s="38"/>
    </row>
    <row r="16516">
      <c r="P16516" s="42"/>
      <c r="AB16516" s="38"/>
    </row>
    <row r="16517">
      <c r="P16517" s="42"/>
      <c r="AB16517" s="38"/>
    </row>
    <row r="16518">
      <c r="P16518" s="42"/>
      <c r="AB16518" s="38"/>
    </row>
    <row r="16519">
      <c r="P16519" s="42"/>
      <c r="AB16519" s="38"/>
    </row>
    <row r="16520">
      <c r="P16520" s="42"/>
      <c r="AB16520" s="38"/>
    </row>
    <row r="16521">
      <c r="P16521" s="42"/>
      <c r="AB16521" s="38"/>
    </row>
    <row r="16522">
      <c r="P16522" s="42"/>
      <c r="AB16522" s="38"/>
    </row>
    <row r="16523">
      <c r="P16523" s="42"/>
      <c r="AB16523" s="38"/>
    </row>
    <row r="16524">
      <c r="P16524" s="42"/>
      <c r="AB16524" s="38"/>
    </row>
    <row r="16525">
      <c r="P16525" s="42"/>
      <c r="AB16525" s="38"/>
    </row>
    <row r="16526">
      <c r="P16526" s="42"/>
      <c r="AB16526" s="38"/>
    </row>
    <row r="16527">
      <c r="P16527" s="42"/>
      <c r="AB16527" s="38"/>
    </row>
    <row r="16528">
      <c r="P16528" s="42"/>
      <c r="AB16528" s="38"/>
    </row>
    <row r="16529">
      <c r="P16529" s="42"/>
      <c r="AB16529" s="38"/>
    </row>
    <row r="16530">
      <c r="P16530" s="42"/>
      <c r="AB16530" s="38"/>
    </row>
    <row r="16531">
      <c r="P16531" s="42"/>
      <c r="AB16531" s="38"/>
    </row>
    <row r="16532">
      <c r="P16532" s="42"/>
      <c r="AB16532" s="38"/>
    </row>
    <row r="16533">
      <c r="P16533" s="42"/>
      <c r="AB16533" s="38"/>
    </row>
    <row r="16534">
      <c r="P16534" s="42"/>
      <c r="AB16534" s="38"/>
    </row>
    <row r="16535">
      <c r="P16535" s="42"/>
      <c r="AB16535" s="38"/>
    </row>
    <row r="16536">
      <c r="P16536" s="42"/>
      <c r="AB16536" s="38"/>
    </row>
    <row r="16537">
      <c r="P16537" s="42"/>
      <c r="AB16537" s="38"/>
    </row>
    <row r="16538">
      <c r="P16538" s="42"/>
      <c r="AB16538" s="38"/>
    </row>
    <row r="16539">
      <c r="P16539" s="42"/>
      <c r="AB16539" s="38"/>
    </row>
    <row r="16540">
      <c r="P16540" s="42"/>
      <c r="AB16540" s="38"/>
    </row>
    <row r="16541">
      <c r="P16541" s="42"/>
      <c r="AB16541" s="38"/>
    </row>
    <row r="16542">
      <c r="P16542" s="42"/>
      <c r="AB16542" s="38"/>
    </row>
    <row r="16543">
      <c r="P16543" s="42"/>
      <c r="AB16543" s="38"/>
    </row>
    <row r="16544">
      <c r="P16544" s="42"/>
      <c r="AB16544" s="38"/>
    </row>
    <row r="16545">
      <c r="P16545" s="42"/>
      <c r="AB16545" s="38"/>
    </row>
    <row r="16546">
      <c r="P16546" s="42"/>
      <c r="AB16546" s="38"/>
    </row>
    <row r="16547">
      <c r="P16547" s="42"/>
      <c r="AB16547" s="38"/>
    </row>
    <row r="16548">
      <c r="P16548" s="42"/>
      <c r="AB16548" s="38"/>
    </row>
    <row r="16549">
      <c r="P16549" s="42"/>
      <c r="AB16549" s="38"/>
    </row>
    <row r="16550">
      <c r="P16550" s="42"/>
      <c r="AB16550" s="38"/>
    </row>
    <row r="16551">
      <c r="P16551" s="42"/>
      <c r="AB16551" s="38"/>
    </row>
    <row r="16552">
      <c r="P16552" s="42"/>
      <c r="AB16552" s="38"/>
    </row>
    <row r="16553">
      <c r="P16553" s="42"/>
      <c r="AB16553" s="38"/>
    </row>
    <row r="16554">
      <c r="P16554" s="42"/>
      <c r="AB16554" s="38"/>
    </row>
    <row r="16555">
      <c r="P16555" s="42"/>
      <c r="AB16555" s="38"/>
    </row>
    <row r="16556">
      <c r="P16556" s="42"/>
      <c r="AB16556" s="38"/>
    </row>
    <row r="16557">
      <c r="P16557" s="42"/>
      <c r="AB16557" s="38"/>
    </row>
    <row r="16558">
      <c r="P16558" s="42"/>
      <c r="AB16558" s="38"/>
    </row>
    <row r="16559">
      <c r="P16559" s="42"/>
      <c r="AB16559" s="38"/>
    </row>
    <row r="16560">
      <c r="P16560" s="42"/>
      <c r="AB16560" s="38"/>
    </row>
    <row r="16561">
      <c r="P16561" s="42"/>
      <c r="AB16561" s="38"/>
    </row>
    <row r="16562">
      <c r="P16562" s="42"/>
      <c r="AB16562" s="38"/>
    </row>
    <row r="16563">
      <c r="P16563" s="42"/>
      <c r="AB16563" s="38"/>
    </row>
    <row r="16564">
      <c r="P16564" s="42"/>
      <c r="AB16564" s="38"/>
    </row>
    <row r="16565">
      <c r="P16565" s="42"/>
      <c r="AB16565" s="38"/>
    </row>
    <row r="16566">
      <c r="P16566" s="42"/>
      <c r="AB16566" s="38"/>
    </row>
    <row r="16567">
      <c r="P16567" s="42"/>
      <c r="AB16567" s="38"/>
    </row>
    <row r="16568">
      <c r="P16568" s="42"/>
      <c r="AB16568" s="38"/>
    </row>
    <row r="16569">
      <c r="P16569" s="42"/>
      <c r="AB16569" s="38"/>
    </row>
    <row r="16570">
      <c r="P16570" s="42"/>
      <c r="AB16570" s="38"/>
    </row>
    <row r="16571">
      <c r="P16571" s="42"/>
      <c r="AB16571" s="38"/>
    </row>
    <row r="16572">
      <c r="P16572" s="42"/>
      <c r="AB16572" s="38"/>
    </row>
    <row r="16573">
      <c r="P16573" s="42"/>
      <c r="AB16573" s="38"/>
    </row>
    <row r="16574">
      <c r="P16574" s="42"/>
      <c r="AB16574" s="38"/>
    </row>
    <row r="16575">
      <c r="P16575" s="42"/>
      <c r="AB16575" s="38"/>
    </row>
    <row r="16576">
      <c r="P16576" s="42"/>
      <c r="AB16576" s="38"/>
    </row>
    <row r="16577">
      <c r="P16577" s="42"/>
      <c r="AB16577" s="38"/>
    </row>
    <row r="16578">
      <c r="P16578" s="42"/>
      <c r="AB16578" s="38"/>
    </row>
    <row r="16579">
      <c r="P16579" s="42"/>
      <c r="AB16579" s="38"/>
    </row>
    <row r="16580">
      <c r="P16580" s="42"/>
      <c r="AB16580" s="38"/>
    </row>
    <row r="16581">
      <c r="P16581" s="42"/>
      <c r="AB16581" s="38"/>
    </row>
    <row r="16582">
      <c r="P16582" s="42"/>
      <c r="AB16582" s="38"/>
    </row>
    <row r="16583">
      <c r="P16583" s="42"/>
      <c r="AB16583" s="38"/>
    </row>
    <row r="16584">
      <c r="P16584" s="42"/>
      <c r="AB16584" s="38"/>
    </row>
    <row r="16585">
      <c r="P16585" s="42"/>
      <c r="AB16585" s="38"/>
    </row>
    <row r="16586">
      <c r="P16586" s="42"/>
      <c r="AB16586" s="38"/>
    </row>
    <row r="16587">
      <c r="P16587" s="42"/>
      <c r="AB16587" s="38"/>
    </row>
    <row r="16588">
      <c r="P16588" s="42"/>
      <c r="AB16588" s="38"/>
    </row>
    <row r="16589">
      <c r="P16589" s="42"/>
      <c r="AB16589" s="38"/>
    </row>
    <row r="16590">
      <c r="P16590" s="42"/>
      <c r="AB16590" s="38"/>
    </row>
    <row r="16591">
      <c r="P16591" s="42"/>
      <c r="AB16591" s="38"/>
    </row>
    <row r="16592">
      <c r="P16592" s="42"/>
      <c r="AB16592" s="38"/>
    </row>
    <row r="16593">
      <c r="P16593" s="42"/>
      <c r="AB16593" s="38"/>
    </row>
    <row r="16594">
      <c r="P16594" s="42"/>
      <c r="AB16594" s="38"/>
    </row>
    <row r="16595">
      <c r="P16595" s="42"/>
      <c r="AB16595" s="38"/>
    </row>
    <row r="16596">
      <c r="P16596" s="42"/>
      <c r="AB16596" s="38"/>
    </row>
    <row r="16597">
      <c r="P16597" s="42"/>
      <c r="AB16597" s="38"/>
    </row>
    <row r="16598">
      <c r="P16598" s="42"/>
      <c r="AB16598" s="38"/>
    </row>
    <row r="16599">
      <c r="P16599" s="42"/>
      <c r="AB16599" s="38"/>
    </row>
    <row r="16600">
      <c r="P16600" s="42"/>
      <c r="AB16600" s="38"/>
    </row>
    <row r="16601">
      <c r="P16601" s="42"/>
      <c r="AB16601" s="38"/>
    </row>
    <row r="16602">
      <c r="P16602" s="42"/>
      <c r="AB16602" s="38"/>
    </row>
    <row r="16603">
      <c r="P16603" s="42"/>
      <c r="AB16603" s="38"/>
    </row>
    <row r="16604">
      <c r="P16604" s="42"/>
      <c r="AB16604" s="38"/>
    </row>
    <row r="16605">
      <c r="P16605" s="42"/>
      <c r="AB16605" s="38"/>
    </row>
    <row r="16606">
      <c r="P16606" s="42"/>
      <c r="AB16606" s="38"/>
    </row>
    <row r="16607">
      <c r="P16607" s="42"/>
      <c r="AB16607" s="38"/>
    </row>
    <row r="16608">
      <c r="P16608" s="42"/>
      <c r="AB16608" s="38"/>
    </row>
    <row r="16609">
      <c r="P16609" s="42"/>
      <c r="AB16609" s="38"/>
    </row>
    <row r="16610">
      <c r="P16610" s="42"/>
      <c r="AB16610" s="38"/>
    </row>
    <row r="16611">
      <c r="P16611" s="42"/>
      <c r="AB16611" s="38"/>
    </row>
    <row r="16612">
      <c r="P16612" s="42"/>
      <c r="AB16612" s="38"/>
    </row>
    <row r="16613">
      <c r="P16613" s="42"/>
      <c r="AB16613" s="38"/>
    </row>
    <row r="16614">
      <c r="P16614" s="42"/>
      <c r="AB16614" s="38"/>
    </row>
    <row r="16615">
      <c r="P16615" s="42"/>
      <c r="AB16615" s="38"/>
    </row>
    <row r="16616">
      <c r="P16616" s="42"/>
      <c r="AB16616" s="38"/>
    </row>
    <row r="16617">
      <c r="P16617" s="42"/>
      <c r="AB16617" s="38"/>
    </row>
    <row r="16618">
      <c r="P16618" s="42"/>
      <c r="AB16618" s="38"/>
    </row>
    <row r="16619">
      <c r="P16619" s="42"/>
      <c r="AB16619" s="38"/>
    </row>
    <row r="16620">
      <c r="P16620" s="42"/>
      <c r="AB16620" s="38"/>
    </row>
    <row r="16621">
      <c r="P16621" s="42"/>
      <c r="AB16621" s="38"/>
    </row>
    <row r="16622">
      <c r="P16622" s="42"/>
      <c r="AB16622" s="38"/>
    </row>
    <row r="16623">
      <c r="P16623" s="42"/>
      <c r="AB16623" s="38"/>
    </row>
    <row r="16624">
      <c r="P16624" s="42"/>
      <c r="AB16624" s="38"/>
    </row>
    <row r="16625">
      <c r="P16625" s="42"/>
      <c r="AB16625" s="38"/>
    </row>
    <row r="16626">
      <c r="P16626" s="42"/>
      <c r="AB16626" s="38"/>
    </row>
    <row r="16627">
      <c r="P16627" s="42"/>
      <c r="AB16627" s="38"/>
    </row>
    <row r="16628">
      <c r="P16628" s="42"/>
      <c r="AB16628" s="38"/>
    </row>
    <row r="16629">
      <c r="P16629" s="42"/>
      <c r="AB16629" s="38"/>
    </row>
    <row r="16630">
      <c r="P16630" s="42"/>
      <c r="AB16630" s="38"/>
    </row>
    <row r="16631">
      <c r="P16631" s="42"/>
      <c r="AB16631" s="38"/>
    </row>
    <row r="16632">
      <c r="P16632" s="42"/>
      <c r="AB16632" s="38"/>
    </row>
    <row r="16633">
      <c r="P16633" s="42"/>
      <c r="AB16633" s="38"/>
    </row>
    <row r="16634">
      <c r="P16634" s="42"/>
      <c r="AB16634" s="38"/>
    </row>
    <row r="16635">
      <c r="P16635" s="42"/>
      <c r="AB16635" s="38"/>
    </row>
    <row r="16636">
      <c r="P16636" s="42"/>
      <c r="AB16636" s="38"/>
    </row>
    <row r="16637">
      <c r="P16637" s="42"/>
      <c r="AB16637" s="38"/>
    </row>
    <row r="16638">
      <c r="P16638" s="42"/>
      <c r="AB16638" s="38"/>
    </row>
    <row r="16639">
      <c r="P16639" s="42"/>
      <c r="AB16639" s="38"/>
    </row>
    <row r="16640">
      <c r="P16640" s="42"/>
      <c r="AB16640" s="38"/>
    </row>
    <row r="16641">
      <c r="P16641" s="42"/>
      <c r="AB16641" s="38"/>
    </row>
    <row r="16642">
      <c r="P16642" s="42"/>
      <c r="AB16642" s="38"/>
    </row>
    <row r="16643">
      <c r="P16643" s="42"/>
      <c r="AB16643" s="38"/>
    </row>
    <row r="16644">
      <c r="P16644" s="42"/>
      <c r="AB16644" s="38"/>
    </row>
    <row r="16645">
      <c r="P16645" s="42"/>
      <c r="AB16645" s="38"/>
    </row>
    <row r="16646">
      <c r="P16646" s="42"/>
      <c r="AB16646" s="38"/>
    </row>
    <row r="16647">
      <c r="P16647" s="42"/>
      <c r="AB16647" s="38"/>
    </row>
    <row r="16648">
      <c r="P16648" s="42"/>
      <c r="AB16648" s="38"/>
    </row>
    <row r="16649">
      <c r="P16649" s="42"/>
      <c r="AB16649" s="38"/>
    </row>
    <row r="16650">
      <c r="P16650" s="42"/>
      <c r="AB16650" s="38"/>
    </row>
    <row r="16651">
      <c r="P16651" s="42"/>
      <c r="AB16651" s="38"/>
    </row>
    <row r="16652">
      <c r="P16652" s="42"/>
      <c r="AB16652" s="38"/>
    </row>
    <row r="16653">
      <c r="P16653" s="42"/>
      <c r="AB16653" s="38"/>
    </row>
    <row r="16654">
      <c r="P16654" s="42"/>
      <c r="AB16654" s="38"/>
    </row>
    <row r="16655">
      <c r="P16655" s="42"/>
      <c r="AB16655" s="38"/>
    </row>
    <row r="16656">
      <c r="P16656" s="42"/>
      <c r="AB16656" s="38"/>
    </row>
    <row r="16657">
      <c r="P16657" s="42"/>
      <c r="AB16657" s="38"/>
    </row>
    <row r="16658">
      <c r="P16658" s="42"/>
      <c r="AB16658" s="38"/>
    </row>
    <row r="16659">
      <c r="P16659" s="42"/>
      <c r="AB16659" s="38"/>
    </row>
    <row r="16660">
      <c r="P16660" s="42"/>
      <c r="AB16660" s="38"/>
    </row>
    <row r="16661">
      <c r="P16661" s="42"/>
      <c r="AB16661" s="38"/>
    </row>
    <row r="16662">
      <c r="P16662" s="42"/>
      <c r="AB16662" s="38"/>
    </row>
    <row r="16663">
      <c r="P16663" s="42"/>
      <c r="AB16663" s="38"/>
    </row>
    <row r="16664">
      <c r="P16664" s="42"/>
      <c r="AB16664" s="38"/>
    </row>
    <row r="16665">
      <c r="P16665" s="42"/>
      <c r="AB16665" s="38"/>
    </row>
    <row r="16666">
      <c r="P16666" s="42"/>
      <c r="AB16666" s="38"/>
    </row>
    <row r="16667">
      <c r="P16667" s="42"/>
      <c r="AB16667" s="38"/>
    </row>
    <row r="16668">
      <c r="P16668" s="42"/>
      <c r="AB16668" s="38"/>
    </row>
    <row r="16669">
      <c r="P16669" s="42"/>
      <c r="AB16669" s="38"/>
    </row>
    <row r="16670">
      <c r="P16670" s="42"/>
      <c r="AB16670" s="38"/>
    </row>
    <row r="16671">
      <c r="P16671" s="42"/>
      <c r="AB16671" s="38"/>
    </row>
    <row r="16672">
      <c r="P16672" s="42"/>
      <c r="AB16672" s="38"/>
    </row>
    <row r="16673">
      <c r="P16673" s="42"/>
      <c r="AB16673" s="38"/>
    </row>
    <row r="16674">
      <c r="P16674" s="42"/>
      <c r="AB16674" s="38"/>
    </row>
    <row r="16675">
      <c r="P16675" s="42"/>
      <c r="AB16675" s="38"/>
    </row>
    <row r="16676">
      <c r="P16676" s="42"/>
      <c r="AB16676" s="38"/>
    </row>
    <row r="16677">
      <c r="P16677" s="42"/>
      <c r="AB16677" s="38"/>
    </row>
    <row r="16678">
      <c r="P16678" s="42"/>
      <c r="AB16678" s="38"/>
    </row>
    <row r="16679">
      <c r="P16679" s="42"/>
      <c r="AB16679" s="38"/>
    </row>
    <row r="16680">
      <c r="P16680" s="42"/>
      <c r="AB16680" s="38"/>
    </row>
    <row r="16681">
      <c r="P16681" s="42"/>
      <c r="AB16681" s="38"/>
    </row>
    <row r="16682">
      <c r="P16682" s="42"/>
      <c r="AB16682" s="38"/>
    </row>
    <row r="16683">
      <c r="P16683" s="42"/>
      <c r="AB16683" s="38"/>
    </row>
    <row r="16684">
      <c r="P16684" s="42"/>
      <c r="AB16684" s="38"/>
    </row>
    <row r="16685">
      <c r="P16685" s="42"/>
      <c r="AB16685" s="38"/>
    </row>
    <row r="16686">
      <c r="P16686" s="42"/>
      <c r="AB16686" s="38"/>
    </row>
    <row r="16687">
      <c r="P16687" s="42"/>
      <c r="AB16687" s="38"/>
    </row>
    <row r="16688">
      <c r="P16688" s="42"/>
      <c r="AB16688" s="38"/>
    </row>
    <row r="16689">
      <c r="P16689" s="42"/>
      <c r="AB16689" s="38"/>
    </row>
    <row r="16690">
      <c r="P16690" s="42"/>
      <c r="AB16690" s="38"/>
    </row>
    <row r="16691">
      <c r="P16691" s="42"/>
      <c r="AB16691" s="38"/>
    </row>
    <row r="16692">
      <c r="P16692" s="42"/>
      <c r="AB16692" s="38"/>
    </row>
    <row r="16693">
      <c r="P16693" s="42"/>
      <c r="AB16693" s="38"/>
    </row>
    <row r="16694">
      <c r="P16694" s="42"/>
      <c r="AB16694" s="38"/>
    </row>
    <row r="16695">
      <c r="P16695" s="42"/>
      <c r="AB16695" s="38"/>
    </row>
    <row r="16696">
      <c r="P16696" s="42"/>
      <c r="AB16696" s="38"/>
    </row>
    <row r="16697">
      <c r="P16697" s="42"/>
      <c r="AB16697" s="38"/>
    </row>
    <row r="16698">
      <c r="P16698" s="42"/>
      <c r="AB16698" s="38"/>
    </row>
    <row r="16699">
      <c r="P16699" s="42"/>
      <c r="AB16699" s="38"/>
    </row>
    <row r="16700">
      <c r="P16700" s="42"/>
      <c r="AB16700" s="38"/>
    </row>
    <row r="16701">
      <c r="P16701" s="42"/>
      <c r="AB16701" s="38"/>
    </row>
    <row r="16702">
      <c r="P16702" s="42"/>
      <c r="AB16702" s="38"/>
    </row>
    <row r="16703">
      <c r="P16703" s="42"/>
      <c r="AB16703" s="38"/>
    </row>
    <row r="16704">
      <c r="P16704" s="42"/>
      <c r="AB16704" s="38"/>
    </row>
    <row r="16705">
      <c r="P16705" s="42"/>
      <c r="AB16705" s="38"/>
    </row>
    <row r="16706">
      <c r="P16706" s="42"/>
      <c r="AB16706" s="38"/>
    </row>
    <row r="16707">
      <c r="P16707" s="42"/>
      <c r="AB16707" s="38"/>
    </row>
    <row r="16708">
      <c r="P16708" s="42"/>
      <c r="AB16708" s="38"/>
    </row>
    <row r="16709">
      <c r="P16709" s="42"/>
      <c r="AB16709" s="38"/>
    </row>
    <row r="16710">
      <c r="P16710" s="42"/>
      <c r="AB16710" s="38"/>
    </row>
    <row r="16711">
      <c r="P16711" s="42"/>
      <c r="AB16711" s="38"/>
    </row>
    <row r="16712">
      <c r="P16712" s="42"/>
      <c r="AB16712" s="38"/>
    </row>
    <row r="16713">
      <c r="P16713" s="42"/>
      <c r="AB16713" s="38"/>
    </row>
    <row r="16714">
      <c r="P16714" s="42"/>
      <c r="AB16714" s="38"/>
    </row>
    <row r="16715">
      <c r="P16715" s="42"/>
      <c r="AB16715" s="38"/>
    </row>
    <row r="16716">
      <c r="P16716" s="42"/>
      <c r="AB16716" s="38"/>
    </row>
    <row r="16717">
      <c r="P16717" s="42"/>
      <c r="AB16717" s="38"/>
    </row>
    <row r="16718">
      <c r="P16718" s="42"/>
      <c r="AB16718" s="38"/>
    </row>
    <row r="16719">
      <c r="P16719" s="42"/>
      <c r="AB16719" s="38"/>
    </row>
    <row r="16720">
      <c r="P16720" s="42"/>
      <c r="AB16720" s="38"/>
    </row>
    <row r="16721">
      <c r="P16721" s="42"/>
      <c r="AB16721" s="38"/>
    </row>
    <row r="16722">
      <c r="P16722" s="42"/>
      <c r="AB16722" s="38"/>
    </row>
    <row r="16723">
      <c r="P16723" s="42"/>
      <c r="AB16723" s="38"/>
    </row>
    <row r="16724">
      <c r="P16724" s="42"/>
      <c r="AB16724" s="38"/>
    </row>
    <row r="16725">
      <c r="P16725" s="42"/>
      <c r="AB16725" s="38"/>
    </row>
    <row r="16726">
      <c r="P16726" s="42"/>
      <c r="AB16726" s="38"/>
    </row>
    <row r="16727">
      <c r="P16727" s="42"/>
      <c r="AB16727" s="38"/>
    </row>
    <row r="16728">
      <c r="P16728" s="42"/>
      <c r="AB16728" s="38"/>
    </row>
    <row r="16729">
      <c r="P16729" s="42"/>
      <c r="AB16729" s="38"/>
    </row>
    <row r="16730">
      <c r="P16730" s="42"/>
      <c r="AB16730" s="38"/>
    </row>
    <row r="16731">
      <c r="P16731" s="42"/>
      <c r="AB16731" s="38"/>
    </row>
    <row r="16732">
      <c r="P16732" s="42"/>
      <c r="AB16732" s="38"/>
    </row>
    <row r="16733">
      <c r="P16733" s="42"/>
      <c r="AB16733" s="38"/>
    </row>
    <row r="16734">
      <c r="P16734" s="42"/>
      <c r="AB16734" s="38"/>
    </row>
    <row r="16735">
      <c r="P16735" s="42"/>
      <c r="AB16735" s="38"/>
    </row>
    <row r="16736">
      <c r="P16736" s="42"/>
      <c r="AB16736" s="38"/>
    </row>
    <row r="16737">
      <c r="P16737" s="42"/>
      <c r="AB16737" s="38"/>
    </row>
    <row r="16738">
      <c r="P16738" s="42"/>
      <c r="AB16738" s="38"/>
    </row>
    <row r="16739">
      <c r="P16739" s="42"/>
      <c r="AB16739" s="38"/>
    </row>
    <row r="16740">
      <c r="P16740" s="42"/>
      <c r="AB16740" s="38"/>
    </row>
    <row r="16741">
      <c r="P16741" s="42"/>
      <c r="AB16741" s="38"/>
    </row>
    <row r="16742">
      <c r="P16742" s="42"/>
      <c r="AB16742" s="38"/>
    </row>
    <row r="16743">
      <c r="P16743" s="42"/>
      <c r="AB16743" s="38"/>
    </row>
    <row r="16744">
      <c r="P16744" s="42"/>
      <c r="AB16744" s="38"/>
    </row>
    <row r="16745">
      <c r="P16745" s="42"/>
      <c r="AB16745" s="38"/>
    </row>
    <row r="16746">
      <c r="P16746" s="42"/>
      <c r="AB16746" s="38"/>
    </row>
    <row r="16747">
      <c r="P16747" s="42"/>
      <c r="AB16747" s="38"/>
    </row>
    <row r="16748">
      <c r="P16748" s="42"/>
      <c r="AB16748" s="38"/>
    </row>
    <row r="16749">
      <c r="P16749" s="42"/>
      <c r="AB16749" s="38"/>
    </row>
    <row r="16750">
      <c r="P16750" s="42"/>
      <c r="AB16750" s="38"/>
    </row>
    <row r="16751">
      <c r="P16751" s="42"/>
      <c r="AB16751" s="38"/>
    </row>
    <row r="16752">
      <c r="P16752" s="42"/>
      <c r="AB16752" s="38"/>
    </row>
    <row r="16753">
      <c r="P16753" s="42"/>
      <c r="AB16753" s="38"/>
    </row>
    <row r="16754">
      <c r="P16754" s="42"/>
      <c r="AB16754" s="38"/>
    </row>
    <row r="16755">
      <c r="P16755" s="42"/>
      <c r="AB16755" s="38"/>
    </row>
    <row r="16756">
      <c r="P16756" s="42"/>
      <c r="AB16756" s="38"/>
    </row>
    <row r="16757">
      <c r="P16757" s="42"/>
      <c r="AB16757" s="38"/>
    </row>
    <row r="16758">
      <c r="P16758" s="42"/>
      <c r="AB16758" s="38"/>
    </row>
    <row r="16759">
      <c r="P16759" s="42"/>
      <c r="AB16759" s="38"/>
    </row>
    <row r="16760">
      <c r="P16760" s="42"/>
      <c r="AB16760" s="38"/>
    </row>
    <row r="16761">
      <c r="P16761" s="42"/>
      <c r="AB16761" s="38"/>
    </row>
    <row r="16762">
      <c r="P16762" s="42"/>
      <c r="AB16762" s="38"/>
    </row>
    <row r="16763">
      <c r="P16763" s="42"/>
      <c r="AB16763" s="38"/>
    </row>
    <row r="16764">
      <c r="P16764" s="42"/>
      <c r="AB16764" s="38"/>
    </row>
    <row r="16765">
      <c r="P16765" s="42"/>
      <c r="AB16765" s="38"/>
    </row>
    <row r="16766">
      <c r="P16766" s="42"/>
      <c r="AB16766" s="38"/>
    </row>
    <row r="16767">
      <c r="P16767" s="42"/>
      <c r="AB16767" s="38"/>
    </row>
    <row r="16768">
      <c r="P16768" s="42"/>
      <c r="AB16768" s="38"/>
    </row>
    <row r="16769">
      <c r="P16769" s="42"/>
      <c r="AB16769" s="38"/>
    </row>
    <row r="16770">
      <c r="P16770" s="42"/>
      <c r="AB16770" s="38"/>
    </row>
    <row r="16771">
      <c r="P16771" s="42"/>
      <c r="AB16771" s="38"/>
    </row>
    <row r="16772">
      <c r="P16772" s="42"/>
      <c r="AB16772" s="38"/>
    </row>
    <row r="16773">
      <c r="P16773" s="42"/>
      <c r="AB16773" s="38"/>
    </row>
    <row r="16774">
      <c r="P16774" s="42"/>
      <c r="AB16774" s="38"/>
    </row>
    <row r="16775">
      <c r="P16775" s="42"/>
      <c r="AB16775" s="38"/>
    </row>
    <row r="16776">
      <c r="P16776" s="42"/>
      <c r="AB16776" s="38"/>
    </row>
    <row r="16777">
      <c r="P16777" s="42"/>
      <c r="AB16777" s="38"/>
    </row>
    <row r="16778">
      <c r="P16778" s="42"/>
      <c r="AB16778" s="38"/>
    </row>
    <row r="16779">
      <c r="P16779" s="42"/>
      <c r="AB16779" s="38"/>
    </row>
    <row r="16780">
      <c r="P16780" s="42"/>
      <c r="AB16780" s="38"/>
    </row>
    <row r="16781">
      <c r="P16781" s="42"/>
      <c r="AB16781" s="38"/>
    </row>
    <row r="16782">
      <c r="P16782" s="42"/>
      <c r="AB16782" s="38"/>
    </row>
    <row r="16783">
      <c r="P16783" s="42"/>
      <c r="AB16783" s="38"/>
    </row>
    <row r="16784">
      <c r="P16784" s="42"/>
      <c r="AB16784" s="38"/>
    </row>
    <row r="16785">
      <c r="P16785" s="42"/>
      <c r="AB16785" s="38"/>
    </row>
    <row r="16786">
      <c r="P16786" s="42"/>
      <c r="AB16786" s="38"/>
    </row>
    <row r="16787">
      <c r="P16787" s="42"/>
      <c r="AB16787" s="38"/>
    </row>
    <row r="16788">
      <c r="P16788" s="42"/>
      <c r="AB16788" s="38"/>
    </row>
    <row r="16789">
      <c r="P16789" s="42"/>
      <c r="AB16789" s="38"/>
    </row>
    <row r="16790">
      <c r="P16790" s="42"/>
      <c r="AB16790" s="38"/>
    </row>
    <row r="16791">
      <c r="P16791" s="42"/>
      <c r="AB16791" s="38"/>
    </row>
    <row r="16792">
      <c r="P16792" s="42"/>
      <c r="AB16792" s="38"/>
    </row>
    <row r="16793">
      <c r="P16793" s="42"/>
      <c r="AB16793" s="38"/>
    </row>
    <row r="16794">
      <c r="P16794" s="42"/>
      <c r="AB16794" s="38"/>
    </row>
    <row r="16795">
      <c r="P16795" s="42"/>
      <c r="AB16795" s="38"/>
    </row>
    <row r="16796">
      <c r="P16796" s="42"/>
      <c r="AB16796" s="38"/>
    </row>
    <row r="16797">
      <c r="P16797" s="42"/>
      <c r="AB16797" s="38"/>
    </row>
    <row r="16798">
      <c r="P16798" s="42"/>
      <c r="AB16798" s="38"/>
    </row>
    <row r="16799">
      <c r="P16799" s="42"/>
      <c r="AB16799" s="38"/>
    </row>
    <row r="16800">
      <c r="P16800" s="42"/>
      <c r="AB16800" s="38"/>
    </row>
    <row r="16801">
      <c r="P16801" s="42"/>
      <c r="AB16801" s="38"/>
    </row>
    <row r="16802">
      <c r="P16802" s="42"/>
      <c r="AB16802" s="38"/>
    </row>
    <row r="16803">
      <c r="P16803" s="42"/>
      <c r="AB16803" s="38"/>
    </row>
    <row r="16804">
      <c r="P16804" s="42"/>
      <c r="AB16804" s="38"/>
    </row>
    <row r="16805">
      <c r="P16805" s="42"/>
      <c r="AB16805" s="38"/>
    </row>
    <row r="16806">
      <c r="P16806" s="42"/>
      <c r="AB16806" s="38"/>
    </row>
    <row r="16807">
      <c r="P16807" s="42"/>
      <c r="AB16807" s="38"/>
    </row>
    <row r="16808">
      <c r="P16808" s="42"/>
      <c r="AB16808" s="38"/>
    </row>
    <row r="16809">
      <c r="P16809" s="42"/>
      <c r="AB16809" s="38"/>
    </row>
    <row r="16810">
      <c r="P16810" s="42"/>
      <c r="AB16810" s="38"/>
    </row>
    <row r="16811">
      <c r="P16811" s="42"/>
      <c r="AB16811" s="38"/>
    </row>
    <row r="16812">
      <c r="P16812" s="42"/>
      <c r="AB16812" s="38"/>
    </row>
    <row r="16813">
      <c r="P16813" s="42"/>
      <c r="AB16813" s="38"/>
    </row>
    <row r="16814">
      <c r="P16814" s="42"/>
      <c r="AB16814" s="38"/>
    </row>
    <row r="16815">
      <c r="P16815" s="42"/>
      <c r="AB16815" s="38"/>
    </row>
    <row r="16816">
      <c r="P16816" s="42"/>
      <c r="AB16816" s="38"/>
    </row>
    <row r="16817">
      <c r="P16817" s="42"/>
      <c r="AB16817" s="38"/>
    </row>
    <row r="16818">
      <c r="P16818" s="42"/>
      <c r="AB16818" s="38"/>
    </row>
    <row r="16819">
      <c r="P16819" s="42"/>
      <c r="AB16819" s="38"/>
    </row>
    <row r="16820">
      <c r="P16820" s="42"/>
      <c r="AB16820" s="38"/>
    </row>
    <row r="16821">
      <c r="P16821" s="42"/>
      <c r="AB16821" s="38"/>
    </row>
    <row r="16822">
      <c r="P16822" s="42"/>
      <c r="AB16822" s="38"/>
    </row>
    <row r="16823">
      <c r="P16823" s="42"/>
      <c r="AB16823" s="38"/>
    </row>
    <row r="16824">
      <c r="P16824" s="42"/>
      <c r="AB16824" s="38"/>
    </row>
    <row r="16825">
      <c r="P16825" s="42"/>
      <c r="AB16825" s="38"/>
    </row>
    <row r="16826">
      <c r="P16826" s="42"/>
      <c r="AB16826" s="38"/>
    </row>
    <row r="16827">
      <c r="P16827" s="42"/>
      <c r="AB16827" s="38"/>
    </row>
    <row r="16828">
      <c r="P16828" s="42"/>
      <c r="AB16828" s="38"/>
    </row>
    <row r="16829">
      <c r="P16829" s="42"/>
      <c r="AB16829" s="38"/>
    </row>
    <row r="16830">
      <c r="P16830" s="42"/>
      <c r="AB16830" s="38"/>
    </row>
    <row r="16831">
      <c r="P16831" s="42"/>
      <c r="AB16831" s="38"/>
    </row>
    <row r="16832">
      <c r="P16832" s="42"/>
      <c r="AB16832" s="38"/>
    </row>
    <row r="16833">
      <c r="P16833" s="42"/>
      <c r="AB16833" s="38"/>
    </row>
    <row r="16834">
      <c r="P16834" s="42"/>
      <c r="AB16834" s="38"/>
    </row>
    <row r="16835">
      <c r="P16835" s="42"/>
      <c r="AB16835" s="38"/>
    </row>
    <row r="16836">
      <c r="P16836" s="42"/>
      <c r="AB16836" s="38"/>
    </row>
    <row r="16837">
      <c r="P16837" s="42"/>
      <c r="AB16837" s="38"/>
    </row>
    <row r="16838">
      <c r="P16838" s="42"/>
      <c r="AB16838" s="38"/>
    </row>
    <row r="16839">
      <c r="P16839" s="42"/>
      <c r="AB16839" s="38"/>
    </row>
    <row r="16840">
      <c r="P16840" s="42"/>
      <c r="AB16840" s="38"/>
    </row>
    <row r="16841">
      <c r="P16841" s="42"/>
      <c r="AB16841" s="38"/>
    </row>
    <row r="16842">
      <c r="P16842" s="42"/>
      <c r="AB16842" s="38"/>
    </row>
    <row r="16843">
      <c r="P16843" s="42"/>
      <c r="AB16843" s="38"/>
    </row>
    <row r="16844">
      <c r="P16844" s="42"/>
      <c r="AB16844" s="38"/>
    </row>
    <row r="16845">
      <c r="P16845" s="42"/>
      <c r="AB16845" s="38"/>
    </row>
    <row r="16846">
      <c r="P16846" s="42"/>
      <c r="AB16846" s="38"/>
    </row>
    <row r="16847">
      <c r="P16847" s="42"/>
      <c r="AB16847" s="38"/>
    </row>
    <row r="16848">
      <c r="P16848" s="42"/>
      <c r="AB16848" s="38"/>
    </row>
    <row r="16849">
      <c r="P16849" s="42"/>
      <c r="AB16849" s="38"/>
    </row>
    <row r="16850">
      <c r="P16850" s="42"/>
      <c r="AB16850" s="38"/>
    </row>
    <row r="16851">
      <c r="P16851" s="42"/>
      <c r="AB16851" s="38"/>
    </row>
    <row r="16852">
      <c r="P16852" s="42"/>
      <c r="AB16852" s="38"/>
    </row>
    <row r="16853">
      <c r="P16853" s="42"/>
      <c r="AB16853" s="38"/>
    </row>
    <row r="16854">
      <c r="P16854" s="42"/>
      <c r="AB16854" s="38"/>
    </row>
    <row r="16855">
      <c r="P16855" s="42"/>
      <c r="AB16855" s="38"/>
    </row>
    <row r="16856">
      <c r="P16856" s="42"/>
      <c r="AB16856" s="38"/>
    </row>
    <row r="16857">
      <c r="P16857" s="42"/>
      <c r="AB16857" s="38"/>
    </row>
    <row r="16858">
      <c r="P16858" s="42"/>
      <c r="AB16858" s="38"/>
    </row>
    <row r="16859">
      <c r="P16859" s="42"/>
      <c r="AB16859" s="38"/>
    </row>
    <row r="16860">
      <c r="P16860" s="42"/>
      <c r="AB16860" s="38"/>
    </row>
    <row r="16861">
      <c r="P16861" s="42"/>
      <c r="AB16861" s="38"/>
    </row>
    <row r="16862">
      <c r="P16862" s="42"/>
      <c r="AB16862" s="38"/>
    </row>
    <row r="16863">
      <c r="P16863" s="42"/>
      <c r="AB16863" s="38"/>
    </row>
    <row r="16864">
      <c r="P16864" s="42"/>
      <c r="AB16864" s="38"/>
    </row>
    <row r="16865">
      <c r="P16865" s="42"/>
      <c r="AB16865" s="38"/>
    </row>
    <row r="16866">
      <c r="P16866" s="42"/>
      <c r="AB16866" s="38"/>
    </row>
    <row r="16867">
      <c r="P16867" s="42"/>
      <c r="AB16867" s="38"/>
    </row>
    <row r="16868">
      <c r="P16868" s="42"/>
      <c r="AB16868" s="38"/>
    </row>
    <row r="16869">
      <c r="P16869" s="42"/>
      <c r="AB16869" s="38"/>
    </row>
    <row r="16870">
      <c r="P16870" s="42"/>
      <c r="AB16870" s="38"/>
    </row>
    <row r="16871">
      <c r="P16871" s="42"/>
      <c r="AB16871" s="38"/>
    </row>
    <row r="16872">
      <c r="P16872" s="42"/>
      <c r="AB16872" s="38"/>
    </row>
    <row r="16873">
      <c r="P16873" s="42"/>
      <c r="AB16873" s="38"/>
    </row>
    <row r="16874">
      <c r="P16874" s="42"/>
      <c r="AB16874" s="38"/>
    </row>
    <row r="16875">
      <c r="P16875" s="42"/>
      <c r="AB16875" s="38"/>
    </row>
    <row r="16876">
      <c r="P16876" s="42"/>
      <c r="AB16876" s="38"/>
    </row>
    <row r="16877">
      <c r="P16877" s="42"/>
      <c r="AB16877" s="38"/>
    </row>
    <row r="16878">
      <c r="P16878" s="42"/>
      <c r="AB16878" s="38"/>
    </row>
    <row r="16879">
      <c r="P16879" s="42"/>
      <c r="AB16879" s="38"/>
    </row>
    <row r="16880">
      <c r="P16880" s="42"/>
      <c r="AB16880" s="38"/>
    </row>
    <row r="16881">
      <c r="P16881" s="42"/>
      <c r="AB16881" s="38"/>
    </row>
    <row r="16882">
      <c r="P16882" s="42"/>
      <c r="AB16882" s="38"/>
    </row>
    <row r="16883">
      <c r="P16883" s="42"/>
      <c r="AB16883" s="38"/>
    </row>
    <row r="16884">
      <c r="P16884" s="42"/>
      <c r="AB16884" s="38"/>
    </row>
    <row r="16885">
      <c r="P16885" s="42"/>
      <c r="AB16885" s="38"/>
    </row>
    <row r="16886">
      <c r="P16886" s="42"/>
      <c r="AB16886" s="38"/>
    </row>
    <row r="16887">
      <c r="P16887" s="42"/>
      <c r="AB16887" s="38"/>
    </row>
    <row r="16888">
      <c r="P16888" s="42"/>
      <c r="AB16888" s="38"/>
    </row>
    <row r="16889">
      <c r="P16889" s="42"/>
      <c r="AB16889" s="38"/>
    </row>
    <row r="16890">
      <c r="P16890" s="42"/>
      <c r="AB16890" s="38"/>
    </row>
    <row r="16891">
      <c r="P16891" s="42"/>
      <c r="AB16891" s="38"/>
    </row>
    <row r="16892">
      <c r="P16892" s="42"/>
      <c r="AB16892" s="38"/>
    </row>
    <row r="16893">
      <c r="P16893" s="42"/>
      <c r="AB16893" s="38"/>
    </row>
    <row r="16894">
      <c r="P16894" s="42"/>
      <c r="AB16894" s="38"/>
    </row>
    <row r="16895">
      <c r="P16895" s="42"/>
      <c r="AB16895" s="38"/>
    </row>
    <row r="16896">
      <c r="P16896" s="42"/>
      <c r="AB16896" s="38"/>
    </row>
    <row r="16897">
      <c r="P16897" s="42"/>
      <c r="AB16897" s="38"/>
    </row>
    <row r="16898">
      <c r="P16898" s="42"/>
      <c r="AB16898" s="38"/>
    </row>
    <row r="16899">
      <c r="P16899" s="42"/>
      <c r="AB16899" s="38"/>
    </row>
    <row r="16900">
      <c r="P16900" s="42"/>
      <c r="AB16900" s="38"/>
    </row>
    <row r="16901">
      <c r="P16901" s="42"/>
      <c r="AB16901" s="38"/>
    </row>
    <row r="16902">
      <c r="P16902" s="42"/>
      <c r="AB16902" s="38"/>
    </row>
    <row r="16903">
      <c r="P16903" s="42"/>
      <c r="AB16903" s="38"/>
    </row>
    <row r="16904">
      <c r="P16904" s="42"/>
      <c r="AB16904" s="38"/>
    </row>
    <row r="16905">
      <c r="P16905" s="42"/>
      <c r="AB16905" s="38"/>
    </row>
    <row r="16906">
      <c r="P16906" s="42"/>
      <c r="AB16906" s="38"/>
    </row>
    <row r="16907">
      <c r="P16907" s="42"/>
      <c r="AB16907" s="38"/>
    </row>
    <row r="16908">
      <c r="P16908" s="42"/>
      <c r="AB16908" s="38"/>
    </row>
    <row r="16909">
      <c r="P16909" s="42"/>
      <c r="AB16909" s="38"/>
    </row>
    <row r="16910">
      <c r="P16910" s="42"/>
      <c r="AB16910" s="38"/>
    </row>
    <row r="16911">
      <c r="P16911" s="42"/>
      <c r="AB16911" s="38"/>
    </row>
    <row r="16912">
      <c r="P16912" s="42"/>
      <c r="AB16912" s="38"/>
    </row>
    <row r="16913">
      <c r="P16913" s="42"/>
      <c r="AB16913" s="38"/>
    </row>
    <row r="16914">
      <c r="P16914" s="42"/>
      <c r="AB16914" s="38"/>
    </row>
    <row r="16915">
      <c r="P16915" s="42"/>
      <c r="AB16915" s="38"/>
    </row>
    <row r="16916">
      <c r="P16916" s="42"/>
      <c r="AB16916" s="38"/>
    </row>
    <row r="16917">
      <c r="P16917" s="42"/>
      <c r="AB16917" s="38"/>
    </row>
    <row r="16918">
      <c r="P16918" s="42"/>
      <c r="AB16918" s="38"/>
    </row>
    <row r="16919">
      <c r="P16919" s="42"/>
      <c r="AB16919" s="38"/>
    </row>
    <row r="16920">
      <c r="P16920" s="42"/>
      <c r="AB16920" s="38"/>
    </row>
    <row r="16921">
      <c r="P16921" s="42"/>
      <c r="AB16921" s="38"/>
    </row>
    <row r="16922">
      <c r="P16922" s="42"/>
      <c r="AB16922" s="38"/>
    </row>
    <row r="16923">
      <c r="P16923" s="42"/>
      <c r="AB16923" s="38"/>
    </row>
    <row r="16924">
      <c r="P16924" s="42"/>
      <c r="AB16924" s="38"/>
    </row>
    <row r="16925">
      <c r="P16925" s="42"/>
      <c r="AB16925" s="38"/>
    </row>
    <row r="16926">
      <c r="P16926" s="42"/>
      <c r="AB16926" s="38"/>
    </row>
    <row r="16927">
      <c r="P16927" s="42"/>
      <c r="AB16927" s="38"/>
    </row>
    <row r="16928">
      <c r="P16928" s="42"/>
      <c r="AB16928" s="38"/>
    </row>
    <row r="16929">
      <c r="P16929" s="42"/>
      <c r="AB16929" s="38"/>
    </row>
    <row r="16930">
      <c r="P16930" s="42"/>
      <c r="AB16930" s="38"/>
    </row>
    <row r="16931">
      <c r="P16931" s="42"/>
      <c r="AB16931" s="38"/>
    </row>
    <row r="16932">
      <c r="P16932" s="42"/>
      <c r="AB16932" s="38"/>
    </row>
    <row r="16933">
      <c r="P16933" s="42"/>
      <c r="AB16933" s="38"/>
    </row>
    <row r="16934">
      <c r="P16934" s="42"/>
      <c r="AB16934" s="38"/>
    </row>
    <row r="16935">
      <c r="P16935" s="42"/>
      <c r="AB16935" s="38"/>
    </row>
    <row r="16936">
      <c r="P16936" s="42"/>
      <c r="AB16936" s="38"/>
    </row>
    <row r="16937">
      <c r="P16937" s="42"/>
      <c r="AB16937" s="38"/>
    </row>
    <row r="16938">
      <c r="P16938" s="42"/>
      <c r="AB16938" s="38"/>
    </row>
    <row r="16939">
      <c r="P16939" s="42"/>
      <c r="AB16939" s="38"/>
    </row>
    <row r="16940">
      <c r="P16940" s="42"/>
      <c r="AB16940" s="38"/>
    </row>
    <row r="16941">
      <c r="P16941" s="42"/>
      <c r="AB16941" s="38"/>
    </row>
    <row r="16942">
      <c r="P16942" s="42"/>
      <c r="AB16942" s="38"/>
    </row>
    <row r="16943">
      <c r="P16943" s="42"/>
      <c r="AB16943" s="38"/>
    </row>
    <row r="16944">
      <c r="P16944" s="42"/>
      <c r="AB16944" s="38"/>
    </row>
    <row r="16945">
      <c r="P16945" s="42"/>
      <c r="AB16945" s="38"/>
    </row>
    <row r="16946">
      <c r="P16946" s="42"/>
      <c r="AB16946" s="38"/>
    </row>
    <row r="16947">
      <c r="P16947" s="42"/>
      <c r="AB16947" s="38"/>
    </row>
    <row r="16948">
      <c r="P16948" s="42"/>
      <c r="AB16948" s="38"/>
    </row>
    <row r="16949">
      <c r="P16949" s="42"/>
      <c r="AB16949" s="38"/>
    </row>
    <row r="16950">
      <c r="P16950" s="42"/>
      <c r="AB16950" s="38"/>
    </row>
    <row r="16951">
      <c r="P16951" s="42"/>
      <c r="AB16951" s="38"/>
    </row>
    <row r="16952">
      <c r="P16952" s="42"/>
      <c r="AB16952" s="38"/>
    </row>
    <row r="16953">
      <c r="P16953" s="42"/>
      <c r="AB16953" s="38"/>
    </row>
    <row r="16954">
      <c r="P16954" s="42"/>
      <c r="AB16954" s="38"/>
    </row>
    <row r="16955">
      <c r="P16955" s="42"/>
      <c r="AB16955" s="38"/>
    </row>
    <row r="16956">
      <c r="P16956" s="42"/>
      <c r="AB16956" s="38"/>
    </row>
    <row r="16957">
      <c r="P16957" s="42"/>
      <c r="AB16957" s="38"/>
    </row>
    <row r="16958">
      <c r="P16958" s="42"/>
      <c r="AB16958" s="38"/>
    </row>
    <row r="16959">
      <c r="P16959" s="42"/>
      <c r="AB16959" s="38"/>
    </row>
    <row r="16960">
      <c r="P16960" s="42"/>
      <c r="AB16960" s="38"/>
    </row>
    <row r="16961">
      <c r="P16961" s="42"/>
      <c r="AB16961" s="38"/>
    </row>
    <row r="16962">
      <c r="P16962" s="42"/>
      <c r="AB16962" s="38"/>
    </row>
    <row r="16963">
      <c r="P16963" s="42"/>
      <c r="AB16963" s="38"/>
    </row>
    <row r="16964">
      <c r="P16964" s="42"/>
      <c r="AB16964" s="38"/>
    </row>
    <row r="16965">
      <c r="P16965" s="42"/>
      <c r="AB16965" s="38"/>
    </row>
    <row r="16966">
      <c r="P16966" s="42"/>
      <c r="AB16966" s="38"/>
    </row>
    <row r="16967">
      <c r="P16967" s="42"/>
      <c r="AB16967" s="38"/>
    </row>
    <row r="16968">
      <c r="P16968" s="42"/>
      <c r="AB16968" s="38"/>
    </row>
    <row r="16969">
      <c r="P16969" s="42"/>
      <c r="AB16969" s="38"/>
    </row>
    <row r="16970">
      <c r="P16970" s="42"/>
      <c r="AB16970" s="38"/>
    </row>
    <row r="16971">
      <c r="P16971" s="42"/>
      <c r="AB16971" s="38"/>
    </row>
    <row r="16972">
      <c r="P16972" s="42"/>
      <c r="AB16972" s="38"/>
    </row>
    <row r="16973">
      <c r="P16973" s="42"/>
      <c r="AB16973" s="38"/>
    </row>
    <row r="16974">
      <c r="P16974" s="42"/>
      <c r="AB16974" s="38"/>
    </row>
    <row r="16975">
      <c r="P16975" s="42"/>
      <c r="AB16975" s="38"/>
    </row>
    <row r="16976">
      <c r="P16976" s="42"/>
      <c r="AB16976" s="38"/>
    </row>
    <row r="16977">
      <c r="P16977" s="42"/>
      <c r="AB16977" s="38"/>
    </row>
    <row r="16978">
      <c r="P16978" s="42"/>
      <c r="AB16978" s="38"/>
    </row>
    <row r="16979">
      <c r="P16979" s="42"/>
      <c r="AB16979" s="38"/>
    </row>
    <row r="16980">
      <c r="P16980" s="42"/>
      <c r="AB16980" s="38"/>
    </row>
    <row r="16981">
      <c r="P16981" s="42"/>
      <c r="AB16981" s="38"/>
    </row>
    <row r="16982">
      <c r="P16982" s="42"/>
      <c r="AB16982" s="38"/>
    </row>
    <row r="16983">
      <c r="P16983" s="42"/>
      <c r="AB16983" s="38"/>
    </row>
    <row r="16984">
      <c r="P16984" s="42"/>
      <c r="AB16984" s="38"/>
    </row>
    <row r="16985">
      <c r="P16985" s="42"/>
      <c r="AB16985" s="38"/>
    </row>
    <row r="16986">
      <c r="P16986" s="42"/>
      <c r="AB16986" s="38"/>
    </row>
    <row r="16987">
      <c r="P16987" s="42"/>
      <c r="AB16987" s="38"/>
    </row>
    <row r="16988">
      <c r="P16988" s="42"/>
      <c r="AB16988" s="38"/>
    </row>
    <row r="16989">
      <c r="P16989" s="42"/>
      <c r="AB16989" s="38"/>
    </row>
    <row r="16990">
      <c r="P16990" s="42"/>
      <c r="AB16990" s="38"/>
    </row>
    <row r="16991">
      <c r="P16991" s="42"/>
      <c r="AB16991" s="38"/>
    </row>
    <row r="16992">
      <c r="P16992" s="42"/>
      <c r="AB16992" s="38"/>
    </row>
    <row r="16993">
      <c r="P16993" s="42"/>
      <c r="AB16993" s="38"/>
    </row>
    <row r="16994">
      <c r="P16994" s="42"/>
      <c r="AB16994" s="38"/>
    </row>
    <row r="16995">
      <c r="P16995" s="42"/>
      <c r="AB16995" s="38"/>
    </row>
    <row r="16996">
      <c r="P16996" s="42"/>
      <c r="AB16996" s="38"/>
    </row>
    <row r="16997">
      <c r="P16997" s="42"/>
      <c r="AB16997" s="38"/>
    </row>
    <row r="16998">
      <c r="P16998" s="42"/>
      <c r="AB16998" s="38"/>
    </row>
    <row r="16999">
      <c r="P16999" s="42"/>
      <c r="AB16999" s="38"/>
    </row>
    <row r="17000">
      <c r="P17000" s="42"/>
      <c r="AB17000" s="38"/>
    </row>
    <row r="17001">
      <c r="P17001" s="42"/>
      <c r="AB17001" s="38"/>
    </row>
    <row r="17002">
      <c r="P17002" s="42"/>
      <c r="AB17002" s="38"/>
    </row>
    <row r="17003">
      <c r="P17003" s="42"/>
      <c r="AB17003" s="38"/>
    </row>
    <row r="17004">
      <c r="P17004" s="42"/>
      <c r="AB17004" s="38"/>
    </row>
    <row r="17005">
      <c r="P17005" s="42"/>
      <c r="AB17005" s="38"/>
    </row>
    <row r="17006">
      <c r="P17006" s="42"/>
      <c r="AB17006" s="38"/>
    </row>
    <row r="17007">
      <c r="P17007" s="42"/>
      <c r="AB17007" s="38"/>
    </row>
    <row r="17008">
      <c r="P17008" s="42"/>
      <c r="AB17008" s="38"/>
    </row>
    <row r="17009">
      <c r="P17009" s="42"/>
      <c r="AB17009" s="38"/>
    </row>
    <row r="17010">
      <c r="P17010" s="42"/>
      <c r="AB17010" s="38"/>
    </row>
    <row r="17011">
      <c r="P17011" s="42"/>
      <c r="AB17011" s="38"/>
    </row>
    <row r="17012">
      <c r="P17012" s="42"/>
      <c r="AB17012" s="38"/>
    </row>
    <row r="17013">
      <c r="P17013" s="42"/>
      <c r="AB17013" s="38"/>
    </row>
    <row r="17014">
      <c r="P17014" s="42"/>
      <c r="AB17014" s="38"/>
    </row>
    <row r="17015">
      <c r="P17015" s="42"/>
      <c r="AB17015" s="38"/>
    </row>
    <row r="17016">
      <c r="P17016" s="42"/>
      <c r="AB17016" s="38"/>
    </row>
    <row r="17017">
      <c r="P17017" s="42"/>
      <c r="AB17017" s="38"/>
    </row>
    <row r="17018">
      <c r="P17018" s="42"/>
      <c r="AB17018" s="38"/>
    </row>
    <row r="17019">
      <c r="P17019" s="42"/>
      <c r="AB17019" s="38"/>
    </row>
    <row r="17020">
      <c r="P17020" s="42"/>
      <c r="AB17020" s="38"/>
    </row>
    <row r="17021">
      <c r="P17021" s="42"/>
      <c r="AB17021" s="38"/>
    </row>
    <row r="17022">
      <c r="P17022" s="42"/>
      <c r="AB17022" s="38"/>
    </row>
    <row r="17023">
      <c r="P17023" s="42"/>
      <c r="AB17023" s="38"/>
    </row>
    <row r="17024">
      <c r="P17024" s="42"/>
      <c r="AB17024" s="38"/>
    </row>
    <row r="17025">
      <c r="P17025" s="42"/>
      <c r="AB17025" s="38"/>
    </row>
    <row r="17026">
      <c r="P17026" s="42"/>
      <c r="AB17026" s="38"/>
    </row>
    <row r="17027">
      <c r="P17027" s="42"/>
      <c r="AB17027" s="38"/>
    </row>
    <row r="17028">
      <c r="P17028" s="42"/>
      <c r="AB17028" s="38"/>
    </row>
    <row r="17029">
      <c r="P17029" s="42"/>
      <c r="AB17029" s="38"/>
    </row>
    <row r="17030">
      <c r="P17030" s="42"/>
      <c r="AB17030" s="38"/>
    </row>
    <row r="17031">
      <c r="P17031" s="42"/>
      <c r="AB17031" s="38"/>
    </row>
    <row r="17032">
      <c r="P17032" s="42"/>
      <c r="AB17032" s="38"/>
    </row>
    <row r="17033">
      <c r="P17033" s="42"/>
      <c r="AB17033" s="38"/>
    </row>
    <row r="17034">
      <c r="P17034" s="42"/>
      <c r="AB17034" s="38"/>
    </row>
    <row r="17035">
      <c r="P17035" s="42"/>
      <c r="AB17035" s="38"/>
    </row>
    <row r="17036">
      <c r="P17036" s="42"/>
      <c r="AB17036" s="38"/>
    </row>
    <row r="17037">
      <c r="P17037" s="42"/>
      <c r="AB17037" s="38"/>
    </row>
    <row r="17038">
      <c r="P17038" s="42"/>
      <c r="AB17038" s="38"/>
    </row>
    <row r="17039">
      <c r="P17039" s="42"/>
      <c r="AB17039" s="38"/>
    </row>
    <row r="17040">
      <c r="P17040" s="42"/>
      <c r="AB17040" s="38"/>
    </row>
    <row r="17041">
      <c r="P17041" s="42"/>
      <c r="AB17041" s="38"/>
    </row>
    <row r="17042">
      <c r="P17042" s="42"/>
      <c r="AB17042" s="38"/>
    </row>
    <row r="17043">
      <c r="P17043" s="42"/>
      <c r="AB17043" s="38"/>
    </row>
    <row r="17044">
      <c r="P17044" s="42"/>
      <c r="AB17044" s="38"/>
    </row>
    <row r="17045">
      <c r="P17045" s="42"/>
      <c r="AB17045" s="38"/>
    </row>
    <row r="17046">
      <c r="P17046" s="42"/>
      <c r="AB17046" s="38"/>
    </row>
    <row r="17047">
      <c r="P17047" s="42"/>
      <c r="AB17047" s="38"/>
    </row>
    <row r="17048">
      <c r="P17048" s="42"/>
      <c r="AB17048" s="38"/>
    </row>
    <row r="17049">
      <c r="P17049" s="42"/>
      <c r="AB17049" s="38"/>
    </row>
    <row r="17050">
      <c r="P17050" s="42"/>
      <c r="AB17050" s="38"/>
    </row>
    <row r="17051">
      <c r="P17051" s="42"/>
      <c r="AB17051" s="38"/>
    </row>
    <row r="17052">
      <c r="P17052" s="42"/>
      <c r="AB17052" s="38"/>
    </row>
    <row r="17053">
      <c r="P17053" s="42"/>
      <c r="AB17053" s="38"/>
    </row>
    <row r="17054">
      <c r="P17054" s="42"/>
      <c r="AB17054" s="38"/>
    </row>
    <row r="17055">
      <c r="P17055" s="42"/>
      <c r="AB17055" s="38"/>
    </row>
    <row r="17056">
      <c r="P17056" s="42"/>
      <c r="AB17056" s="38"/>
    </row>
    <row r="17057">
      <c r="P17057" s="42"/>
      <c r="AB17057" s="38"/>
    </row>
    <row r="17058">
      <c r="P17058" s="42"/>
      <c r="AB17058" s="38"/>
    </row>
    <row r="17059">
      <c r="P17059" s="42"/>
      <c r="AB17059" s="38"/>
    </row>
    <row r="17060">
      <c r="P17060" s="42"/>
      <c r="AB17060" s="38"/>
    </row>
    <row r="17061">
      <c r="P17061" s="42"/>
      <c r="AB17061" s="38"/>
    </row>
    <row r="17062">
      <c r="P17062" s="42"/>
      <c r="AB17062" s="38"/>
    </row>
    <row r="17063">
      <c r="P17063" s="42"/>
      <c r="AB17063" s="38"/>
    </row>
    <row r="17064">
      <c r="P17064" s="42"/>
      <c r="AB17064" s="38"/>
    </row>
    <row r="17065">
      <c r="P17065" s="42"/>
      <c r="AB17065" s="38"/>
    </row>
    <row r="17066">
      <c r="P17066" s="42"/>
      <c r="AB17066" s="38"/>
    </row>
    <row r="17067">
      <c r="P17067" s="42"/>
      <c r="AB17067" s="38"/>
    </row>
    <row r="17068">
      <c r="P17068" s="42"/>
      <c r="AB17068" s="38"/>
    </row>
    <row r="17069">
      <c r="P17069" s="42"/>
      <c r="AB17069" s="38"/>
    </row>
    <row r="17070">
      <c r="P17070" s="42"/>
      <c r="AB17070" s="38"/>
    </row>
    <row r="17071">
      <c r="P17071" s="42"/>
      <c r="AB17071" s="38"/>
    </row>
    <row r="17072">
      <c r="P17072" s="42"/>
      <c r="AB17072" s="38"/>
    </row>
    <row r="17073">
      <c r="P17073" s="42"/>
      <c r="AB17073" s="38"/>
    </row>
    <row r="17074">
      <c r="P17074" s="42"/>
      <c r="AB17074" s="38"/>
    </row>
    <row r="17075">
      <c r="P17075" s="42"/>
      <c r="AB17075" s="38"/>
    </row>
    <row r="17076">
      <c r="P17076" s="42"/>
      <c r="AB17076" s="38"/>
    </row>
    <row r="17077">
      <c r="P17077" s="42"/>
      <c r="AB17077" s="38"/>
    </row>
    <row r="17078">
      <c r="P17078" s="42"/>
      <c r="AB17078" s="38"/>
    </row>
    <row r="17079">
      <c r="P17079" s="42"/>
      <c r="AB17079" s="38"/>
    </row>
    <row r="17080">
      <c r="P17080" s="42"/>
      <c r="AB17080" s="38"/>
    </row>
    <row r="17081">
      <c r="P17081" s="42"/>
      <c r="AB17081" s="38"/>
    </row>
    <row r="17082">
      <c r="P17082" s="42"/>
      <c r="AB17082" s="38"/>
    </row>
    <row r="17083">
      <c r="P17083" s="42"/>
      <c r="AB17083" s="38"/>
    </row>
    <row r="17084">
      <c r="P17084" s="42"/>
      <c r="AB17084" s="38"/>
    </row>
    <row r="17085">
      <c r="P17085" s="42"/>
      <c r="AB17085" s="38"/>
    </row>
    <row r="17086">
      <c r="P17086" s="42"/>
      <c r="AB17086" s="38"/>
    </row>
    <row r="17087">
      <c r="P17087" s="42"/>
      <c r="AB17087" s="38"/>
    </row>
    <row r="17088">
      <c r="P17088" s="42"/>
      <c r="AB17088" s="38"/>
    </row>
    <row r="17089">
      <c r="P17089" s="42"/>
      <c r="AB17089" s="38"/>
    </row>
    <row r="17090">
      <c r="P17090" s="42"/>
      <c r="AB17090" s="38"/>
    </row>
    <row r="17091">
      <c r="P17091" s="42"/>
      <c r="AB17091" s="38"/>
    </row>
    <row r="17092">
      <c r="P17092" s="42"/>
      <c r="AB17092" s="38"/>
    </row>
    <row r="17093">
      <c r="P17093" s="42"/>
      <c r="AB17093" s="38"/>
    </row>
    <row r="17094">
      <c r="P17094" s="42"/>
      <c r="AB17094" s="38"/>
    </row>
    <row r="17095">
      <c r="P17095" s="42"/>
      <c r="AB17095" s="38"/>
    </row>
    <row r="17096">
      <c r="P17096" s="42"/>
      <c r="AB17096" s="38"/>
    </row>
    <row r="17097">
      <c r="P17097" s="42"/>
      <c r="AB17097" s="38"/>
    </row>
    <row r="17098">
      <c r="P17098" s="42"/>
      <c r="AB17098" s="38"/>
    </row>
    <row r="17099">
      <c r="P17099" s="42"/>
      <c r="AB17099" s="38"/>
    </row>
    <row r="17100">
      <c r="P17100" s="42"/>
      <c r="AB17100" s="38"/>
    </row>
    <row r="17101">
      <c r="P17101" s="42"/>
      <c r="AB17101" s="38"/>
    </row>
    <row r="17102">
      <c r="P17102" s="42"/>
      <c r="AB17102" s="38"/>
    </row>
    <row r="17103">
      <c r="P17103" s="42"/>
      <c r="AB17103" s="38"/>
    </row>
    <row r="17104">
      <c r="P17104" s="42"/>
      <c r="AB17104" s="38"/>
    </row>
    <row r="17105">
      <c r="P17105" s="42"/>
      <c r="AB17105" s="38"/>
    </row>
    <row r="17106">
      <c r="P17106" s="42"/>
      <c r="AB17106" s="38"/>
    </row>
    <row r="17107">
      <c r="P17107" s="42"/>
      <c r="AB17107" s="38"/>
    </row>
    <row r="17108">
      <c r="P17108" s="42"/>
      <c r="AB17108" s="38"/>
    </row>
    <row r="17109">
      <c r="P17109" s="42"/>
      <c r="AB17109" s="38"/>
    </row>
    <row r="17110">
      <c r="P17110" s="42"/>
      <c r="AB17110" s="38"/>
    </row>
    <row r="17111">
      <c r="P17111" s="42"/>
      <c r="AB17111" s="38"/>
    </row>
    <row r="17112">
      <c r="P17112" s="42"/>
      <c r="AB17112" s="38"/>
    </row>
    <row r="17113">
      <c r="P17113" s="42"/>
      <c r="AB17113" s="38"/>
    </row>
    <row r="17114">
      <c r="P17114" s="42"/>
      <c r="AB17114" s="38"/>
    </row>
    <row r="17115">
      <c r="P17115" s="42"/>
      <c r="AB17115" s="38"/>
    </row>
    <row r="17116">
      <c r="P17116" s="42"/>
      <c r="AB17116" s="38"/>
    </row>
    <row r="17117">
      <c r="P17117" s="42"/>
      <c r="AB17117" s="38"/>
    </row>
    <row r="17118">
      <c r="P17118" s="42"/>
      <c r="AB17118" s="38"/>
    </row>
    <row r="17119">
      <c r="P17119" s="42"/>
      <c r="AB17119" s="38"/>
    </row>
    <row r="17120">
      <c r="P17120" s="42"/>
      <c r="AB17120" s="38"/>
    </row>
    <row r="17121">
      <c r="P17121" s="42"/>
      <c r="AB17121" s="38"/>
    </row>
    <row r="17122">
      <c r="P17122" s="42"/>
      <c r="AB17122" s="38"/>
    </row>
    <row r="17123">
      <c r="P17123" s="42"/>
      <c r="AB17123" s="38"/>
    </row>
    <row r="17124">
      <c r="P17124" s="42"/>
      <c r="AB17124" s="38"/>
    </row>
    <row r="17125">
      <c r="P17125" s="42"/>
      <c r="AB17125" s="38"/>
    </row>
    <row r="17126">
      <c r="P17126" s="42"/>
      <c r="AB17126" s="38"/>
    </row>
    <row r="17127">
      <c r="P17127" s="42"/>
      <c r="AB17127" s="38"/>
    </row>
    <row r="17128">
      <c r="P17128" s="42"/>
      <c r="AB17128" s="38"/>
    </row>
    <row r="17129">
      <c r="P17129" s="42"/>
      <c r="AB17129" s="38"/>
    </row>
    <row r="17130">
      <c r="P17130" s="42"/>
      <c r="AB17130" s="38"/>
    </row>
    <row r="17131">
      <c r="P17131" s="42"/>
      <c r="AB17131" s="38"/>
    </row>
    <row r="17132">
      <c r="P17132" s="42"/>
      <c r="AB17132" s="38"/>
    </row>
    <row r="17133">
      <c r="P17133" s="42"/>
      <c r="AB17133" s="38"/>
    </row>
    <row r="17134">
      <c r="P17134" s="42"/>
      <c r="AB17134" s="38"/>
    </row>
    <row r="17135">
      <c r="P17135" s="42"/>
      <c r="AB17135" s="38"/>
    </row>
    <row r="17136">
      <c r="P17136" s="42"/>
      <c r="AB17136" s="38"/>
    </row>
    <row r="17137">
      <c r="P17137" s="42"/>
      <c r="AB17137" s="38"/>
    </row>
    <row r="17138">
      <c r="P17138" s="42"/>
      <c r="AB17138" s="38"/>
    </row>
    <row r="17139">
      <c r="P17139" s="42"/>
      <c r="AB17139" s="38"/>
    </row>
    <row r="17140">
      <c r="P17140" s="42"/>
      <c r="AB17140" s="38"/>
    </row>
    <row r="17141">
      <c r="P17141" s="42"/>
      <c r="AB17141" s="38"/>
    </row>
    <row r="17142">
      <c r="P17142" s="42"/>
      <c r="AB17142" s="38"/>
    </row>
    <row r="17143">
      <c r="P17143" s="42"/>
      <c r="AB17143" s="38"/>
    </row>
    <row r="17144">
      <c r="P17144" s="42"/>
      <c r="AB17144" s="38"/>
    </row>
    <row r="17145">
      <c r="P17145" s="42"/>
      <c r="AB17145" s="38"/>
    </row>
    <row r="17146">
      <c r="P17146" s="42"/>
      <c r="AB17146" s="38"/>
    </row>
    <row r="17147">
      <c r="P17147" s="42"/>
      <c r="AB17147" s="38"/>
    </row>
    <row r="17148">
      <c r="P17148" s="42"/>
      <c r="AB17148" s="38"/>
    </row>
    <row r="17149">
      <c r="P17149" s="42"/>
      <c r="AB17149" s="38"/>
    </row>
    <row r="17150">
      <c r="P17150" s="42"/>
      <c r="AB17150" s="38"/>
    </row>
    <row r="17151">
      <c r="P17151" s="42"/>
      <c r="AB17151" s="38"/>
    </row>
    <row r="17152">
      <c r="P17152" s="42"/>
      <c r="AB17152" s="38"/>
    </row>
    <row r="17153">
      <c r="P17153" s="42"/>
      <c r="AB17153" s="38"/>
    </row>
    <row r="17154">
      <c r="P17154" s="42"/>
      <c r="AB17154" s="38"/>
    </row>
    <row r="17155">
      <c r="P17155" s="42"/>
      <c r="AB17155" s="38"/>
    </row>
    <row r="17156">
      <c r="P17156" s="42"/>
      <c r="AB17156" s="38"/>
    </row>
    <row r="17157">
      <c r="P17157" s="42"/>
      <c r="AB17157" s="38"/>
    </row>
    <row r="17158">
      <c r="P17158" s="42"/>
      <c r="AB17158" s="38"/>
    </row>
    <row r="17159">
      <c r="P17159" s="42"/>
      <c r="AB17159" s="38"/>
    </row>
    <row r="17160">
      <c r="P17160" s="42"/>
      <c r="AB17160" s="38"/>
    </row>
    <row r="17161">
      <c r="P17161" s="42"/>
      <c r="AB17161" s="38"/>
    </row>
    <row r="17162">
      <c r="P17162" s="42"/>
      <c r="AB17162" s="38"/>
    </row>
    <row r="17163">
      <c r="P17163" s="42"/>
      <c r="AB17163" s="38"/>
    </row>
    <row r="17164">
      <c r="P17164" s="42"/>
      <c r="AB17164" s="38"/>
    </row>
    <row r="17165">
      <c r="P17165" s="42"/>
      <c r="AB17165" s="38"/>
    </row>
    <row r="17166">
      <c r="P17166" s="42"/>
      <c r="AB17166" s="38"/>
    </row>
    <row r="17167">
      <c r="P17167" s="42"/>
      <c r="AB17167" s="38"/>
    </row>
    <row r="17168">
      <c r="P17168" s="42"/>
      <c r="AB17168" s="38"/>
    </row>
    <row r="17169">
      <c r="P17169" s="42"/>
      <c r="AB17169" s="38"/>
    </row>
    <row r="17170">
      <c r="P17170" s="42"/>
      <c r="AB17170" s="38"/>
    </row>
    <row r="17171">
      <c r="P17171" s="42"/>
      <c r="AB17171" s="38"/>
    </row>
    <row r="17172">
      <c r="P17172" s="42"/>
      <c r="AB17172" s="38"/>
    </row>
    <row r="17173">
      <c r="P17173" s="42"/>
      <c r="AB17173" s="38"/>
    </row>
    <row r="17174">
      <c r="P17174" s="42"/>
      <c r="AB17174" s="38"/>
    </row>
    <row r="17175">
      <c r="P17175" s="42"/>
      <c r="AB17175" s="38"/>
    </row>
    <row r="17176">
      <c r="P17176" s="42"/>
      <c r="AB17176" s="38"/>
    </row>
    <row r="17177">
      <c r="P17177" s="42"/>
      <c r="AB17177" s="38"/>
    </row>
    <row r="17178">
      <c r="P17178" s="42"/>
      <c r="AB17178" s="38"/>
    </row>
    <row r="17179">
      <c r="P17179" s="42"/>
      <c r="AB17179" s="38"/>
    </row>
    <row r="17180">
      <c r="P17180" s="42"/>
      <c r="AB17180" s="38"/>
    </row>
    <row r="17181">
      <c r="P17181" s="42"/>
      <c r="AB17181" s="38"/>
    </row>
    <row r="17182">
      <c r="P17182" s="42"/>
      <c r="AB17182" s="38"/>
    </row>
    <row r="17183">
      <c r="P17183" s="42"/>
      <c r="AB17183" s="38"/>
    </row>
    <row r="17184">
      <c r="P17184" s="42"/>
      <c r="AB17184" s="38"/>
    </row>
    <row r="17185">
      <c r="P17185" s="42"/>
      <c r="AB17185" s="38"/>
    </row>
    <row r="17186">
      <c r="P17186" s="42"/>
      <c r="AB17186" s="38"/>
    </row>
    <row r="17187">
      <c r="P17187" s="42"/>
      <c r="AB17187" s="38"/>
    </row>
    <row r="17188">
      <c r="P17188" s="42"/>
      <c r="AB17188" s="38"/>
    </row>
    <row r="17189">
      <c r="P17189" s="42"/>
      <c r="AB17189" s="38"/>
    </row>
    <row r="17190">
      <c r="P17190" s="42"/>
      <c r="AB17190" s="38"/>
    </row>
    <row r="17191">
      <c r="P17191" s="42"/>
      <c r="AB17191" s="38"/>
    </row>
    <row r="17192">
      <c r="P17192" s="42"/>
      <c r="AB17192" s="38"/>
    </row>
    <row r="17193">
      <c r="P17193" s="42"/>
      <c r="AB17193" s="38"/>
    </row>
    <row r="17194">
      <c r="P17194" s="42"/>
      <c r="AB17194" s="38"/>
    </row>
    <row r="17195">
      <c r="P17195" s="42"/>
      <c r="AB17195" s="38"/>
    </row>
    <row r="17196">
      <c r="P17196" s="42"/>
      <c r="AB17196" s="38"/>
    </row>
    <row r="17197">
      <c r="P17197" s="42"/>
      <c r="AB17197" s="38"/>
    </row>
    <row r="17198">
      <c r="P17198" s="42"/>
      <c r="AB17198" s="38"/>
    </row>
    <row r="17199">
      <c r="P17199" s="42"/>
      <c r="AB17199" s="38"/>
    </row>
    <row r="17200">
      <c r="P17200" s="42"/>
      <c r="AB17200" s="38"/>
    </row>
    <row r="17201">
      <c r="P17201" s="42"/>
      <c r="AB17201" s="38"/>
    </row>
    <row r="17202">
      <c r="P17202" s="42"/>
      <c r="AB17202" s="38"/>
    </row>
    <row r="17203">
      <c r="P17203" s="42"/>
      <c r="AB17203" s="38"/>
    </row>
    <row r="17204">
      <c r="P17204" s="42"/>
      <c r="AB17204" s="38"/>
    </row>
    <row r="17205">
      <c r="P17205" s="42"/>
      <c r="AB17205" s="38"/>
    </row>
    <row r="17206">
      <c r="P17206" s="42"/>
      <c r="AB17206" s="38"/>
    </row>
    <row r="17207">
      <c r="P17207" s="42"/>
      <c r="AB17207" s="38"/>
    </row>
    <row r="17208">
      <c r="P17208" s="42"/>
      <c r="AB17208" s="38"/>
    </row>
    <row r="17209">
      <c r="P17209" s="42"/>
      <c r="AB17209" s="38"/>
    </row>
    <row r="17210">
      <c r="P17210" s="42"/>
      <c r="AB17210" s="38"/>
    </row>
    <row r="17211">
      <c r="P17211" s="42"/>
      <c r="AB17211" s="38"/>
    </row>
    <row r="17212">
      <c r="P17212" s="42"/>
      <c r="AB17212" s="38"/>
    </row>
    <row r="17213">
      <c r="P17213" s="42"/>
      <c r="AB17213" s="38"/>
    </row>
    <row r="17214">
      <c r="P17214" s="42"/>
      <c r="AB17214" s="38"/>
    </row>
    <row r="17215">
      <c r="P17215" s="42"/>
      <c r="AB17215" s="38"/>
    </row>
    <row r="17216">
      <c r="P17216" s="42"/>
      <c r="AB17216" s="38"/>
    </row>
    <row r="17217">
      <c r="P17217" s="42"/>
      <c r="AB17217" s="38"/>
    </row>
    <row r="17218">
      <c r="P17218" s="42"/>
      <c r="AB17218" s="38"/>
    </row>
    <row r="17219">
      <c r="P17219" s="42"/>
      <c r="AB17219" s="38"/>
    </row>
    <row r="17220">
      <c r="P17220" s="42"/>
      <c r="AB17220" s="38"/>
    </row>
    <row r="17221">
      <c r="P17221" s="42"/>
      <c r="AB17221" s="38"/>
    </row>
    <row r="17222">
      <c r="P17222" s="42"/>
      <c r="AB17222" s="38"/>
    </row>
    <row r="17223">
      <c r="P17223" s="42"/>
      <c r="AB17223" s="38"/>
    </row>
    <row r="17224">
      <c r="P17224" s="42"/>
      <c r="AB17224" s="38"/>
    </row>
    <row r="17225">
      <c r="P17225" s="42"/>
      <c r="AB17225" s="38"/>
    </row>
    <row r="17226">
      <c r="P17226" s="42"/>
      <c r="AB17226" s="38"/>
    </row>
    <row r="17227">
      <c r="P17227" s="42"/>
      <c r="AB17227" s="38"/>
    </row>
    <row r="17228">
      <c r="P17228" s="42"/>
      <c r="AB17228" s="38"/>
    </row>
    <row r="17229">
      <c r="P17229" s="42"/>
      <c r="AB17229" s="38"/>
    </row>
    <row r="17230">
      <c r="P17230" s="42"/>
      <c r="AB17230" s="38"/>
    </row>
    <row r="17231">
      <c r="P17231" s="42"/>
      <c r="AB17231" s="38"/>
    </row>
    <row r="17232">
      <c r="P17232" s="42"/>
      <c r="AB17232" s="38"/>
    </row>
    <row r="17233">
      <c r="P17233" s="42"/>
      <c r="AB17233" s="38"/>
    </row>
    <row r="17234">
      <c r="P17234" s="42"/>
      <c r="AB17234" s="38"/>
    </row>
    <row r="17235">
      <c r="P17235" s="42"/>
      <c r="AB17235" s="38"/>
    </row>
    <row r="17236">
      <c r="P17236" s="42"/>
      <c r="AB17236" s="38"/>
    </row>
    <row r="17237">
      <c r="P17237" s="42"/>
      <c r="AB17237" s="38"/>
    </row>
    <row r="17238">
      <c r="P17238" s="42"/>
      <c r="AB17238" s="38"/>
    </row>
    <row r="17239">
      <c r="P17239" s="42"/>
      <c r="AB17239" s="38"/>
    </row>
    <row r="17240">
      <c r="P17240" s="42"/>
      <c r="AB17240" s="38"/>
    </row>
    <row r="17241">
      <c r="P17241" s="42"/>
      <c r="AB17241" s="38"/>
    </row>
    <row r="17242">
      <c r="P17242" s="42"/>
      <c r="AB17242" s="38"/>
    </row>
    <row r="17243">
      <c r="P17243" s="42"/>
      <c r="AB17243" s="38"/>
    </row>
    <row r="17244">
      <c r="P17244" s="42"/>
      <c r="AB17244" s="38"/>
    </row>
    <row r="17245">
      <c r="P17245" s="42"/>
      <c r="AB17245" s="38"/>
    </row>
    <row r="17246">
      <c r="P17246" s="42"/>
      <c r="AB17246" s="38"/>
    </row>
    <row r="17247">
      <c r="P17247" s="42"/>
      <c r="AB17247" s="38"/>
    </row>
    <row r="17248">
      <c r="P17248" s="42"/>
      <c r="AB17248" s="38"/>
    </row>
    <row r="17249">
      <c r="P17249" s="42"/>
      <c r="AB17249" s="38"/>
    </row>
    <row r="17250">
      <c r="P17250" s="42"/>
      <c r="AB17250" s="38"/>
    </row>
    <row r="17251">
      <c r="P17251" s="42"/>
      <c r="AB17251" s="38"/>
    </row>
    <row r="17252">
      <c r="P17252" s="42"/>
      <c r="AB17252" s="38"/>
    </row>
    <row r="17253">
      <c r="P17253" s="42"/>
      <c r="AB17253" s="38"/>
    </row>
    <row r="17254">
      <c r="P17254" s="42"/>
      <c r="AB17254" s="38"/>
    </row>
    <row r="17255">
      <c r="P17255" s="42"/>
      <c r="AB17255" s="38"/>
    </row>
    <row r="17256">
      <c r="P17256" s="42"/>
      <c r="AB17256" s="38"/>
    </row>
    <row r="17257">
      <c r="P17257" s="42"/>
      <c r="AB17257" s="38"/>
    </row>
    <row r="17258">
      <c r="P17258" s="42"/>
      <c r="AB17258" s="38"/>
    </row>
    <row r="17259">
      <c r="P17259" s="42"/>
      <c r="AB17259" s="38"/>
    </row>
    <row r="17260">
      <c r="P17260" s="42"/>
      <c r="AB17260" s="38"/>
    </row>
    <row r="17261">
      <c r="P17261" s="42"/>
      <c r="AB17261" s="38"/>
    </row>
    <row r="17262">
      <c r="P17262" s="42"/>
      <c r="AB17262" s="38"/>
    </row>
    <row r="17263">
      <c r="P17263" s="42"/>
      <c r="AB17263" s="38"/>
    </row>
    <row r="17264">
      <c r="P17264" s="42"/>
      <c r="AB17264" s="38"/>
    </row>
    <row r="17265">
      <c r="P17265" s="42"/>
      <c r="AB17265" s="38"/>
    </row>
    <row r="17266">
      <c r="P17266" s="42"/>
      <c r="AB17266" s="38"/>
    </row>
    <row r="17267">
      <c r="P17267" s="42"/>
      <c r="AB17267" s="38"/>
    </row>
    <row r="17268">
      <c r="P17268" s="42"/>
      <c r="AB17268" s="38"/>
    </row>
    <row r="17269">
      <c r="P17269" s="42"/>
      <c r="AB17269" s="38"/>
    </row>
    <row r="17270">
      <c r="P17270" s="42"/>
      <c r="AB17270" s="38"/>
    </row>
    <row r="17271">
      <c r="P17271" s="42"/>
      <c r="AB17271" s="38"/>
    </row>
    <row r="17272">
      <c r="P17272" s="42"/>
      <c r="AB17272" s="38"/>
    </row>
    <row r="17273">
      <c r="P17273" s="42"/>
      <c r="AB17273" s="38"/>
    </row>
    <row r="17274">
      <c r="P17274" s="42"/>
      <c r="AB17274" s="38"/>
    </row>
    <row r="17275">
      <c r="P17275" s="42"/>
      <c r="AB17275" s="38"/>
    </row>
    <row r="17276">
      <c r="P17276" s="42"/>
      <c r="AB17276" s="38"/>
    </row>
    <row r="17277">
      <c r="P17277" s="42"/>
      <c r="AB17277" s="38"/>
    </row>
    <row r="17278">
      <c r="P17278" s="42"/>
      <c r="AB17278" s="38"/>
    </row>
    <row r="17279">
      <c r="P17279" s="42"/>
      <c r="AB17279" s="38"/>
    </row>
    <row r="17280">
      <c r="P17280" s="42"/>
      <c r="AB17280" s="38"/>
    </row>
    <row r="17281">
      <c r="P17281" s="42"/>
      <c r="AB17281" s="38"/>
    </row>
    <row r="17282">
      <c r="P17282" s="42"/>
      <c r="AB17282" s="38"/>
    </row>
    <row r="17283">
      <c r="P17283" s="42"/>
      <c r="AB17283" s="38"/>
    </row>
    <row r="17284">
      <c r="P17284" s="42"/>
      <c r="AB17284" s="38"/>
    </row>
    <row r="17285">
      <c r="P17285" s="42"/>
      <c r="AB17285" s="38"/>
    </row>
    <row r="17286">
      <c r="P17286" s="42"/>
      <c r="AB17286" s="38"/>
    </row>
    <row r="17287">
      <c r="P17287" s="42"/>
      <c r="AB17287" s="38"/>
    </row>
    <row r="17288">
      <c r="P17288" s="42"/>
      <c r="AB17288" s="38"/>
    </row>
    <row r="17289">
      <c r="P17289" s="42"/>
      <c r="AB17289" s="38"/>
    </row>
    <row r="17290">
      <c r="P17290" s="42"/>
      <c r="AB17290" s="38"/>
    </row>
    <row r="17291">
      <c r="P17291" s="42"/>
      <c r="AB17291" s="38"/>
    </row>
    <row r="17292">
      <c r="P17292" s="42"/>
      <c r="AB17292" s="38"/>
    </row>
    <row r="17293">
      <c r="P17293" s="42"/>
      <c r="AB17293" s="38"/>
    </row>
    <row r="17294">
      <c r="P17294" s="42"/>
      <c r="AB17294" s="38"/>
    </row>
    <row r="17295">
      <c r="P17295" s="42"/>
      <c r="AB17295" s="38"/>
    </row>
    <row r="17296">
      <c r="P17296" s="42"/>
      <c r="AB17296" s="38"/>
    </row>
    <row r="17297">
      <c r="P17297" s="42"/>
      <c r="AB17297" s="38"/>
    </row>
    <row r="17298">
      <c r="P17298" s="42"/>
      <c r="AB17298" s="38"/>
    </row>
    <row r="17299">
      <c r="P17299" s="42"/>
      <c r="AB17299" s="38"/>
    </row>
    <row r="17300">
      <c r="P17300" s="42"/>
      <c r="AB17300" s="38"/>
    </row>
    <row r="17301">
      <c r="P17301" s="42"/>
      <c r="AB17301" s="38"/>
    </row>
    <row r="17302">
      <c r="P17302" s="42"/>
      <c r="AB17302" s="38"/>
    </row>
    <row r="17303">
      <c r="P17303" s="42"/>
      <c r="AB17303" s="38"/>
    </row>
    <row r="17304">
      <c r="P17304" s="42"/>
      <c r="AB17304" s="38"/>
    </row>
    <row r="17305">
      <c r="P17305" s="42"/>
      <c r="AB17305" s="38"/>
    </row>
    <row r="17306">
      <c r="P17306" s="42"/>
      <c r="AB17306" s="38"/>
    </row>
    <row r="17307">
      <c r="P17307" s="42"/>
      <c r="AB17307" s="38"/>
    </row>
    <row r="17308">
      <c r="P17308" s="42"/>
      <c r="AB17308" s="38"/>
    </row>
    <row r="17309">
      <c r="P17309" s="42"/>
      <c r="AB17309" s="38"/>
    </row>
    <row r="17310">
      <c r="P17310" s="42"/>
      <c r="AB17310" s="38"/>
    </row>
    <row r="17311">
      <c r="P17311" s="42"/>
      <c r="AB17311" s="38"/>
    </row>
    <row r="17312">
      <c r="P17312" s="42"/>
      <c r="AB17312" s="38"/>
    </row>
    <row r="17313">
      <c r="P17313" s="42"/>
      <c r="AB17313" s="38"/>
    </row>
    <row r="17314">
      <c r="P17314" s="42"/>
      <c r="AB17314" s="38"/>
    </row>
    <row r="17315">
      <c r="P17315" s="42"/>
      <c r="AB17315" s="38"/>
    </row>
    <row r="17316">
      <c r="P17316" s="42"/>
      <c r="AB17316" s="38"/>
    </row>
    <row r="17317">
      <c r="P17317" s="42"/>
      <c r="AB17317" s="38"/>
    </row>
    <row r="17318">
      <c r="P17318" s="42"/>
      <c r="AB17318" s="38"/>
    </row>
    <row r="17319">
      <c r="P17319" s="42"/>
      <c r="AB17319" s="38"/>
    </row>
    <row r="17320">
      <c r="P17320" s="42"/>
      <c r="AB17320" s="38"/>
    </row>
    <row r="17321">
      <c r="P17321" s="42"/>
      <c r="AB17321" s="38"/>
    </row>
    <row r="17322">
      <c r="P17322" s="42"/>
      <c r="AB17322" s="38"/>
    </row>
    <row r="17323">
      <c r="P17323" s="42"/>
      <c r="AB17323" s="38"/>
    </row>
    <row r="17324">
      <c r="P17324" s="42"/>
      <c r="AB17324" s="38"/>
    </row>
    <row r="17325">
      <c r="P17325" s="42"/>
      <c r="AB17325" s="38"/>
    </row>
    <row r="17326">
      <c r="P17326" s="42"/>
      <c r="AB17326" s="38"/>
    </row>
    <row r="17327">
      <c r="P17327" s="42"/>
      <c r="AB17327" s="38"/>
    </row>
    <row r="17328">
      <c r="P17328" s="42"/>
      <c r="AB17328" s="38"/>
    </row>
    <row r="17329">
      <c r="P17329" s="42"/>
      <c r="AB17329" s="38"/>
    </row>
    <row r="17330">
      <c r="P17330" s="42"/>
      <c r="AB17330" s="38"/>
    </row>
    <row r="17331">
      <c r="P17331" s="42"/>
      <c r="AB17331" s="38"/>
    </row>
    <row r="17332">
      <c r="P17332" s="42"/>
      <c r="AB17332" s="38"/>
    </row>
    <row r="17333">
      <c r="P17333" s="42"/>
      <c r="AB17333" s="38"/>
    </row>
    <row r="17334">
      <c r="P17334" s="42"/>
      <c r="AB17334" s="38"/>
    </row>
    <row r="17335">
      <c r="P17335" s="42"/>
      <c r="AB17335" s="38"/>
    </row>
    <row r="17336">
      <c r="P17336" s="42"/>
      <c r="AB17336" s="38"/>
    </row>
    <row r="17337">
      <c r="P17337" s="42"/>
      <c r="AB17337" s="38"/>
    </row>
    <row r="17338">
      <c r="P17338" s="42"/>
      <c r="AB17338" s="38"/>
    </row>
    <row r="17339">
      <c r="P17339" s="42"/>
      <c r="AB17339" s="38"/>
    </row>
    <row r="17340">
      <c r="P17340" s="42"/>
      <c r="AB17340" s="38"/>
    </row>
    <row r="17341">
      <c r="P17341" s="42"/>
      <c r="AB17341" s="38"/>
    </row>
    <row r="17342">
      <c r="P17342" s="42"/>
      <c r="AB17342" s="38"/>
    </row>
    <row r="17343">
      <c r="P17343" s="42"/>
      <c r="AB17343" s="38"/>
    </row>
    <row r="17344">
      <c r="P17344" s="42"/>
      <c r="AB17344" s="38"/>
    </row>
    <row r="17345">
      <c r="P17345" s="42"/>
      <c r="AB17345" s="38"/>
    </row>
    <row r="17346">
      <c r="P17346" s="42"/>
      <c r="AB17346" s="38"/>
    </row>
    <row r="17347">
      <c r="P17347" s="42"/>
      <c r="AB17347" s="38"/>
    </row>
    <row r="17348">
      <c r="P17348" s="42"/>
      <c r="AB17348" s="38"/>
    </row>
    <row r="17349">
      <c r="P17349" s="42"/>
      <c r="AB17349" s="38"/>
    </row>
    <row r="17350">
      <c r="P17350" s="42"/>
      <c r="AB17350" s="38"/>
    </row>
    <row r="17351">
      <c r="P17351" s="42"/>
      <c r="AB17351" s="38"/>
    </row>
    <row r="17352">
      <c r="P17352" s="42"/>
      <c r="AB17352" s="38"/>
    </row>
    <row r="17353">
      <c r="P17353" s="42"/>
      <c r="AB17353" s="38"/>
    </row>
    <row r="17354">
      <c r="P17354" s="42"/>
      <c r="AB17354" s="38"/>
    </row>
    <row r="17355">
      <c r="P17355" s="42"/>
      <c r="AB17355" s="38"/>
    </row>
    <row r="17356">
      <c r="P17356" s="42"/>
      <c r="AB17356" s="38"/>
    </row>
    <row r="17357">
      <c r="P17357" s="42"/>
      <c r="AB17357" s="38"/>
    </row>
    <row r="17358">
      <c r="P17358" s="42"/>
      <c r="AB17358" s="38"/>
    </row>
    <row r="17359">
      <c r="P17359" s="42"/>
      <c r="AB17359" s="38"/>
    </row>
    <row r="17360">
      <c r="P17360" s="42"/>
      <c r="AB17360" s="38"/>
    </row>
    <row r="17361">
      <c r="P17361" s="42"/>
      <c r="AB17361" s="38"/>
    </row>
    <row r="17362">
      <c r="P17362" s="42"/>
      <c r="AB17362" s="38"/>
    </row>
    <row r="17363">
      <c r="P17363" s="42"/>
      <c r="AB17363" s="38"/>
    </row>
    <row r="17364">
      <c r="P17364" s="42"/>
      <c r="AB17364" s="38"/>
    </row>
    <row r="17365">
      <c r="P17365" s="42"/>
      <c r="AB17365" s="38"/>
    </row>
    <row r="17366">
      <c r="P17366" s="42"/>
      <c r="AB17366" s="38"/>
    </row>
    <row r="17367">
      <c r="P17367" s="42"/>
      <c r="AB17367" s="38"/>
    </row>
    <row r="17368">
      <c r="P17368" s="42"/>
      <c r="AB17368" s="38"/>
    </row>
    <row r="17369">
      <c r="P17369" s="42"/>
      <c r="AB17369" s="38"/>
    </row>
    <row r="17370">
      <c r="P17370" s="42"/>
      <c r="AB17370" s="38"/>
    </row>
    <row r="17371">
      <c r="P17371" s="42"/>
      <c r="AB17371" s="38"/>
    </row>
    <row r="17372">
      <c r="P17372" s="42"/>
      <c r="AB17372" s="38"/>
    </row>
    <row r="17373">
      <c r="P17373" s="42"/>
      <c r="AB17373" s="38"/>
    </row>
    <row r="17374">
      <c r="P17374" s="42"/>
      <c r="AB17374" s="38"/>
    </row>
    <row r="17375">
      <c r="P17375" s="42"/>
      <c r="AB17375" s="38"/>
    </row>
    <row r="17376">
      <c r="P17376" s="42"/>
      <c r="AB17376" s="38"/>
    </row>
    <row r="17377">
      <c r="P17377" s="42"/>
      <c r="AB17377" s="38"/>
    </row>
    <row r="17378">
      <c r="P17378" s="42"/>
      <c r="AB17378" s="38"/>
    </row>
    <row r="17379">
      <c r="P17379" s="42"/>
      <c r="AB17379" s="38"/>
    </row>
    <row r="17380">
      <c r="P17380" s="42"/>
      <c r="AB17380" s="38"/>
    </row>
    <row r="17381">
      <c r="P17381" s="42"/>
      <c r="AB17381" s="38"/>
    </row>
    <row r="17382">
      <c r="P17382" s="42"/>
      <c r="AB17382" s="38"/>
    </row>
    <row r="17383">
      <c r="P17383" s="42"/>
      <c r="AB17383" s="38"/>
    </row>
    <row r="17384">
      <c r="P17384" s="42"/>
      <c r="AB17384" s="38"/>
    </row>
    <row r="17385">
      <c r="P17385" s="42"/>
      <c r="AB17385" s="38"/>
    </row>
    <row r="17386">
      <c r="P17386" s="42"/>
      <c r="AB17386" s="38"/>
    </row>
    <row r="17387">
      <c r="P17387" s="42"/>
      <c r="AB17387" s="38"/>
    </row>
    <row r="17388">
      <c r="P17388" s="42"/>
      <c r="AB17388" s="38"/>
    </row>
    <row r="17389">
      <c r="P17389" s="42"/>
      <c r="AB17389" s="38"/>
    </row>
    <row r="17390">
      <c r="P17390" s="42"/>
      <c r="AB17390" s="38"/>
    </row>
    <row r="17391">
      <c r="P17391" s="42"/>
      <c r="AB17391" s="38"/>
    </row>
    <row r="17392">
      <c r="P17392" s="42"/>
      <c r="AB17392" s="38"/>
    </row>
    <row r="17393">
      <c r="P17393" s="42"/>
      <c r="AB17393" s="38"/>
    </row>
    <row r="17394">
      <c r="P17394" s="42"/>
      <c r="AB17394" s="38"/>
    </row>
    <row r="17395">
      <c r="P17395" s="42"/>
      <c r="AB17395" s="38"/>
    </row>
    <row r="17396">
      <c r="P17396" s="42"/>
      <c r="AB17396" s="38"/>
    </row>
    <row r="17397">
      <c r="P17397" s="42"/>
      <c r="AB17397" s="38"/>
    </row>
    <row r="17398">
      <c r="P17398" s="42"/>
      <c r="AB17398" s="38"/>
    </row>
    <row r="17399">
      <c r="P17399" s="42"/>
      <c r="AB17399" s="38"/>
    </row>
    <row r="17400">
      <c r="P17400" s="42"/>
      <c r="AB17400" s="38"/>
    </row>
    <row r="17401">
      <c r="P17401" s="42"/>
      <c r="AB17401" s="38"/>
    </row>
    <row r="17402">
      <c r="P17402" s="42"/>
      <c r="AB17402" s="38"/>
    </row>
    <row r="17403">
      <c r="P17403" s="42"/>
      <c r="AB17403" s="38"/>
    </row>
    <row r="17404">
      <c r="P17404" s="42"/>
      <c r="AB17404" s="38"/>
    </row>
    <row r="17405">
      <c r="P17405" s="42"/>
      <c r="AB17405" s="38"/>
    </row>
    <row r="17406">
      <c r="P17406" s="42"/>
      <c r="AB17406" s="38"/>
    </row>
    <row r="17407">
      <c r="P17407" s="42"/>
      <c r="AB17407" s="38"/>
    </row>
    <row r="17408">
      <c r="P17408" s="42"/>
      <c r="AB17408" s="38"/>
    </row>
    <row r="17409">
      <c r="P17409" s="42"/>
      <c r="AB17409" s="38"/>
    </row>
    <row r="17410">
      <c r="P17410" s="42"/>
      <c r="AB17410" s="38"/>
    </row>
    <row r="17411">
      <c r="P17411" s="42"/>
      <c r="AB17411" s="38"/>
    </row>
    <row r="17412">
      <c r="P17412" s="42"/>
      <c r="AB17412" s="38"/>
    </row>
    <row r="17413">
      <c r="P17413" s="42"/>
      <c r="AB17413" s="38"/>
    </row>
    <row r="17414">
      <c r="P17414" s="42"/>
      <c r="AB17414" s="38"/>
    </row>
    <row r="17415">
      <c r="P17415" s="42"/>
      <c r="AB17415" s="38"/>
    </row>
    <row r="17416">
      <c r="P17416" s="42"/>
      <c r="AB17416" s="38"/>
    </row>
    <row r="17417">
      <c r="P17417" s="42"/>
      <c r="AB17417" s="38"/>
    </row>
    <row r="17418">
      <c r="P17418" s="42"/>
      <c r="AB17418" s="38"/>
    </row>
    <row r="17419">
      <c r="P17419" s="42"/>
      <c r="AB17419" s="38"/>
    </row>
    <row r="17420">
      <c r="P17420" s="42"/>
      <c r="AB17420" s="38"/>
    </row>
    <row r="17421">
      <c r="P17421" s="42"/>
      <c r="AB17421" s="38"/>
    </row>
    <row r="17422">
      <c r="P17422" s="42"/>
      <c r="AB17422" s="38"/>
    </row>
    <row r="17423">
      <c r="P17423" s="42"/>
      <c r="AB17423" s="38"/>
    </row>
    <row r="17424">
      <c r="P17424" s="42"/>
      <c r="AB17424" s="38"/>
    </row>
    <row r="17425">
      <c r="P17425" s="42"/>
      <c r="AB17425" s="38"/>
    </row>
    <row r="17426">
      <c r="P17426" s="42"/>
      <c r="AB17426" s="38"/>
    </row>
    <row r="17427">
      <c r="P17427" s="42"/>
      <c r="AB17427" s="38"/>
    </row>
    <row r="17428">
      <c r="P17428" s="42"/>
      <c r="AB17428" s="38"/>
    </row>
    <row r="17429">
      <c r="P17429" s="42"/>
      <c r="AB17429" s="38"/>
    </row>
    <row r="17430">
      <c r="P17430" s="42"/>
      <c r="AB17430" s="38"/>
    </row>
    <row r="17431">
      <c r="P17431" s="42"/>
      <c r="AB17431" s="38"/>
    </row>
    <row r="17432">
      <c r="P17432" s="42"/>
      <c r="AB17432" s="38"/>
    </row>
    <row r="17433">
      <c r="P17433" s="42"/>
      <c r="AB17433" s="38"/>
    </row>
    <row r="17434">
      <c r="P17434" s="42"/>
      <c r="AB17434" s="38"/>
    </row>
    <row r="17435">
      <c r="P17435" s="42"/>
      <c r="AB17435" s="38"/>
    </row>
    <row r="17436">
      <c r="P17436" s="42"/>
      <c r="AB17436" s="38"/>
    </row>
    <row r="17437">
      <c r="P17437" s="42"/>
      <c r="AB17437" s="38"/>
    </row>
    <row r="17438">
      <c r="P17438" s="42"/>
      <c r="AB17438" s="38"/>
    </row>
    <row r="17439">
      <c r="P17439" s="42"/>
      <c r="AB17439" s="38"/>
    </row>
    <row r="17440">
      <c r="P17440" s="42"/>
      <c r="AB17440" s="38"/>
    </row>
    <row r="17441">
      <c r="P17441" s="42"/>
      <c r="AB17441" s="38"/>
    </row>
    <row r="17442">
      <c r="P17442" s="42"/>
      <c r="AB17442" s="38"/>
    </row>
    <row r="17443">
      <c r="P17443" s="42"/>
      <c r="AB17443" s="38"/>
    </row>
    <row r="17444">
      <c r="P17444" s="42"/>
      <c r="AB17444" s="38"/>
    </row>
    <row r="17445">
      <c r="P17445" s="42"/>
      <c r="AB17445" s="38"/>
    </row>
    <row r="17446">
      <c r="P17446" s="42"/>
      <c r="AB17446" s="38"/>
    </row>
    <row r="17447">
      <c r="P17447" s="42"/>
      <c r="AB17447" s="38"/>
    </row>
    <row r="17448">
      <c r="P17448" s="42"/>
      <c r="AB17448" s="38"/>
    </row>
    <row r="17449">
      <c r="P17449" s="42"/>
      <c r="AB17449" s="38"/>
    </row>
    <row r="17450">
      <c r="P17450" s="42"/>
      <c r="AB17450" s="38"/>
    </row>
    <row r="17451">
      <c r="P17451" s="42"/>
      <c r="AB17451" s="38"/>
    </row>
    <row r="17452">
      <c r="P17452" s="42"/>
      <c r="AB17452" s="38"/>
    </row>
    <row r="17453">
      <c r="P17453" s="42"/>
      <c r="AB17453" s="38"/>
    </row>
    <row r="17454">
      <c r="P17454" s="42"/>
      <c r="AB17454" s="38"/>
    </row>
    <row r="17455">
      <c r="P17455" s="42"/>
      <c r="AB17455" s="38"/>
    </row>
    <row r="17456">
      <c r="P17456" s="42"/>
      <c r="AB17456" s="38"/>
    </row>
    <row r="17457">
      <c r="P17457" s="42"/>
      <c r="AB17457" s="38"/>
    </row>
    <row r="17458">
      <c r="P17458" s="42"/>
      <c r="AB17458" s="38"/>
    </row>
    <row r="17459">
      <c r="P17459" s="42"/>
      <c r="AB17459" s="38"/>
    </row>
    <row r="17460">
      <c r="P17460" s="42"/>
      <c r="AB17460" s="38"/>
    </row>
    <row r="17461">
      <c r="P17461" s="42"/>
      <c r="AB17461" s="38"/>
    </row>
    <row r="17462">
      <c r="P17462" s="42"/>
      <c r="AB17462" s="38"/>
    </row>
    <row r="17463">
      <c r="P17463" s="42"/>
      <c r="AB17463" s="38"/>
    </row>
    <row r="17464">
      <c r="P17464" s="42"/>
      <c r="AB17464" s="38"/>
    </row>
    <row r="17465">
      <c r="P17465" s="42"/>
      <c r="AB17465" s="38"/>
    </row>
    <row r="17466">
      <c r="P17466" s="42"/>
      <c r="AB17466" s="38"/>
    </row>
    <row r="17467">
      <c r="P17467" s="42"/>
      <c r="AB17467" s="38"/>
    </row>
    <row r="17468">
      <c r="P17468" s="42"/>
      <c r="AB17468" s="38"/>
    </row>
    <row r="17469">
      <c r="P17469" s="42"/>
      <c r="AB17469" s="38"/>
    </row>
    <row r="17470">
      <c r="P17470" s="42"/>
      <c r="AB17470" s="38"/>
    </row>
    <row r="17471">
      <c r="P17471" s="42"/>
      <c r="AB17471" s="38"/>
    </row>
    <row r="17472">
      <c r="P17472" s="42"/>
      <c r="AB17472" s="38"/>
    </row>
    <row r="17473">
      <c r="P17473" s="42"/>
      <c r="AB17473" s="38"/>
    </row>
    <row r="17474">
      <c r="P17474" s="42"/>
      <c r="AB17474" s="38"/>
    </row>
    <row r="17475">
      <c r="P17475" s="42"/>
      <c r="AB17475" s="38"/>
    </row>
    <row r="17476">
      <c r="P17476" s="42"/>
      <c r="AB17476" s="38"/>
    </row>
    <row r="17477">
      <c r="P17477" s="42"/>
      <c r="AB17477" s="38"/>
    </row>
    <row r="17478">
      <c r="P17478" s="42"/>
      <c r="AB17478" s="38"/>
    </row>
    <row r="17479">
      <c r="P17479" s="42"/>
      <c r="AB17479" s="38"/>
    </row>
    <row r="17480">
      <c r="P17480" s="42"/>
      <c r="AB17480" s="38"/>
    </row>
    <row r="17481">
      <c r="P17481" s="42"/>
      <c r="AB17481" s="38"/>
    </row>
    <row r="17482">
      <c r="P17482" s="42"/>
      <c r="AB17482" s="38"/>
    </row>
    <row r="17483">
      <c r="P17483" s="42"/>
      <c r="AB17483" s="38"/>
    </row>
    <row r="17484">
      <c r="P17484" s="42"/>
      <c r="AB17484" s="38"/>
    </row>
    <row r="17485">
      <c r="P17485" s="42"/>
      <c r="AB17485" s="38"/>
    </row>
    <row r="17486">
      <c r="P17486" s="42"/>
      <c r="AB17486" s="38"/>
    </row>
    <row r="17487">
      <c r="P17487" s="42"/>
      <c r="AB17487" s="38"/>
    </row>
    <row r="17488">
      <c r="P17488" s="42"/>
      <c r="AB17488" s="38"/>
    </row>
    <row r="17489">
      <c r="P17489" s="42"/>
      <c r="AB17489" s="38"/>
    </row>
    <row r="17490">
      <c r="P17490" s="42"/>
      <c r="AB17490" s="38"/>
    </row>
    <row r="17491">
      <c r="P17491" s="42"/>
      <c r="AB17491" s="38"/>
    </row>
    <row r="17492">
      <c r="P17492" s="42"/>
      <c r="AB17492" s="38"/>
    </row>
    <row r="17493">
      <c r="P17493" s="42"/>
      <c r="AB17493" s="38"/>
    </row>
    <row r="17494">
      <c r="P17494" s="42"/>
      <c r="AB17494" s="38"/>
    </row>
    <row r="17495">
      <c r="P17495" s="42"/>
      <c r="AB17495" s="38"/>
    </row>
    <row r="17496">
      <c r="P17496" s="42"/>
      <c r="AB17496" s="38"/>
    </row>
    <row r="17497">
      <c r="P17497" s="42"/>
      <c r="AB17497" s="38"/>
    </row>
    <row r="17498">
      <c r="P17498" s="42"/>
      <c r="AB17498" s="38"/>
    </row>
    <row r="17499">
      <c r="P17499" s="42"/>
      <c r="AB17499" s="38"/>
    </row>
    <row r="17500">
      <c r="P17500" s="42"/>
      <c r="AB17500" s="38"/>
    </row>
    <row r="17501">
      <c r="P17501" s="42"/>
      <c r="AB17501" s="38"/>
    </row>
    <row r="17502">
      <c r="P17502" s="42"/>
      <c r="AB17502" s="38"/>
    </row>
    <row r="17503">
      <c r="P17503" s="42"/>
      <c r="AB17503" s="38"/>
    </row>
    <row r="17504">
      <c r="P17504" s="42"/>
      <c r="AB17504" s="38"/>
    </row>
    <row r="17505">
      <c r="P17505" s="42"/>
      <c r="AB17505" s="38"/>
    </row>
    <row r="17506">
      <c r="P17506" s="42"/>
      <c r="AB17506" s="38"/>
    </row>
    <row r="17507">
      <c r="P17507" s="42"/>
      <c r="AB17507" s="38"/>
    </row>
    <row r="17508">
      <c r="P17508" s="42"/>
      <c r="AB17508" s="38"/>
    </row>
    <row r="17509">
      <c r="P17509" s="42"/>
      <c r="AB17509" s="38"/>
    </row>
    <row r="17510">
      <c r="P17510" s="42"/>
      <c r="AB17510" s="38"/>
    </row>
    <row r="17511">
      <c r="P17511" s="42"/>
      <c r="AB17511" s="38"/>
    </row>
    <row r="17512">
      <c r="P17512" s="42"/>
      <c r="AB17512" s="38"/>
    </row>
    <row r="17513">
      <c r="P17513" s="42"/>
      <c r="AB17513" s="38"/>
    </row>
    <row r="17514">
      <c r="P17514" s="42"/>
      <c r="AB17514" s="38"/>
    </row>
    <row r="17515">
      <c r="P17515" s="42"/>
      <c r="AB17515" s="38"/>
    </row>
    <row r="17516">
      <c r="P17516" s="42"/>
      <c r="AB17516" s="38"/>
    </row>
    <row r="17517">
      <c r="P17517" s="42"/>
      <c r="AB17517" s="38"/>
    </row>
    <row r="17518">
      <c r="P17518" s="42"/>
      <c r="AB17518" s="38"/>
    </row>
    <row r="17519">
      <c r="P17519" s="42"/>
      <c r="AB17519" s="38"/>
    </row>
    <row r="17520">
      <c r="P17520" s="42"/>
      <c r="AB17520" s="38"/>
    </row>
    <row r="17521">
      <c r="P17521" s="42"/>
      <c r="AB17521" s="38"/>
    </row>
    <row r="17522">
      <c r="P17522" s="42"/>
      <c r="AB17522" s="38"/>
    </row>
    <row r="17523">
      <c r="P17523" s="42"/>
      <c r="AB17523" s="38"/>
    </row>
    <row r="17524">
      <c r="P17524" s="42"/>
      <c r="AB17524" s="38"/>
    </row>
    <row r="17525">
      <c r="P17525" s="42"/>
      <c r="AB17525" s="38"/>
    </row>
    <row r="17526">
      <c r="P17526" s="42"/>
      <c r="AB17526" s="38"/>
    </row>
    <row r="17527">
      <c r="P17527" s="42"/>
      <c r="AB17527" s="38"/>
    </row>
    <row r="17528">
      <c r="P17528" s="42"/>
      <c r="AB17528" s="38"/>
    </row>
    <row r="17529">
      <c r="P17529" s="42"/>
      <c r="AB17529" s="38"/>
    </row>
    <row r="17530">
      <c r="P17530" s="42"/>
      <c r="AB17530" s="38"/>
    </row>
    <row r="17531">
      <c r="P17531" s="42"/>
      <c r="AB17531" s="38"/>
    </row>
    <row r="17532">
      <c r="P17532" s="42"/>
      <c r="AB17532" s="38"/>
    </row>
    <row r="17533">
      <c r="P17533" s="42"/>
      <c r="AB17533" s="38"/>
    </row>
    <row r="17534">
      <c r="P17534" s="42"/>
      <c r="AB17534" s="38"/>
    </row>
    <row r="17535">
      <c r="P17535" s="42"/>
      <c r="AB17535" s="38"/>
    </row>
    <row r="17536">
      <c r="P17536" s="42"/>
      <c r="AB17536" s="38"/>
    </row>
    <row r="17537">
      <c r="P17537" s="42"/>
      <c r="AB17537" s="38"/>
    </row>
    <row r="17538">
      <c r="P17538" s="42"/>
      <c r="AB17538" s="38"/>
    </row>
    <row r="17539">
      <c r="P17539" s="42"/>
      <c r="AB17539" s="38"/>
    </row>
    <row r="17540">
      <c r="P17540" s="42"/>
      <c r="AB17540" s="38"/>
    </row>
    <row r="17541">
      <c r="P17541" s="42"/>
      <c r="AB17541" s="38"/>
    </row>
    <row r="17542">
      <c r="P17542" s="42"/>
      <c r="AB17542" s="38"/>
    </row>
    <row r="17543">
      <c r="P17543" s="42"/>
      <c r="AB17543" s="38"/>
    </row>
    <row r="17544">
      <c r="P17544" s="42"/>
      <c r="AB17544" s="38"/>
    </row>
    <row r="17545">
      <c r="P17545" s="42"/>
      <c r="AB17545" s="38"/>
    </row>
    <row r="17546">
      <c r="P17546" s="42"/>
      <c r="AB17546" s="38"/>
    </row>
    <row r="17547">
      <c r="P17547" s="42"/>
      <c r="AB17547" s="38"/>
    </row>
    <row r="17548">
      <c r="P17548" s="42"/>
      <c r="AB17548" s="38"/>
    </row>
    <row r="17549">
      <c r="P17549" s="42"/>
      <c r="AB17549" s="38"/>
    </row>
    <row r="17550">
      <c r="P17550" s="42"/>
      <c r="AB17550" s="38"/>
    </row>
    <row r="17551">
      <c r="P17551" s="42"/>
      <c r="AB17551" s="38"/>
    </row>
    <row r="17552">
      <c r="P17552" s="42"/>
      <c r="AB17552" s="38"/>
    </row>
    <row r="17553">
      <c r="P17553" s="42"/>
      <c r="AB17553" s="38"/>
    </row>
    <row r="17554">
      <c r="P17554" s="42"/>
      <c r="AB17554" s="38"/>
    </row>
    <row r="17555">
      <c r="P17555" s="42"/>
      <c r="AB17555" s="38"/>
    </row>
    <row r="17556">
      <c r="P17556" s="42"/>
      <c r="AB17556" s="38"/>
    </row>
    <row r="17557">
      <c r="P17557" s="42"/>
      <c r="AB17557" s="38"/>
    </row>
    <row r="17558">
      <c r="P17558" s="42"/>
      <c r="AB17558" s="38"/>
    </row>
    <row r="17559">
      <c r="P17559" s="42"/>
      <c r="AB17559" s="38"/>
    </row>
    <row r="17560">
      <c r="P17560" s="42"/>
      <c r="AB17560" s="38"/>
    </row>
    <row r="17561">
      <c r="P17561" s="42"/>
      <c r="AB17561" s="38"/>
    </row>
    <row r="17562">
      <c r="P17562" s="42"/>
      <c r="AB17562" s="38"/>
    </row>
    <row r="17563">
      <c r="P17563" s="42"/>
      <c r="AB17563" s="38"/>
    </row>
    <row r="17564">
      <c r="P17564" s="42"/>
      <c r="AB17564" s="38"/>
    </row>
    <row r="17565">
      <c r="P17565" s="42"/>
      <c r="AB17565" s="38"/>
    </row>
    <row r="17566">
      <c r="P17566" s="42"/>
      <c r="AB17566" s="38"/>
    </row>
    <row r="17567">
      <c r="P17567" s="42"/>
      <c r="AB17567" s="38"/>
    </row>
    <row r="17568">
      <c r="P17568" s="42"/>
      <c r="AB17568" s="38"/>
    </row>
    <row r="17569">
      <c r="P17569" s="42"/>
      <c r="AB17569" s="38"/>
    </row>
    <row r="17570">
      <c r="P17570" s="42"/>
      <c r="AB17570" s="38"/>
    </row>
    <row r="17571">
      <c r="P17571" s="42"/>
      <c r="AB17571" s="38"/>
    </row>
    <row r="17572">
      <c r="P17572" s="42"/>
      <c r="AB17572" s="38"/>
    </row>
    <row r="17573">
      <c r="P17573" s="42"/>
      <c r="AB17573" s="38"/>
    </row>
    <row r="17574">
      <c r="P17574" s="42"/>
      <c r="AB17574" s="38"/>
    </row>
    <row r="17575">
      <c r="P17575" s="42"/>
      <c r="AB17575" s="38"/>
    </row>
    <row r="17576">
      <c r="P17576" s="42"/>
      <c r="AB17576" s="38"/>
    </row>
    <row r="17577">
      <c r="P17577" s="42"/>
      <c r="AB17577" s="38"/>
    </row>
    <row r="17578">
      <c r="P17578" s="42"/>
      <c r="AB17578" s="38"/>
    </row>
    <row r="17579">
      <c r="P17579" s="42"/>
      <c r="AB17579" s="38"/>
    </row>
    <row r="17580">
      <c r="P17580" s="42"/>
      <c r="AB17580" s="38"/>
    </row>
    <row r="17581">
      <c r="P17581" s="42"/>
      <c r="AB17581" s="38"/>
    </row>
    <row r="17582">
      <c r="P17582" s="42"/>
      <c r="AB17582" s="38"/>
    </row>
    <row r="17583">
      <c r="P17583" s="42"/>
      <c r="AB17583" s="38"/>
    </row>
    <row r="17584">
      <c r="P17584" s="42"/>
      <c r="AB17584" s="38"/>
    </row>
    <row r="17585">
      <c r="P17585" s="42"/>
      <c r="AB17585" s="38"/>
    </row>
    <row r="17586">
      <c r="P17586" s="42"/>
      <c r="AB17586" s="38"/>
    </row>
    <row r="17587">
      <c r="P17587" s="42"/>
      <c r="AB17587" s="38"/>
    </row>
    <row r="17588">
      <c r="P17588" s="42"/>
      <c r="AB17588" s="38"/>
    </row>
    <row r="17589">
      <c r="P17589" s="42"/>
      <c r="AB17589" s="38"/>
    </row>
    <row r="17590">
      <c r="P17590" s="42"/>
      <c r="AB17590" s="38"/>
    </row>
    <row r="17591">
      <c r="P17591" s="42"/>
      <c r="AB17591" s="38"/>
    </row>
    <row r="17592">
      <c r="P17592" s="42"/>
      <c r="AB17592" s="38"/>
    </row>
    <row r="17593">
      <c r="P17593" s="42"/>
      <c r="AB17593" s="38"/>
    </row>
    <row r="17594">
      <c r="P17594" s="42"/>
      <c r="AB17594" s="38"/>
    </row>
    <row r="17595">
      <c r="P17595" s="42"/>
      <c r="AB17595" s="38"/>
    </row>
    <row r="17596">
      <c r="P17596" s="42"/>
      <c r="AB17596" s="38"/>
    </row>
    <row r="17597">
      <c r="P17597" s="42"/>
      <c r="AB17597" s="38"/>
    </row>
    <row r="17598">
      <c r="P17598" s="42"/>
      <c r="AB17598" s="38"/>
    </row>
    <row r="17599">
      <c r="P17599" s="42"/>
      <c r="AB17599" s="38"/>
    </row>
    <row r="17600">
      <c r="P17600" s="42"/>
      <c r="AB17600" s="38"/>
    </row>
    <row r="17601">
      <c r="P17601" s="42"/>
      <c r="AB17601" s="38"/>
    </row>
    <row r="17602">
      <c r="P17602" s="42"/>
      <c r="AB17602" s="38"/>
    </row>
    <row r="17603">
      <c r="P17603" s="42"/>
      <c r="AB17603" s="38"/>
    </row>
    <row r="17604">
      <c r="P17604" s="42"/>
      <c r="AB17604" s="38"/>
    </row>
    <row r="17605">
      <c r="P17605" s="42"/>
      <c r="AB17605" s="38"/>
    </row>
    <row r="17606">
      <c r="P17606" s="42"/>
      <c r="AB17606" s="38"/>
    </row>
    <row r="17607">
      <c r="P17607" s="42"/>
      <c r="AB17607" s="38"/>
    </row>
    <row r="17608">
      <c r="P17608" s="42"/>
      <c r="AB17608" s="38"/>
    </row>
    <row r="17609">
      <c r="P17609" s="42"/>
      <c r="AB17609" s="38"/>
    </row>
    <row r="17610">
      <c r="P17610" s="42"/>
      <c r="AB17610" s="38"/>
    </row>
    <row r="17611">
      <c r="P17611" s="42"/>
      <c r="AB17611" s="38"/>
    </row>
    <row r="17612">
      <c r="P17612" s="42"/>
      <c r="AB17612" s="38"/>
    </row>
    <row r="17613">
      <c r="P17613" s="42"/>
      <c r="AB17613" s="38"/>
    </row>
    <row r="17614">
      <c r="P17614" s="42"/>
      <c r="AB17614" s="38"/>
    </row>
    <row r="17615">
      <c r="P17615" s="42"/>
      <c r="AB17615" s="38"/>
    </row>
    <row r="17616">
      <c r="P17616" s="42"/>
      <c r="AB17616" s="38"/>
    </row>
    <row r="17617">
      <c r="P17617" s="42"/>
      <c r="AB17617" s="38"/>
    </row>
    <row r="17618">
      <c r="P17618" s="42"/>
      <c r="AB17618" s="38"/>
    </row>
    <row r="17619">
      <c r="P17619" s="42"/>
      <c r="AB17619" s="38"/>
    </row>
    <row r="17620">
      <c r="P17620" s="42"/>
      <c r="AB17620" s="38"/>
    </row>
    <row r="17621">
      <c r="P17621" s="42"/>
      <c r="AB17621" s="38"/>
    </row>
    <row r="17622">
      <c r="P17622" s="42"/>
      <c r="AB17622" s="38"/>
    </row>
    <row r="17623">
      <c r="P17623" s="42"/>
      <c r="AB17623" s="38"/>
    </row>
    <row r="17624">
      <c r="P17624" s="42"/>
      <c r="AB17624" s="38"/>
    </row>
    <row r="17625">
      <c r="P17625" s="42"/>
      <c r="AB17625" s="38"/>
    </row>
    <row r="17626">
      <c r="P17626" s="42"/>
      <c r="AB17626" s="38"/>
    </row>
    <row r="17627">
      <c r="P17627" s="42"/>
      <c r="AB17627" s="38"/>
    </row>
    <row r="17628">
      <c r="P17628" s="42"/>
      <c r="AB17628" s="38"/>
    </row>
    <row r="17629">
      <c r="P17629" s="42"/>
      <c r="AB17629" s="38"/>
    </row>
    <row r="17630">
      <c r="P17630" s="42"/>
      <c r="AB17630" s="38"/>
    </row>
    <row r="17631">
      <c r="P17631" s="42"/>
      <c r="AB17631" s="38"/>
    </row>
    <row r="17632">
      <c r="P17632" s="42"/>
      <c r="AB17632" s="38"/>
    </row>
    <row r="17633">
      <c r="P17633" s="42"/>
      <c r="AB17633" s="38"/>
    </row>
    <row r="17634">
      <c r="P17634" s="42"/>
      <c r="AB17634" s="38"/>
    </row>
    <row r="17635">
      <c r="P17635" s="42"/>
      <c r="AB17635" s="38"/>
    </row>
    <row r="17636">
      <c r="P17636" s="42"/>
      <c r="AB17636" s="38"/>
    </row>
    <row r="17637">
      <c r="P17637" s="42"/>
      <c r="AB17637" s="38"/>
    </row>
    <row r="17638">
      <c r="P17638" s="42"/>
      <c r="AB17638" s="38"/>
    </row>
    <row r="17639">
      <c r="P17639" s="42"/>
      <c r="AB17639" s="38"/>
    </row>
    <row r="17640">
      <c r="P17640" s="42"/>
      <c r="AB17640" s="38"/>
    </row>
    <row r="17641">
      <c r="P17641" s="42"/>
      <c r="AB17641" s="38"/>
    </row>
    <row r="17642">
      <c r="P17642" s="42"/>
      <c r="AB17642" s="38"/>
    </row>
    <row r="17643">
      <c r="P17643" s="42"/>
      <c r="AB17643" s="38"/>
    </row>
    <row r="17644">
      <c r="P17644" s="42"/>
      <c r="AB17644" s="38"/>
    </row>
    <row r="17645">
      <c r="P17645" s="42"/>
      <c r="AB17645" s="38"/>
    </row>
    <row r="17646">
      <c r="P17646" s="42"/>
      <c r="AB17646" s="38"/>
    </row>
    <row r="17647">
      <c r="P17647" s="42"/>
      <c r="AB17647" s="38"/>
    </row>
    <row r="17648">
      <c r="P17648" s="42"/>
      <c r="AB17648" s="38"/>
    </row>
    <row r="17649">
      <c r="P17649" s="42"/>
      <c r="AB17649" s="38"/>
    </row>
    <row r="17650">
      <c r="P17650" s="42"/>
      <c r="AB17650" s="38"/>
    </row>
    <row r="17651">
      <c r="P17651" s="42"/>
      <c r="AB17651" s="38"/>
    </row>
    <row r="17652">
      <c r="P17652" s="42"/>
      <c r="AB17652" s="38"/>
    </row>
    <row r="17653">
      <c r="P17653" s="42"/>
      <c r="AB17653" s="38"/>
    </row>
    <row r="17654">
      <c r="P17654" s="42"/>
      <c r="AB17654" s="38"/>
    </row>
    <row r="17655">
      <c r="P17655" s="42"/>
      <c r="AB17655" s="38"/>
    </row>
    <row r="17656">
      <c r="P17656" s="42"/>
      <c r="AB17656" s="38"/>
    </row>
    <row r="17657">
      <c r="P17657" s="42"/>
      <c r="AB17657" s="38"/>
    </row>
    <row r="17658">
      <c r="P17658" s="42"/>
      <c r="AB17658" s="38"/>
    </row>
    <row r="17659">
      <c r="P17659" s="42"/>
      <c r="AB17659" s="38"/>
    </row>
    <row r="17660">
      <c r="P17660" s="42"/>
      <c r="AB17660" s="38"/>
    </row>
    <row r="17661">
      <c r="P17661" s="42"/>
      <c r="AB17661" s="38"/>
    </row>
    <row r="17662">
      <c r="P17662" s="42"/>
      <c r="AB17662" s="38"/>
    </row>
    <row r="17663">
      <c r="P17663" s="42"/>
      <c r="AB17663" s="38"/>
    </row>
    <row r="17664">
      <c r="P17664" s="42"/>
      <c r="AB17664" s="38"/>
    </row>
    <row r="17665">
      <c r="P17665" s="42"/>
      <c r="AB17665" s="38"/>
    </row>
    <row r="17666">
      <c r="P17666" s="42"/>
      <c r="AB17666" s="38"/>
    </row>
    <row r="17667">
      <c r="P17667" s="42"/>
      <c r="AB17667" s="38"/>
    </row>
    <row r="17668">
      <c r="P17668" s="42"/>
      <c r="AB17668" s="38"/>
    </row>
    <row r="17669">
      <c r="P17669" s="42"/>
      <c r="AB17669" s="38"/>
    </row>
    <row r="17670">
      <c r="P17670" s="42"/>
      <c r="AB17670" s="38"/>
    </row>
    <row r="17671">
      <c r="P17671" s="42"/>
      <c r="AB17671" s="38"/>
    </row>
    <row r="17672">
      <c r="P17672" s="42"/>
      <c r="AB17672" s="38"/>
    </row>
    <row r="17673">
      <c r="P17673" s="42"/>
      <c r="AB17673" s="38"/>
    </row>
    <row r="17674">
      <c r="P17674" s="42"/>
      <c r="AB17674" s="38"/>
    </row>
    <row r="17675">
      <c r="P17675" s="42"/>
      <c r="AB17675" s="38"/>
    </row>
    <row r="17676">
      <c r="P17676" s="42"/>
      <c r="AB17676" s="38"/>
    </row>
    <row r="17677">
      <c r="P17677" s="42"/>
      <c r="AB17677" s="38"/>
    </row>
    <row r="17678">
      <c r="P17678" s="42"/>
      <c r="AB17678" s="38"/>
    </row>
    <row r="17679">
      <c r="P17679" s="42"/>
      <c r="AB17679" s="38"/>
    </row>
    <row r="17680">
      <c r="P17680" s="42"/>
      <c r="AB17680" s="38"/>
    </row>
    <row r="17681">
      <c r="P17681" s="42"/>
      <c r="AB17681" s="38"/>
    </row>
    <row r="17682">
      <c r="P17682" s="42"/>
      <c r="AB17682" s="38"/>
    </row>
    <row r="17683">
      <c r="P17683" s="42"/>
      <c r="AB17683" s="38"/>
    </row>
    <row r="17684">
      <c r="P17684" s="42"/>
      <c r="AB17684" s="38"/>
    </row>
    <row r="17685">
      <c r="P17685" s="42"/>
      <c r="AB17685" s="38"/>
    </row>
    <row r="17686">
      <c r="P17686" s="42"/>
      <c r="AB17686" s="38"/>
    </row>
    <row r="17687">
      <c r="P17687" s="42"/>
      <c r="AB17687" s="38"/>
    </row>
    <row r="17688">
      <c r="P17688" s="42"/>
      <c r="AB17688" s="38"/>
    </row>
    <row r="17689">
      <c r="P17689" s="42"/>
      <c r="AB17689" s="38"/>
    </row>
    <row r="17690">
      <c r="P17690" s="42"/>
      <c r="AB17690" s="38"/>
    </row>
    <row r="17691">
      <c r="P17691" s="42"/>
      <c r="AB17691" s="38"/>
    </row>
    <row r="17692">
      <c r="P17692" s="42"/>
      <c r="AB17692" s="38"/>
    </row>
    <row r="17693">
      <c r="P17693" s="42"/>
      <c r="AB17693" s="38"/>
    </row>
    <row r="17694">
      <c r="P17694" s="42"/>
      <c r="AB17694" s="38"/>
    </row>
    <row r="17695">
      <c r="P17695" s="42"/>
      <c r="AB17695" s="38"/>
    </row>
    <row r="17696">
      <c r="P17696" s="42"/>
      <c r="AB17696" s="38"/>
    </row>
    <row r="17697">
      <c r="P17697" s="42"/>
      <c r="AB17697" s="38"/>
    </row>
    <row r="17698">
      <c r="P17698" s="42"/>
      <c r="AB17698" s="38"/>
    </row>
    <row r="17699">
      <c r="P17699" s="42"/>
      <c r="AB17699" s="38"/>
    </row>
    <row r="17700">
      <c r="P17700" s="42"/>
      <c r="AB17700" s="38"/>
    </row>
    <row r="17701">
      <c r="P17701" s="42"/>
      <c r="AB17701" s="38"/>
    </row>
    <row r="17702">
      <c r="P17702" s="42"/>
      <c r="AB17702" s="38"/>
    </row>
    <row r="17703">
      <c r="P17703" s="42"/>
      <c r="AB17703" s="38"/>
    </row>
    <row r="17704">
      <c r="P17704" s="42"/>
      <c r="AB17704" s="38"/>
    </row>
    <row r="17705">
      <c r="P17705" s="42"/>
      <c r="AB17705" s="38"/>
    </row>
    <row r="17706">
      <c r="P17706" s="42"/>
      <c r="AB17706" s="38"/>
    </row>
    <row r="17707">
      <c r="P17707" s="42"/>
      <c r="AB17707" s="38"/>
    </row>
    <row r="17708">
      <c r="P17708" s="42"/>
      <c r="AB17708" s="38"/>
    </row>
    <row r="17709">
      <c r="P17709" s="42"/>
      <c r="AB17709" s="38"/>
    </row>
    <row r="17710">
      <c r="P17710" s="42"/>
      <c r="AB17710" s="38"/>
    </row>
    <row r="17711">
      <c r="P17711" s="42"/>
      <c r="AB17711" s="38"/>
    </row>
    <row r="17712">
      <c r="P17712" s="42"/>
      <c r="AB17712" s="38"/>
    </row>
    <row r="17713">
      <c r="P17713" s="42"/>
      <c r="AB17713" s="38"/>
    </row>
    <row r="17714">
      <c r="P17714" s="42"/>
      <c r="AB17714" s="38"/>
    </row>
    <row r="17715">
      <c r="P17715" s="42"/>
      <c r="AB17715" s="38"/>
    </row>
    <row r="17716">
      <c r="P17716" s="42"/>
      <c r="AB17716" s="38"/>
    </row>
    <row r="17717">
      <c r="P17717" s="42"/>
      <c r="AB17717" s="38"/>
    </row>
    <row r="17718">
      <c r="P17718" s="42"/>
      <c r="AB17718" s="38"/>
    </row>
    <row r="17719">
      <c r="P17719" s="42"/>
      <c r="AB17719" s="38"/>
    </row>
    <row r="17720">
      <c r="P17720" s="42"/>
      <c r="AB17720" s="38"/>
    </row>
    <row r="17721">
      <c r="P17721" s="42"/>
      <c r="AB17721" s="38"/>
    </row>
    <row r="17722">
      <c r="P17722" s="42"/>
      <c r="AB17722" s="38"/>
    </row>
    <row r="17723">
      <c r="P17723" s="42"/>
      <c r="AB17723" s="38"/>
    </row>
    <row r="17724">
      <c r="P17724" s="42"/>
      <c r="AB17724" s="38"/>
    </row>
    <row r="17725">
      <c r="P17725" s="42"/>
      <c r="AB17725" s="38"/>
    </row>
    <row r="17726">
      <c r="P17726" s="42"/>
      <c r="AB17726" s="38"/>
    </row>
    <row r="17727">
      <c r="P17727" s="42"/>
      <c r="AB17727" s="38"/>
    </row>
    <row r="17728">
      <c r="P17728" s="42"/>
      <c r="AB17728" s="38"/>
    </row>
    <row r="17729">
      <c r="P17729" s="42"/>
      <c r="AB17729" s="38"/>
    </row>
    <row r="17730">
      <c r="P17730" s="42"/>
      <c r="AB17730" s="38"/>
    </row>
    <row r="17731">
      <c r="P17731" s="42"/>
      <c r="AB17731" s="38"/>
    </row>
    <row r="17732">
      <c r="P17732" s="42"/>
      <c r="AB17732" s="38"/>
    </row>
    <row r="17733">
      <c r="P17733" s="42"/>
      <c r="AB17733" s="38"/>
    </row>
    <row r="17734">
      <c r="P17734" s="42"/>
      <c r="AB17734" s="38"/>
    </row>
    <row r="17735">
      <c r="P17735" s="42"/>
      <c r="AB17735" s="38"/>
    </row>
    <row r="17736">
      <c r="P17736" s="42"/>
      <c r="AB17736" s="38"/>
    </row>
    <row r="17737">
      <c r="P17737" s="42"/>
      <c r="AB17737" s="38"/>
    </row>
    <row r="17738">
      <c r="P17738" s="42"/>
      <c r="AB17738" s="38"/>
    </row>
    <row r="17739">
      <c r="P17739" s="42"/>
      <c r="AB17739" s="38"/>
    </row>
    <row r="17740">
      <c r="P17740" s="42"/>
      <c r="AB17740" s="38"/>
    </row>
    <row r="17741">
      <c r="P17741" s="42"/>
      <c r="AB17741" s="38"/>
    </row>
    <row r="17742">
      <c r="P17742" s="42"/>
      <c r="AB17742" s="38"/>
    </row>
    <row r="17743">
      <c r="P17743" s="42"/>
      <c r="AB17743" s="38"/>
    </row>
    <row r="17744">
      <c r="P17744" s="42"/>
      <c r="AB17744" s="38"/>
    </row>
    <row r="17745">
      <c r="P17745" s="42"/>
      <c r="AB17745" s="38"/>
    </row>
    <row r="17746">
      <c r="P17746" s="42"/>
      <c r="AB17746" s="38"/>
    </row>
    <row r="17747">
      <c r="P17747" s="42"/>
      <c r="AB17747" s="38"/>
    </row>
    <row r="17748">
      <c r="P17748" s="42"/>
      <c r="AB17748" s="38"/>
    </row>
    <row r="17749">
      <c r="P17749" s="42"/>
      <c r="AB17749" s="38"/>
    </row>
    <row r="17750">
      <c r="P17750" s="42"/>
      <c r="AB17750" s="38"/>
    </row>
    <row r="17751">
      <c r="P17751" s="42"/>
      <c r="AB17751" s="38"/>
    </row>
    <row r="17752">
      <c r="P17752" s="42"/>
      <c r="AB17752" s="38"/>
    </row>
    <row r="17753">
      <c r="P17753" s="42"/>
      <c r="AB17753" s="38"/>
    </row>
    <row r="17754">
      <c r="P17754" s="42"/>
      <c r="AB17754" s="38"/>
    </row>
    <row r="17755">
      <c r="P17755" s="42"/>
      <c r="AB17755" s="38"/>
    </row>
    <row r="17756">
      <c r="P17756" s="42"/>
      <c r="AB17756" s="38"/>
    </row>
    <row r="17757">
      <c r="P17757" s="42"/>
      <c r="AB17757" s="38"/>
    </row>
    <row r="17758">
      <c r="P17758" s="42"/>
      <c r="AB17758" s="38"/>
    </row>
    <row r="17759">
      <c r="P17759" s="42"/>
      <c r="AB17759" s="38"/>
    </row>
    <row r="17760">
      <c r="P17760" s="42"/>
      <c r="AB17760" s="38"/>
    </row>
    <row r="17761">
      <c r="P17761" s="42"/>
      <c r="AB17761" s="38"/>
    </row>
    <row r="17762">
      <c r="P17762" s="42"/>
      <c r="AB17762" s="38"/>
    </row>
    <row r="17763">
      <c r="P17763" s="42"/>
      <c r="AB17763" s="38"/>
    </row>
    <row r="17764">
      <c r="P17764" s="42"/>
      <c r="AB17764" s="38"/>
    </row>
    <row r="17765">
      <c r="P17765" s="42"/>
      <c r="AB17765" s="38"/>
    </row>
    <row r="17766">
      <c r="P17766" s="42"/>
      <c r="AB17766" s="38"/>
    </row>
    <row r="17767">
      <c r="P17767" s="42"/>
      <c r="AB17767" s="38"/>
    </row>
    <row r="17768">
      <c r="P17768" s="42"/>
      <c r="AB17768" s="38"/>
    </row>
    <row r="17769">
      <c r="P17769" s="42"/>
      <c r="AB17769" s="38"/>
    </row>
    <row r="17770">
      <c r="P17770" s="42"/>
      <c r="AB17770" s="38"/>
    </row>
    <row r="17771">
      <c r="P17771" s="42"/>
      <c r="AB17771" s="38"/>
    </row>
    <row r="17772">
      <c r="P17772" s="42"/>
      <c r="AB17772" s="38"/>
    </row>
    <row r="17773">
      <c r="P17773" s="42"/>
      <c r="AB17773" s="38"/>
    </row>
    <row r="17774">
      <c r="P17774" s="42"/>
      <c r="AB17774" s="38"/>
    </row>
    <row r="17775">
      <c r="P17775" s="42"/>
      <c r="AB17775" s="38"/>
    </row>
    <row r="17776">
      <c r="P17776" s="42"/>
      <c r="AB17776" s="38"/>
    </row>
    <row r="17777">
      <c r="P17777" s="42"/>
      <c r="AB17777" s="38"/>
    </row>
    <row r="17778">
      <c r="P17778" s="42"/>
      <c r="AB17778" s="38"/>
    </row>
    <row r="17779">
      <c r="P17779" s="42"/>
      <c r="AB17779" s="38"/>
    </row>
    <row r="17780">
      <c r="P17780" s="42"/>
      <c r="AB17780" s="38"/>
    </row>
    <row r="17781">
      <c r="P17781" s="42"/>
      <c r="AB17781" s="38"/>
    </row>
    <row r="17782">
      <c r="P17782" s="42"/>
      <c r="AB17782" s="38"/>
    </row>
    <row r="17783">
      <c r="P17783" s="42"/>
      <c r="AB17783" s="38"/>
    </row>
    <row r="17784">
      <c r="P17784" s="42"/>
      <c r="AB17784" s="38"/>
    </row>
    <row r="17785">
      <c r="P17785" s="42"/>
      <c r="AB17785" s="38"/>
    </row>
    <row r="17786">
      <c r="P17786" s="42"/>
      <c r="AB17786" s="38"/>
    </row>
    <row r="17787">
      <c r="P17787" s="42"/>
      <c r="AB17787" s="38"/>
    </row>
    <row r="17788">
      <c r="P17788" s="42"/>
      <c r="AB17788" s="38"/>
    </row>
    <row r="17789">
      <c r="P17789" s="42"/>
      <c r="AB17789" s="38"/>
    </row>
    <row r="17790">
      <c r="P17790" s="42"/>
      <c r="AB17790" s="38"/>
    </row>
    <row r="17791">
      <c r="P17791" s="42"/>
      <c r="AB17791" s="38"/>
    </row>
    <row r="17792">
      <c r="P17792" s="42"/>
      <c r="AB17792" s="38"/>
    </row>
    <row r="17793">
      <c r="P17793" s="42"/>
      <c r="AB17793" s="38"/>
    </row>
    <row r="17794">
      <c r="P17794" s="42"/>
      <c r="AB17794" s="38"/>
    </row>
    <row r="17795">
      <c r="P17795" s="42"/>
      <c r="AB17795" s="38"/>
    </row>
    <row r="17796">
      <c r="P17796" s="42"/>
      <c r="AB17796" s="38"/>
    </row>
    <row r="17797">
      <c r="P17797" s="42"/>
      <c r="AB17797" s="38"/>
    </row>
    <row r="17798">
      <c r="P17798" s="42"/>
      <c r="AB17798" s="38"/>
    </row>
    <row r="17799">
      <c r="P17799" s="42"/>
      <c r="AB17799" s="38"/>
    </row>
    <row r="17800">
      <c r="P17800" s="42"/>
      <c r="AB17800" s="38"/>
    </row>
    <row r="17801">
      <c r="P17801" s="42"/>
      <c r="AB17801" s="38"/>
    </row>
    <row r="17802">
      <c r="P17802" s="42"/>
      <c r="AB17802" s="38"/>
    </row>
    <row r="17803">
      <c r="P17803" s="42"/>
      <c r="AB17803" s="38"/>
    </row>
    <row r="17804">
      <c r="P17804" s="42"/>
      <c r="AB17804" s="38"/>
    </row>
    <row r="17805">
      <c r="P17805" s="42"/>
      <c r="AB17805" s="38"/>
    </row>
    <row r="17806">
      <c r="P17806" s="42"/>
      <c r="AB17806" s="38"/>
    </row>
    <row r="17807">
      <c r="P17807" s="42"/>
      <c r="AB17807" s="38"/>
    </row>
    <row r="17808">
      <c r="P17808" s="42"/>
      <c r="AB17808" s="38"/>
    </row>
    <row r="17809">
      <c r="P17809" s="42"/>
      <c r="AB17809" s="38"/>
    </row>
    <row r="17810">
      <c r="P17810" s="42"/>
      <c r="AB17810" s="38"/>
    </row>
    <row r="17811">
      <c r="P17811" s="42"/>
      <c r="AB17811" s="38"/>
    </row>
    <row r="17812">
      <c r="P17812" s="42"/>
      <c r="AB17812" s="38"/>
    </row>
    <row r="17813">
      <c r="P17813" s="42"/>
      <c r="AB17813" s="38"/>
    </row>
    <row r="17814">
      <c r="P17814" s="42"/>
      <c r="AB17814" s="38"/>
    </row>
    <row r="17815">
      <c r="P17815" s="42"/>
      <c r="AB17815" s="38"/>
    </row>
    <row r="17816">
      <c r="P17816" s="42"/>
      <c r="AB17816" s="38"/>
    </row>
    <row r="17817">
      <c r="P17817" s="42"/>
      <c r="AB17817" s="38"/>
    </row>
    <row r="17818">
      <c r="P17818" s="42"/>
      <c r="AB17818" s="38"/>
    </row>
    <row r="17819">
      <c r="P17819" s="42"/>
      <c r="AB17819" s="38"/>
    </row>
    <row r="17820">
      <c r="P17820" s="42"/>
      <c r="AB17820" s="38"/>
    </row>
    <row r="17821">
      <c r="P17821" s="42"/>
      <c r="AB17821" s="38"/>
    </row>
    <row r="17822">
      <c r="P17822" s="42"/>
      <c r="AB17822" s="38"/>
    </row>
    <row r="17823">
      <c r="P17823" s="42"/>
      <c r="AB17823" s="38"/>
    </row>
    <row r="17824">
      <c r="P17824" s="42"/>
      <c r="AB17824" s="38"/>
    </row>
    <row r="17825">
      <c r="P17825" s="42"/>
      <c r="AB17825" s="38"/>
    </row>
    <row r="17826">
      <c r="P17826" s="42"/>
      <c r="AB17826" s="38"/>
    </row>
    <row r="17827">
      <c r="P17827" s="42"/>
      <c r="AB17827" s="38"/>
    </row>
    <row r="17828">
      <c r="P17828" s="42"/>
      <c r="AB17828" s="38"/>
    </row>
    <row r="17829">
      <c r="P17829" s="42"/>
      <c r="AB17829" s="38"/>
    </row>
    <row r="17830">
      <c r="P17830" s="42"/>
      <c r="AB17830" s="38"/>
    </row>
    <row r="17831">
      <c r="P17831" s="42"/>
      <c r="AB17831" s="38"/>
    </row>
    <row r="17832">
      <c r="P17832" s="42"/>
      <c r="AB17832" s="38"/>
    </row>
    <row r="17833">
      <c r="P17833" s="42"/>
      <c r="AB17833" s="38"/>
    </row>
    <row r="17834">
      <c r="P17834" s="42"/>
      <c r="AB17834" s="38"/>
    </row>
    <row r="17835">
      <c r="P17835" s="42"/>
      <c r="AB17835" s="38"/>
    </row>
    <row r="17836">
      <c r="P17836" s="42"/>
      <c r="AB17836" s="38"/>
    </row>
    <row r="17837">
      <c r="P17837" s="42"/>
      <c r="AB17837" s="38"/>
    </row>
    <row r="17838">
      <c r="P17838" s="42"/>
      <c r="AB17838" s="38"/>
    </row>
    <row r="17839">
      <c r="P17839" s="42"/>
      <c r="AB17839" s="38"/>
    </row>
    <row r="17840">
      <c r="P17840" s="42"/>
      <c r="AB17840" s="38"/>
    </row>
    <row r="17841">
      <c r="P17841" s="42"/>
      <c r="AB17841" s="38"/>
    </row>
    <row r="17842">
      <c r="P17842" s="42"/>
      <c r="AB17842" s="38"/>
    </row>
    <row r="17843">
      <c r="P17843" s="42"/>
      <c r="AB17843" s="38"/>
    </row>
    <row r="17844">
      <c r="P17844" s="42"/>
      <c r="AB17844" s="38"/>
    </row>
    <row r="17845">
      <c r="P17845" s="42"/>
      <c r="AB17845" s="38"/>
    </row>
    <row r="17846">
      <c r="P17846" s="42"/>
      <c r="AB17846" s="38"/>
    </row>
    <row r="17847">
      <c r="P17847" s="42"/>
      <c r="AB17847" s="38"/>
    </row>
    <row r="17848">
      <c r="P17848" s="42"/>
      <c r="AB17848" s="38"/>
    </row>
    <row r="17849">
      <c r="P17849" s="42"/>
      <c r="AB17849" s="38"/>
    </row>
    <row r="17850">
      <c r="P17850" s="42"/>
      <c r="AB17850" s="38"/>
    </row>
    <row r="17851">
      <c r="P17851" s="42"/>
      <c r="AB17851" s="38"/>
    </row>
    <row r="17852">
      <c r="P17852" s="42"/>
      <c r="AB17852" s="38"/>
    </row>
    <row r="17853">
      <c r="P17853" s="42"/>
      <c r="AB17853" s="38"/>
    </row>
    <row r="17854">
      <c r="P17854" s="42"/>
      <c r="AB17854" s="38"/>
    </row>
    <row r="17855">
      <c r="P17855" s="42"/>
      <c r="AB17855" s="38"/>
    </row>
    <row r="17856">
      <c r="P17856" s="42"/>
      <c r="AB17856" s="38"/>
    </row>
    <row r="17857">
      <c r="P17857" s="42"/>
      <c r="AB17857" s="38"/>
    </row>
    <row r="17858">
      <c r="P17858" s="42"/>
      <c r="AB17858" s="38"/>
    </row>
    <row r="17859">
      <c r="P17859" s="42"/>
      <c r="AB17859" s="38"/>
    </row>
    <row r="17860">
      <c r="P17860" s="42"/>
      <c r="AB17860" s="38"/>
    </row>
    <row r="17861">
      <c r="P17861" s="42"/>
      <c r="AB17861" s="38"/>
    </row>
    <row r="17862">
      <c r="P17862" s="42"/>
      <c r="AB17862" s="38"/>
    </row>
    <row r="17863">
      <c r="P17863" s="42"/>
      <c r="AB17863" s="38"/>
    </row>
    <row r="17864">
      <c r="P17864" s="42"/>
      <c r="AB17864" s="38"/>
    </row>
    <row r="17865">
      <c r="P17865" s="42"/>
      <c r="AB17865" s="38"/>
    </row>
    <row r="17866">
      <c r="P17866" s="42"/>
      <c r="AB17866" s="38"/>
    </row>
    <row r="17867">
      <c r="P17867" s="42"/>
      <c r="AB17867" s="38"/>
    </row>
    <row r="17868">
      <c r="P17868" s="42"/>
      <c r="AB17868" s="38"/>
    </row>
    <row r="17869">
      <c r="P17869" s="42"/>
      <c r="AB17869" s="38"/>
    </row>
    <row r="17870">
      <c r="P17870" s="42"/>
      <c r="AB17870" s="38"/>
    </row>
    <row r="17871">
      <c r="P17871" s="42"/>
      <c r="AB17871" s="38"/>
    </row>
    <row r="17872">
      <c r="P17872" s="42"/>
      <c r="AB17872" s="38"/>
    </row>
    <row r="17873">
      <c r="P17873" s="42"/>
      <c r="AB17873" s="38"/>
    </row>
    <row r="17874">
      <c r="P17874" s="42"/>
      <c r="AB17874" s="38"/>
    </row>
    <row r="17875">
      <c r="P17875" s="42"/>
      <c r="AB17875" s="38"/>
    </row>
    <row r="17876">
      <c r="P17876" s="42"/>
      <c r="AB17876" s="38"/>
    </row>
    <row r="17877">
      <c r="P17877" s="42"/>
      <c r="AB17877" s="38"/>
    </row>
    <row r="17878">
      <c r="P17878" s="42"/>
      <c r="AB17878" s="38"/>
    </row>
    <row r="17879">
      <c r="P17879" s="42"/>
      <c r="AB17879" s="38"/>
    </row>
    <row r="17880">
      <c r="P17880" s="42"/>
      <c r="AB17880" s="38"/>
    </row>
    <row r="17881">
      <c r="P17881" s="42"/>
      <c r="AB17881" s="38"/>
    </row>
    <row r="17882">
      <c r="P17882" s="42"/>
      <c r="AB17882" s="38"/>
    </row>
    <row r="17883">
      <c r="P17883" s="42"/>
      <c r="AB17883" s="38"/>
    </row>
    <row r="17884">
      <c r="P17884" s="42"/>
      <c r="AB17884" s="38"/>
    </row>
    <row r="17885">
      <c r="P17885" s="42"/>
      <c r="AB17885" s="38"/>
    </row>
    <row r="17886">
      <c r="P17886" s="42"/>
      <c r="AB17886" s="38"/>
    </row>
    <row r="17887">
      <c r="P17887" s="42"/>
      <c r="AB17887" s="38"/>
    </row>
    <row r="17888">
      <c r="P17888" s="42"/>
      <c r="AB17888" s="38"/>
    </row>
    <row r="17889">
      <c r="P17889" s="42"/>
      <c r="AB17889" s="38"/>
    </row>
    <row r="17890">
      <c r="P17890" s="42"/>
      <c r="AB17890" s="38"/>
    </row>
    <row r="17891">
      <c r="P17891" s="42"/>
      <c r="AB17891" s="38"/>
    </row>
    <row r="17892">
      <c r="P17892" s="42"/>
      <c r="AB17892" s="38"/>
    </row>
    <row r="17893">
      <c r="P17893" s="42"/>
      <c r="AB17893" s="38"/>
    </row>
    <row r="17894">
      <c r="P17894" s="42"/>
      <c r="AB17894" s="38"/>
    </row>
    <row r="17895">
      <c r="P17895" s="42"/>
      <c r="AB17895" s="38"/>
    </row>
    <row r="17896">
      <c r="P17896" s="42"/>
      <c r="AB17896" s="38"/>
    </row>
    <row r="17897">
      <c r="P17897" s="42"/>
      <c r="AB17897" s="38"/>
    </row>
    <row r="17898">
      <c r="P17898" s="42"/>
      <c r="AB17898" s="38"/>
    </row>
    <row r="17899">
      <c r="P17899" s="42"/>
      <c r="AB17899" s="38"/>
    </row>
    <row r="17900">
      <c r="P17900" s="42"/>
      <c r="AB17900" s="38"/>
    </row>
    <row r="17901">
      <c r="P17901" s="42"/>
      <c r="AB17901" s="38"/>
    </row>
    <row r="17902">
      <c r="P17902" s="42"/>
      <c r="AB17902" s="38"/>
    </row>
    <row r="17903">
      <c r="P17903" s="42"/>
      <c r="AB17903" s="38"/>
    </row>
    <row r="17904">
      <c r="P17904" s="42"/>
      <c r="AB17904" s="38"/>
    </row>
    <row r="17905">
      <c r="P17905" s="42"/>
      <c r="AB17905" s="38"/>
    </row>
    <row r="17906">
      <c r="P17906" s="42"/>
      <c r="AB17906" s="38"/>
    </row>
    <row r="17907">
      <c r="P17907" s="42"/>
      <c r="AB17907" s="38"/>
    </row>
    <row r="17908">
      <c r="P17908" s="42"/>
      <c r="AB17908" s="38"/>
    </row>
    <row r="17909">
      <c r="P17909" s="42"/>
      <c r="AB17909" s="38"/>
    </row>
    <row r="17910">
      <c r="P17910" s="42"/>
      <c r="AB17910" s="38"/>
    </row>
    <row r="17911">
      <c r="P17911" s="42"/>
      <c r="AB17911" s="38"/>
    </row>
    <row r="17912">
      <c r="P17912" s="42"/>
      <c r="AB17912" s="38"/>
    </row>
    <row r="17913">
      <c r="P17913" s="42"/>
      <c r="AB17913" s="38"/>
    </row>
    <row r="17914">
      <c r="P17914" s="42"/>
      <c r="AB17914" s="38"/>
    </row>
    <row r="17915">
      <c r="P17915" s="42"/>
      <c r="AB17915" s="38"/>
    </row>
    <row r="17916">
      <c r="P17916" s="42"/>
      <c r="AB17916" s="38"/>
    </row>
    <row r="17917">
      <c r="P17917" s="42"/>
      <c r="AB17917" s="38"/>
    </row>
    <row r="17918">
      <c r="P17918" s="42"/>
      <c r="AB17918" s="38"/>
    </row>
    <row r="17919">
      <c r="P17919" s="42"/>
      <c r="AB17919" s="38"/>
    </row>
    <row r="17920">
      <c r="P17920" s="42"/>
      <c r="AB17920" s="38"/>
    </row>
    <row r="17921">
      <c r="P17921" s="42"/>
      <c r="AB17921" s="38"/>
    </row>
    <row r="17922">
      <c r="P17922" s="42"/>
      <c r="AB17922" s="38"/>
    </row>
    <row r="17923">
      <c r="P17923" s="42"/>
      <c r="AB17923" s="38"/>
    </row>
    <row r="17924">
      <c r="P17924" s="42"/>
      <c r="AB17924" s="38"/>
    </row>
    <row r="17925">
      <c r="P17925" s="42"/>
      <c r="AB17925" s="38"/>
    </row>
    <row r="17926">
      <c r="P17926" s="42"/>
      <c r="AB17926" s="38"/>
    </row>
    <row r="17927">
      <c r="P17927" s="42"/>
      <c r="AB17927" s="38"/>
    </row>
    <row r="17928">
      <c r="P17928" s="42"/>
      <c r="AB17928" s="38"/>
    </row>
    <row r="17929">
      <c r="P17929" s="42"/>
      <c r="AB17929" s="38"/>
    </row>
    <row r="17930">
      <c r="P17930" s="42"/>
      <c r="AB17930" s="38"/>
    </row>
    <row r="17931">
      <c r="P17931" s="42"/>
      <c r="AB17931" s="38"/>
    </row>
    <row r="17932">
      <c r="P17932" s="42"/>
      <c r="AB17932" s="38"/>
    </row>
    <row r="17933">
      <c r="P17933" s="42"/>
      <c r="AB17933" s="38"/>
    </row>
    <row r="17934">
      <c r="P17934" s="42"/>
      <c r="AB17934" s="38"/>
    </row>
    <row r="17935">
      <c r="P17935" s="42"/>
      <c r="AB17935" s="38"/>
    </row>
    <row r="17936">
      <c r="P17936" s="42"/>
      <c r="AB17936" s="38"/>
    </row>
    <row r="17937">
      <c r="P17937" s="42"/>
      <c r="AB17937" s="38"/>
    </row>
    <row r="17938">
      <c r="P17938" s="42"/>
      <c r="AB17938" s="38"/>
    </row>
    <row r="17939">
      <c r="P17939" s="42"/>
      <c r="AB17939" s="38"/>
    </row>
    <row r="17940">
      <c r="P17940" s="42"/>
      <c r="AB17940" s="38"/>
    </row>
    <row r="17941">
      <c r="P17941" s="42"/>
      <c r="AB17941" s="38"/>
    </row>
    <row r="17942">
      <c r="P17942" s="42"/>
      <c r="AB17942" s="38"/>
    </row>
    <row r="17943">
      <c r="P17943" s="42"/>
      <c r="AB17943" s="38"/>
    </row>
    <row r="17944">
      <c r="P17944" s="42"/>
      <c r="AB17944" s="38"/>
    </row>
    <row r="17945">
      <c r="P17945" s="42"/>
      <c r="AB17945" s="38"/>
    </row>
    <row r="17946">
      <c r="P17946" s="42"/>
      <c r="AB17946" s="38"/>
    </row>
    <row r="17947">
      <c r="P17947" s="42"/>
      <c r="AB17947" s="38"/>
    </row>
    <row r="17948">
      <c r="P17948" s="42"/>
      <c r="AB17948" s="38"/>
    </row>
    <row r="17949">
      <c r="P17949" s="42"/>
      <c r="AB17949" s="38"/>
    </row>
    <row r="17950">
      <c r="P17950" s="42"/>
      <c r="AB17950" s="38"/>
    </row>
    <row r="17951">
      <c r="P17951" s="42"/>
      <c r="AB17951" s="38"/>
    </row>
    <row r="17952">
      <c r="P17952" s="42"/>
      <c r="AB17952" s="38"/>
    </row>
    <row r="17953">
      <c r="P17953" s="42"/>
      <c r="AB17953" s="38"/>
    </row>
    <row r="17954">
      <c r="P17954" s="42"/>
      <c r="AB17954" s="38"/>
    </row>
    <row r="17955">
      <c r="P17955" s="42"/>
      <c r="AB17955" s="38"/>
    </row>
    <row r="17956">
      <c r="P17956" s="42"/>
      <c r="AB17956" s="38"/>
    </row>
    <row r="17957">
      <c r="P17957" s="42"/>
      <c r="AB17957" s="38"/>
    </row>
    <row r="17958">
      <c r="P17958" s="42"/>
      <c r="AB17958" s="38"/>
    </row>
    <row r="17959">
      <c r="P17959" s="42"/>
      <c r="AB17959" s="38"/>
    </row>
    <row r="17960">
      <c r="P17960" s="42"/>
      <c r="AB17960" s="38"/>
    </row>
    <row r="17961">
      <c r="P17961" s="42"/>
      <c r="AB17961" s="38"/>
    </row>
    <row r="17962">
      <c r="P17962" s="42"/>
      <c r="AB17962" s="38"/>
    </row>
    <row r="17963">
      <c r="P17963" s="42"/>
      <c r="AB17963" s="38"/>
    </row>
    <row r="17964">
      <c r="P17964" s="42"/>
      <c r="AB17964" s="38"/>
    </row>
    <row r="17965">
      <c r="P17965" s="42"/>
      <c r="AB17965" s="38"/>
    </row>
    <row r="17966">
      <c r="P17966" s="42"/>
      <c r="AB17966" s="38"/>
    </row>
    <row r="17967">
      <c r="P17967" s="42"/>
      <c r="AB17967" s="38"/>
    </row>
    <row r="17968">
      <c r="P17968" s="42"/>
      <c r="AB17968" s="38"/>
    </row>
    <row r="17969">
      <c r="P17969" s="42"/>
      <c r="AB17969" s="38"/>
    </row>
    <row r="17970">
      <c r="P17970" s="42"/>
      <c r="AB17970" s="38"/>
    </row>
    <row r="17971">
      <c r="P17971" s="42"/>
      <c r="AB17971" s="38"/>
    </row>
    <row r="17972">
      <c r="P17972" s="42"/>
      <c r="AB17972" s="38"/>
    </row>
    <row r="17973">
      <c r="P17973" s="42"/>
      <c r="AB17973" s="38"/>
    </row>
    <row r="17974">
      <c r="P17974" s="42"/>
      <c r="AB17974" s="38"/>
    </row>
    <row r="17975">
      <c r="P17975" s="42"/>
      <c r="AB17975" s="38"/>
    </row>
    <row r="17976">
      <c r="P17976" s="42"/>
      <c r="AB17976" s="38"/>
    </row>
    <row r="17977">
      <c r="P17977" s="42"/>
      <c r="AB17977" s="38"/>
    </row>
    <row r="17978">
      <c r="P17978" s="42"/>
      <c r="AB17978" s="38"/>
    </row>
    <row r="17979">
      <c r="P17979" s="42"/>
      <c r="AB17979" s="38"/>
    </row>
    <row r="17980">
      <c r="P17980" s="42"/>
      <c r="AB17980" s="38"/>
    </row>
    <row r="17981">
      <c r="P17981" s="42"/>
      <c r="AB17981" s="38"/>
    </row>
    <row r="17982">
      <c r="P17982" s="42"/>
      <c r="AB17982" s="38"/>
    </row>
    <row r="17983">
      <c r="P17983" s="42"/>
      <c r="AB17983" s="38"/>
    </row>
    <row r="17984">
      <c r="P17984" s="42"/>
      <c r="AB17984" s="38"/>
    </row>
    <row r="17985">
      <c r="P17985" s="42"/>
      <c r="AB17985" s="38"/>
    </row>
    <row r="17986">
      <c r="P17986" s="42"/>
      <c r="AB17986" s="38"/>
    </row>
    <row r="17987">
      <c r="P17987" s="42"/>
      <c r="AB17987" s="38"/>
    </row>
    <row r="17988">
      <c r="P17988" s="42"/>
      <c r="AB17988" s="38"/>
    </row>
    <row r="17989">
      <c r="P17989" s="42"/>
      <c r="AB17989" s="38"/>
    </row>
    <row r="17990">
      <c r="P17990" s="42"/>
      <c r="AB17990" s="38"/>
    </row>
    <row r="17991">
      <c r="P17991" s="42"/>
      <c r="AB17991" s="38"/>
    </row>
    <row r="17992">
      <c r="P17992" s="42"/>
      <c r="AB17992" s="38"/>
    </row>
    <row r="17993">
      <c r="P17993" s="42"/>
      <c r="AB17993" s="38"/>
    </row>
    <row r="17994">
      <c r="P17994" s="42"/>
      <c r="AB17994" s="38"/>
    </row>
    <row r="17995">
      <c r="P17995" s="42"/>
      <c r="AB17995" s="38"/>
    </row>
    <row r="17996">
      <c r="P17996" s="42"/>
      <c r="AB17996" s="38"/>
    </row>
    <row r="17997">
      <c r="P17997" s="42"/>
      <c r="AB17997" s="38"/>
    </row>
    <row r="17998">
      <c r="P17998" s="42"/>
      <c r="AB17998" s="38"/>
    </row>
    <row r="17999">
      <c r="P17999" s="42"/>
      <c r="AB17999" s="38"/>
    </row>
    <row r="18000">
      <c r="P18000" s="42"/>
      <c r="AB18000" s="38"/>
    </row>
    <row r="18001">
      <c r="P18001" s="42"/>
      <c r="AB18001" s="38"/>
    </row>
    <row r="18002">
      <c r="P18002" s="42"/>
      <c r="AB18002" s="38"/>
    </row>
    <row r="18003">
      <c r="P18003" s="42"/>
      <c r="AB18003" s="38"/>
    </row>
    <row r="18004">
      <c r="P18004" s="42"/>
      <c r="AB18004" s="38"/>
    </row>
    <row r="18005">
      <c r="P18005" s="42"/>
      <c r="AB18005" s="38"/>
    </row>
    <row r="18006">
      <c r="P18006" s="42"/>
      <c r="AB18006" s="38"/>
    </row>
    <row r="18007">
      <c r="P18007" s="42"/>
      <c r="AB18007" s="38"/>
    </row>
    <row r="18008">
      <c r="P18008" s="42"/>
      <c r="AB18008" s="38"/>
    </row>
    <row r="18009">
      <c r="P18009" s="42"/>
      <c r="AB18009" s="38"/>
    </row>
    <row r="18010">
      <c r="P18010" s="42"/>
      <c r="AB18010" s="38"/>
    </row>
    <row r="18011">
      <c r="P18011" s="42"/>
      <c r="AB18011" s="38"/>
    </row>
    <row r="18012">
      <c r="P18012" s="42"/>
      <c r="AB18012" s="38"/>
    </row>
    <row r="18013">
      <c r="P18013" s="42"/>
      <c r="AB18013" s="38"/>
    </row>
    <row r="18014">
      <c r="P18014" s="42"/>
      <c r="AB18014" s="38"/>
    </row>
    <row r="18015">
      <c r="P18015" s="42"/>
      <c r="AB18015" s="38"/>
    </row>
    <row r="18016">
      <c r="P18016" s="42"/>
      <c r="AB18016" s="38"/>
    </row>
    <row r="18017">
      <c r="P18017" s="42"/>
      <c r="AB18017" s="38"/>
    </row>
    <row r="18018">
      <c r="P18018" s="42"/>
      <c r="AB18018" s="38"/>
    </row>
    <row r="18019">
      <c r="P18019" s="42"/>
      <c r="AB18019" s="38"/>
    </row>
    <row r="18020">
      <c r="P18020" s="42"/>
      <c r="AB18020" s="38"/>
    </row>
    <row r="18021">
      <c r="P18021" s="42"/>
      <c r="AB18021" s="38"/>
    </row>
    <row r="18022">
      <c r="P18022" s="42"/>
      <c r="AB18022" s="38"/>
    </row>
    <row r="18023">
      <c r="P18023" s="42"/>
      <c r="AB18023" s="38"/>
    </row>
    <row r="18024">
      <c r="P18024" s="42"/>
      <c r="AB18024" s="38"/>
    </row>
    <row r="18025">
      <c r="P18025" s="42"/>
      <c r="AB18025" s="38"/>
    </row>
    <row r="18026">
      <c r="P18026" s="42"/>
      <c r="AB18026" s="38"/>
    </row>
    <row r="18027">
      <c r="P18027" s="42"/>
      <c r="AB18027" s="38"/>
    </row>
    <row r="18028">
      <c r="P18028" s="42"/>
      <c r="AB18028" s="38"/>
    </row>
    <row r="18029">
      <c r="P18029" s="42"/>
      <c r="AB18029" s="38"/>
    </row>
    <row r="18030">
      <c r="P18030" s="42"/>
      <c r="AB18030" s="38"/>
    </row>
    <row r="18031">
      <c r="P18031" s="42"/>
      <c r="AB18031" s="38"/>
    </row>
    <row r="18032">
      <c r="P18032" s="42"/>
      <c r="AB18032" s="38"/>
    </row>
    <row r="18033">
      <c r="P18033" s="42"/>
      <c r="AB18033" s="38"/>
    </row>
    <row r="18034">
      <c r="P18034" s="42"/>
      <c r="AB18034" s="38"/>
    </row>
    <row r="18035">
      <c r="P18035" s="42"/>
      <c r="AB18035" s="38"/>
    </row>
    <row r="18036">
      <c r="P18036" s="42"/>
      <c r="AB18036" s="38"/>
    </row>
    <row r="18037">
      <c r="P18037" s="42"/>
      <c r="AB18037" s="38"/>
    </row>
    <row r="18038">
      <c r="P18038" s="42"/>
      <c r="AB18038" s="38"/>
    </row>
    <row r="18039">
      <c r="P18039" s="42"/>
      <c r="AB18039" s="38"/>
    </row>
    <row r="18040">
      <c r="P18040" s="42"/>
      <c r="AB18040" s="38"/>
    </row>
    <row r="18041">
      <c r="P18041" s="42"/>
      <c r="AB18041" s="38"/>
    </row>
    <row r="18042">
      <c r="P18042" s="42"/>
      <c r="AB18042" s="38"/>
    </row>
    <row r="18043">
      <c r="P18043" s="42"/>
      <c r="AB18043" s="38"/>
    </row>
    <row r="18044">
      <c r="P18044" s="42"/>
      <c r="AB18044" s="38"/>
    </row>
    <row r="18045">
      <c r="P18045" s="42"/>
      <c r="AB18045" s="38"/>
    </row>
    <row r="18046">
      <c r="P18046" s="42"/>
      <c r="AB18046" s="38"/>
    </row>
    <row r="18047">
      <c r="P18047" s="42"/>
      <c r="AB18047" s="38"/>
    </row>
    <row r="18048">
      <c r="P18048" s="42"/>
      <c r="AB18048" s="38"/>
    </row>
    <row r="18049">
      <c r="P18049" s="42"/>
      <c r="AB18049" s="38"/>
    </row>
    <row r="18050">
      <c r="P18050" s="42"/>
      <c r="AB18050" s="38"/>
    </row>
    <row r="18051">
      <c r="P18051" s="42"/>
      <c r="AB18051" s="38"/>
    </row>
    <row r="18052">
      <c r="P18052" s="42"/>
      <c r="AB18052" s="38"/>
    </row>
    <row r="18053">
      <c r="P18053" s="42"/>
      <c r="AB18053" s="38"/>
    </row>
    <row r="18054">
      <c r="P18054" s="42"/>
      <c r="AB18054" s="38"/>
    </row>
    <row r="18055">
      <c r="P18055" s="42"/>
      <c r="AB18055" s="38"/>
    </row>
    <row r="18056">
      <c r="P18056" s="42"/>
      <c r="AB18056" s="38"/>
    </row>
    <row r="18057">
      <c r="P18057" s="42"/>
      <c r="AB18057" s="38"/>
    </row>
    <row r="18058">
      <c r="P18058" s="42"/>
      <c r="AB18058" s="38"/>
    </row>
    <row r="18059">
      <c r="P18059" s="42"/>
      <c r="AB18059" s="38"/>
    </row>
    <row r="18060">
      <c r="P18060" s="42"/>
      <c r="AB18060" s="38"/>
    </row>
    <row r="18061">
      <c r="P18061" s="42"/>
      <c r="AB18061" s="38"/>
    </row>
    <row r="18062">
      <c r="P18062" s="42"/>
      <c r="AB18062" s="38"/>
    </row>
    <row r="18063">
      <c r="P18063" s="42"/>
      <c r="AB18063" s="38"/>
    </row>
    <row r="18064">
      <c r="P18064" s="42"/>
      <c r="AB18064" s="38"/>
    </row>
    <row r="18065">
      <c r="P18065" s="42"/>
      <c r="AB18065" s="38"/>
    </row>
    <row r="18066">
      <c r="P18066" s="42"/>
      <c r="AB18066" s="38"/>
    </row>
    <row r="18067">
      <c r="P18067" s="42"/>
      <c r="AB18067" s="38"/>
    </row>
    <row r="18068">
      <c r="P18068" s="42"/>
      <c r="AB18068" s="38"/>
    </row>
    <row r="18069">
      <c r="P18069" s="42"/>
      <c r="AB18069" s="38"/>
    </row>
    <row r="18070">
      <c r="P18070" s="42"/>
      <c r="AB18070" s="38"/>
    </row>
    <row r="18071">
      <c r="P18071" s="42"/>
      <c r="AB18071" s="38"/>
    </row>
    <row r="18072">
      <c r="P18072" s="42"/>
      <c r="AB18072" s="38"/>
    </row>
    <row r="18073">
      <c r="P18073" s="42"/>
      <c r="AB18073" s="38"/>
    </row>
    <row r="18074">
      <c r="P18074" s="42"/>
      <c r="AB18074" s="38"/>
    </row>
    <row r="18075">
      <c r="P18075" s="42"/>
      <c r="AB18075" s="38"/>
    </row>
    <row r="18076">
      <c r="P18076" s="42"/>
      <c r="AB18076" s="38"/>
    </row>
    <row r="18077">
      <c r="P18077" s="42"/>
      <c r="AB18077" s="38"/>
    </row>
    <row r="18078">
      <c r="P18078" s="42"/>
      <c r="AB18078" s="38"/>
    </row>
    <row r="18079">
      <c r="P18079" s="42"/>
      <c r="AB18079" s="38"/>
    </row>
    <row r="18080">
      <c r="P18080" s="42"/>
      <c r="AB18080" s="38"/>
    </row>
    <row r="18081">
      <c r="P18081" s="42"/>
      <c r="AB18081" s="38"/>
    </row>
    <row r="18082">
      <c r="P18082" s="42"/>
      <c r="AB18082" s="38"/>
    </row>
    <row r="18083">
      <c r="P18083" s="42"/>
      <c r="AB18083" s="38"/>
    </row>
    <row r="18084">
      <c r="P18084" s="42"/>
      <c r="AB18084" s="38"/>
    </row>
    <row r="18085">
      <c r="P18085" s="42"/>
      <c r="AB18085" s="38"/>
    </row>
    <row r="18086">
      <c r="P18086" s="42"/>
      <c r="AB18086" s="38"/>
    </row>
    <row r="18087">
      <c r="P18087" s="42"/>
      <c r="AB18087" s="38"/>
    </row>
    <row r="18088">
      <c r="P18088" s="42"/>
      <c r="AB18088" s="38"/>
    </row>
    <row r="18089">
      <c r="P18089" s="42"/>
      <c r="AB18089" s="38"/>
    </row>
    <row r="18090">
      <c r="P18090" s="42"/>
      <c r="AB18090" s="38"/>
    </row>
    <row r="18091">
      <c r="P18091" s="42"/>
      <c r="AB18091" s="38"/>
    </row>
    <row r="18092">
      <c r="P18092" s="42"/>
      <c r="AB18092" s="38"/>
    </row>
    <row r="18093">
      <c r="P18093" s="42"/>
      <c r="AB18093" s="38"/>
    </row>
    <row r="18094">
      <c r="P18094" s="42"/>
      <c r="AB18094" s="38"/>
    </row>
    <row r="18095">
      <c r="P18095" s="42"/>
      <c r="AB18095" s="38"/>
    </row>
    <row r="18096">
      <c r="P18096" s="42"/>
      <c r="AB18096" s="38"/>
    </row>
    <row r="18097">
      <c r="P18097" s="42"/>
      <c r="AB18097" s="38"/>
    </row>
    <row r="18098">
      <c r="P18098" s="42"/>
      <c r="AB18098" s="38"/>
    </row>
    <row r="18099">
      <c r="P18099" s="42"/>
      <c r="AB18099" s="38"/>
    </row>
    <row r="18100">
      <c r="P18100" s="42"/>
      <c r="AB18100" s="38"/>
    </row>
    <row r="18101">
      <c r="P18101" s="42"/>
      <c r="AB18101" s="38"/>
    </row>
    <row r="18102">
      <c r="P18102" s="42"/>
      <c r="AB18102" s="38"/>
    </row>
    <row r="18103">
      <c r="P18103" s="42"/>
      <c r="AB18103" s="38"/>
    </row>
    <row r="18104">
      <c r="P18104" s="42"/>
      <c r="AB18104" s="38"/>
    </row>
    <row r="18105">
      <c r="P18105" s="42"/>
      <c r="AB18105" s="38"/>
    </row>
    <row r="18106">
      <c r="P18106" s="42"/>
      <c r="AB18106" s="38"/>
    </row>
    <row r="18107">
      <c r="P18107" s="42"/>
      <c r="AB18107" s="38"/>
    </row>
    <row r="18108">
      <c r="P18108" s="42"/>
      <c r="AB18108" s="38"/>
    </row>
    <row r="18109">
      <c r="P18109" s="42"/>
      <c r="AB18109" s="38"/>
    </row>
    <row r="18110">
      <c r="P18110" s="42"/>
      <c r="AB18110" s="38"/>
    </row>
    <row r="18111">
      <c r="P18111" s="42"/>
      <c r="AB18111" s="38"/>
    </row>
    <row r="18112">
      <c r="P18112" s="42"/>
      <c r="AB18112" s="38"/>
    </row>
    <row r="18113">
      <c r="P18113" s="42"/>
      <c r="AB18113" s="38"/>
    </row>
    <row r="18114">
      <c r="P18114" s="42"/>
      <c r="AB18114" s="38"/>
    </row>
    <row r="18115">
      <c r="P18115" s="42"/>
      <c r="AB18115" s="38"/>
    </row>
    <row r="18116">
      <c r="P18116" s="42"/>
      <c r="AB18116" s="38"/>
    </row>
    <row r="18117">
      <c r="P18117" s="42"/>
      <c r="AB18117" s="38"/>
    </row>
    <row r="18118">
      <c r="P18118" s="42"/>
      <c r="AB18118" s="38"/>
    </row>
    <row r="18119">
      <c r="P18119" s="42"/>
      <c r="AB18119" s="38"/>
    </row>
    <row r="18120">
      <c r="P18120" s="42"/>
      <c r="AB18120" s="38"/>
    </row>
    <row r="18121">
      <c r="P18121" s="42"/>
      <c r="AB18121" s="38"/>
    </row>
    <row r="18122">
      <c r="P18122" s="42"/>
      <c r="AB18122" s="38"/>
    </row>
    <row r="18123">
      <c r="P18123" s="42"/>
      <c r="AB18123" s="38"/>
    </row>
    <row r="18124">
      <c r="P18124" s="42"/>
      <c r="AB18124" s="38"/>
    </row>
    <row r="18125">
      <c r="P18125" s="42"/>
      <c r="AB18125" s="38"/>
    </row>
    <row r="18126">
      <c r="P18126" s="42"/>
      <c r="AB18126" s="38"/>
    </row>
    <row r="18127">
      <c r="P18127" s="42"/>
      <c r="AB18127" s="38"/>
    </row>
    <row r="18128">
      <c r="P18128" s="42"/>
      <c r="AB18128" s="38"/>
    </row>
    <row r="18129">
      <c r="P18129" s="42"/>
      <c r="AB18129" s="38"/>
    </row>
    <row r="18130">
      <c r="P18130" s="42"/>
      <c r="AB18130" s="38"/>
    </row>
    <row r="18131">
      <c r="P18131" s="42"/>
      <c r="AB18131" s="38"/>
    </row>
    <row r="18132">
      <c r="P18132" s="42"/>
      <c r="AB18132" s="38"/>
    </row>
    <row r="18133">
      <c r="P18133" s="42"/>
      <c r="AB18133" s="38"/>
    </row>
    <row r="18134">
      <c r="P18134" s="42"/>
      <c r="AB18134" s="38"/>
    </row>
    <row r="18135">
      <c r="P18135" s="42"/>
      <c r="AB18135" s="38"/>
    </row>
    <row r="18136">
      <c r="P18136" s="42"/>
      <c r="AB18136" s="38"/>
    </row>
    <row r="18137">
      <c r="P18137" s="42"/>
      <c r="AB18137" s="38"/>
    </row>
    <row r="18138">
      <c r="P18138" s="42"/>
      <c r="AB18138" s="38"/>
    </row>
    <row r="18139">
      <c r="P18139" s="42"/>
      <c r="AB18139" s="38"/>
    </row>
    <row r="18140">
      <c r="P18140" s="42"/>
      <c r="AB18140" s="38"/>
    </row>
    <row r="18141">
      <c r="P18141" s="42"/>
      <c r="AB18141" s="38"/>
    </row>
    <row r="18142">
      <c r="P18142" s="42"/>
      <c r="AB18142" s="38"/>
    </row>
    <row r="18143">
      <c r="P18143" s="42"/>
      <c r="AB18143" s="38"/>
    </row>
    <row r="18144">
      <c r="P18144" s="42"/>
      <c r="AB18144" s="38"/>
    </row>
    <row r="18145">
      <c r="P18145" s="42"/>
      <c r="AB18145" s="38"/>
    </row>
    <row r="18146">
      <c r="P18146" s="42"/>
      <c r="AB18146" s="38"/>
    </row>
    <row r="18147">
      <c r="P18147" s="42"/>
      <c r="AB18147" s="38"/>
    </row>
    <row r="18148">
      <c r="P18148" s="42"/>
      <c r="AB18148" s="38"/>
    </row>
    <row r="18149">
      <c r="P18149" s="42"/>
      <c r="AB18149" s="38"/>
    </row>
    <row r="18150">
      <c r="P18150" s="42"/>
      <c r="AB18150" s="38"/>
    </row>
    <row r="18151">
      <c r="P18151" s="42"/>
      <c r="AB18151" s="38"/>
    </row>
    <row r="18152">
      <c r="P18152" s="42"/>
      <c r="AB18152" s="38"/>
    </row>
    <row r="18153">
      <c r="P18153" s="42"/>
      <c r="AB18153" s="38"/>
    </row>
    <row r="18154">
      <c r="P18154" s="42"/>
      <c r="AB18154" s="38"/>
    </row>
    <row r="18155">
      <c r="P18155" s="42"/>
      <c r="AB18155" s="38"/>
    </row>
    <row r="18156">
      <c r="P18156" s="42"/>
      <c r="AB18156" s="38"/>
    </row>
    <row r="18157">
      <c r="P18157" s="42"/>
      <c r="AB18157" s="38"/>
    </row>
    <row r="18158">
      <c r="P18158" s="42"/>
      <c r="AB18158" s="38"/>
    </row>
    <row r="18159">
      <c r="P18159" s="42"/>
      <c r="AB18159" s="38"/>
    </row>
    <row r="18160">
      <c r="P18160" s="42"/>
      <c r="AB18160" s="38"/>
    </row>
    <row r="18161">
      <c r="P18161" s="42"/>
      <c r="AB18161" s="38"/>
    </row>
    <row r="18162">
      <c r="P18162" s="42"/>
      <c r="AB18162" s="38"/>
    </row>
    <row r="18163">
      <c r="P18163" s="42"/>
      <c r="AB18163" s="38"/>
    </row>
    <row r="18164">
      <c r="P18164" s="42"/>
      <c r="AB18164" s="38"/>
    </row>
    <row r="18165">
      <c r="P18165" s="42"/>
      <c r="AB18165" s="38"/>
    </row>
    <row r="18166">
      <c r="P18166" s="42"/>
      <c r="AB18166" s="38"/>
    </row>
    <row r="18167">
      <c r="P18167" s="42"/>
      <c r="AB18167" s="38"/>
    </row>
    <row r="18168">
      <c r="P18168" s="42"/>
      <c r="AB18168" s="38"/>
    </row>
    <row r="18169">
      <c r="P18169" s="42"/>
      <c r="AB18169" s="38"/>
    </row>
    <row r="18170">
      <c r="P18170" s="42"/>
      <c r="AB18170" s="38"/>
    </row>
    <row r="18171">
      <c r="P18171" s="42"/>
      <c r="AB18171" s="38"/>
    </row>
    <row r="18172">
      <c r="P18172" s="42"/>
      <c r="AB18172" s="38"/>
    </row>
    <row r="18173">
      <c r="P18173" s="42"/>
      <c r="AB18173" s="38"/>
    </row>
    <row r="18174">
      <c r="P18174" s="42"/>
      <c r="AB18174" s="38"/>
    </row>
    <row r="18175">
      <c r="P18175" s="42"/>
      <c r="AB18175" s="38"/>
    </row>
    <row r="18176">
      <c r="P18176" s="42"/>
      <c r="AB18176" s="38"/>
    </row>
    <row r="18177">
      <c r="P18177" s="42"/>
      <c r="AB18177" s="38"/>
    </row>
    <row r="18178">
      <c r="P18178" s="42"/>
      <c r="AB18178" s="38"/>
    </row>
    <row r="18179">
      <c r="P18179" s="42"/>
      <c r="AB18179" s="38"/>
    </row>
    <row r="18180">
      <c r="P18180" s="42"/>
      <c r="AB18180" s="38"/>
    </row>
    <row r="18181">
      <c r="P18181" s="42"/>
      <c r="AB18181" s="38"/>
    </row>
    <row r="18182">
      <c r="P18182" s="42"/>
      <c r="AB18182" s="38"/>
    </row>
    <row r="18183">
      <c r="P18183" s="42"/>
      <c r="AB18183" s="38"/>
    </row>
    <row r="18184">
      <c r="P18184" s="42"/>
      <c r="AB18184" s="38"/>
    </row>
    <row r="18185">
      <c r="P18185" s="42"/>
      <c r="AB18185" s="38"/>
    </row>
    <row r="18186">
      <c r="P18186" s="42"/>
      <c r="AB18186" s="38"/>
    </row>
    <row r="18187">
      <c r="P18187" s="42"/>
      <c r="AB18187" s="38"/>
    </row>
    <row r="18188">
      <c r="P18188" s="42"/>
      <c r="AB18188" s="38"/>
    </row>
    <row r="18189">
      <c r="P18189" s="42"/>
      <c r="AB18189" s="38"/>
    </row>
    <row r="18190">
      <c r="P18190" s="42"/>
      <c r="AB18190" s="38"/>
    </row>
    <row r="18191">
      <c r="P18191" s="42"/>
      <c r="AB18191" s="38"/>
    </row>
    <row r="18192">
      <c r="P18192" s="42"/>
      <c r="AB18192" s="38"/>
    </row>
    <row r="18193">
      <c r="P18193" s="42"/>
      <c r="AB18193" s="38"/>
    </row>
    <row r="18194">
      <c r="P18194" s="42"/>
      <c r="AB18194" s="38"/>
    </row>
    <row r="18195">
      <c r="P18195" s="42"/>
      <c r="AB18195" s="38"/>
    </row>
    <row r="18196">
      <c r="P18196" s="42"/>
      <c r="AB18196" s="38"/>
    </row>
    <row r="18197">
      <c r="P18197" s="42"/>
      <c r="AB18197" s="38"/>
    </row>
    <row r="18198">
      <c r="P18198" s="42"/>
      <c r="AB18198" s="38"/>
    </row>
    <row r="18199">
      <c r="P18199" s="42"/>
      <c r="AB18199" s="38"/>
    </row>
    <row r="18200">
      <c r="P18200" s="42"/>
      <c r="AB18200" s="38"/>
    </row>
    <row r="18201">
      <c r="P18201" s="42"/>
      <c r="AB18201" s="38"/>
    </row>
    <row r="18202">
      <c r="P18202" s="42"/>
      <c r="AB18202" s="38"/>
    </row>
    <row r="18203">
      <c r="P18203" s="42"/>
      <c r="AB18203" s="38"/>
    </row>
    <row r="18204">
      <c r="P18204" s="42"/>
      <c r="AB18204" s="38"/>
    </row>
    <row r="18205">
      <c r="P18205" s="42"/>
      <c r="AB18205" s="38"/>
    </row>
    <row r="18206">
      <c r="P18206" s="42"/>
      <c r="AB18206" s="38"/>
    </row>
    <row r="18207">
      <c r="P18207" s="42"/>
      <c r="AB18207" s="38"/>
    </row>
    <row r="18208">
      <c r="P18208" s="42"/>
      <c r="AB18208" s="38"/>
    </row>
    <row r="18209">
      <c r="P18209" s="42"/>
      <c r="AB18209" s="38"/>
    </row>
    <row r="18210">
      <c r="P18210" s="42"/>
      <c r="AB18210" s="38"/>
    </row>
    <row r="18211">
      <c r="P18211" s="42"/>
      <c r="AB18211" s="38"/>
    </row>
    <row r="18212">
      <c r="P18212" s="42"/>
      <c r="AB18212" s="38"/>
    </row>
    <row r="18213">
      <c r="P18213" s="42"/>
      <c r="AB18213" s="38"/>
    </row>
    <row r="18214">
      <c r="P18214" s="42"/>
      <c r="AB18214" s="38"/>
    </row>
    <row r="18215">
      <c r="P18215" s="42"/>
      <c r="AB18215" s="38"/>
    </row>
    <row r="18216">
      <c r="P18216" s="42"/>
      <c r="AB18216" s="38"/>
    </row>
    <row r="18217">
      <c r="P18217" s="42"/>
      <c r="AB18217" s="38"/>
    </row>
    <row r="18218">
      <c r="P18218" s="42"/>
      <c r="AB18218" s="38"/>
    </row>
    <row r="18219">
      <c r="P18219" s="42"/>
      <c r="AB18219" s="38"/>
    </row>
    <row r="18220">
      <c r="P18220" s="42"/>
      <c r="AB18220" s="38"/>
    </row>
    <row r="18221">
      <c r="P18221" s="42"/>
      <c r="AB18221" s="38"/>
    </row>
    <row r="18222">
      <c r="P18222" s="42"/>
      <c r="AB18222" s="38"/>
    </row>
    <row r="18223">
      <c r="P18223" s="42"/>
      <c r="AB18223" s="38"/>
    </row>
    <row r="18224">
      <c r="P18224" s="42"/>
      <c r="AB18224" s="38"/>
    </row>
    <row r="18225">
      <c r="P18225" s="42"/>
      <c r="AB18225" s="38"/>
    </row>
    <row r="18226">
      <c r="P18226" s="42"/>
      <c r="AB18226" s="38"/>
    </row>
    <row r="18227">
      <c r="P18227" s="42"/>
      <c r="AB18227" s="38"/>
    </row>
    <row r="18228">
      <c r="P18228" s="42"/>
      <c r="AB18228" s="38"/>
    </row>
    <row r="18229">
      <c r="P18229" s="42"/>
      <c r="AB18229" s="38"/>
    </row>
    <row r="18230">
      <c r="P18230" s="42"/>
      <c r="AB18230" s="38"/>
    </row>
    <row r="18231">
      <c r="P18231" s="42"/>
      <c r="AB18231" s="38"/>
    </row>
    <row r="18232">
      <c r="P18232" s="42"/>
      <c r="AB18232" s="38"/>
    </row>
    <row r="18233">
      <c r="P18233" s="42"/>
      <c r="AB18233" s="38"/>
    </row>
    <row r="18234">
      <c r="P18234" s="42"/>
      <c r="AB18234" s="38"/>
    </row>
    <row r="18235">
      <c r="P18235" s="42"/>
      <c r="AB18235" s="38"/>
    </row>
    <row r="18236">
      <c r="P18236" s="42"/>
      <c r="AB18236" s="38"/>
    </row>
    <row r="18237">
      <c r="P18237" s="42"/>
      <c r="AB18237" s="38"/>
    </row>
    <row r="18238">
      <c r="P18238" s="42"/>
      <c r="AB18238" s="38"/>
    </row>
    <row r="18239">
      <c r="P18239" s="42"/>
      <c r="AB18239" s="38"/>
    </row>
    <row r="18240">
      <c r="P18240" s="42"/>
      <c r="AB18240" s="38"/>
    </row>
    <row r="18241">
      <c r="P18241" s="42"/>
      <c r="AB18241" s="38"/>
    </row>
    <row r="18242">
      <c r="P18242" s="42"/>
      <c r="AB18242" s="38"/>
    </row>
    <row r="18243">
      <c r="P18243" s="42"/>
      <c r="AB18243" s="38"/>
    </row>
    <row r="18244">
      <c r="P18244" s="42"/>
      <c r="AB18244" s="38"/>
    </row>
    <row r="18245">
      <c r="P18245" s="42"/>
      <c r="AB18245" s="38"/>
    </row>
    <row r="18246">
      <c r="P18246" s="42"/>
      <c r="AB18246" s="38"/>
    </row>
    <row r="18247">
      <c r="P18247" s="42"/>
      <c r="AB18247" s="38"/>
    </row>
    <row r="18248">
      <c r="P18248" s="42"/>
      <c r="AB18248" s="38"/>
    </row>
    <row r="18249">
      <c r="P18249" s="42"/>
      <c r="AB18249" s="38"/>
    </row>
    <row r="18250">
      <c r="P18250" s="42"/>
      <c r="AB18250" s="38"/>
    </row>
    <row r="18251">
      <c r="P18251" s="42"/>
      <c r="AB18251" s="38"/>
    </row>
    <row r="18252">
      <c r="P18252" s="42"/>
      <c r="AB18252" s="38"/>
    </row>
    <row r="18253">
      <c r="P18253" s="42"/>
      <c r="AB18253" s="38"/>
    </row>
    <row r="18254">
      <c r="P18254" s="42"/>
      <c r="AB18254" s="38"/>
    </row>
    <row r="18255">
      <c r="P18255" s="42"/>
      <c r="AB18255" s="38"/>
    </row>
    <row r="18256">
      <c r="P18256" s="42"/>
      <c r="AB18256" s="38"/>
    </row>
    <row r="18257">
      <c r="P18257" s="42"/>
      <c r="AB18257" s="38"/>
    </row>
    <row r="18258">
      <c r="P18258" s="42"/>
      <c r="AB18258" s="38"/>
    </row>
    <row r="18259">
      <c r="P18259" s="42"/>
      <c r="AB18259" s="38"/>
    </row>
    <row r="18260">
      <c r="P18260" s="42"/>
      <c r="AB18260" s="38"/>
    </row>
    <row r="18261">
      <c r="P18261" s="42"/>
      <c r="AB18261" s="38"/>
    </row>
    <row r="18262">
      <c r="P18262" s="42"/>
      <c r="AB18262" s="38"/>
    </row>
    <row r="18263">
      <c r="P18263" s="42"/>
      <c r="AB18263" s="38"/>
    </row>
    <row r="18264">
      <c r="P18264" s="42"/>
      <c r="AB18264" s="38"/>
    </row>
    <row r="18265">
      <c r="P18265" s="42"/>
      <c r="AB18265" s="38"/>
    </row>
    <row r="18266">
      <c r="P18266" s="42"/>
      <c r="AB18266" s="38"/>
    </row>
    <row r="18267">
      <c r="P18267" s="42"/>
      <c r="AB18267" s="38"/>
    </row>
    <row r="18268">
      <c r="P18268" s="42"/>
      <c r="AB18268" s="38"/>
    </row>
    <row r="18269">
      <c r="P18269" s="42"/>
      <c r="AB18269" s="38"/>
    </row>
    <row r="18270">
      <c r="P18270" s="42"/>
      <c r="AB18270" s="38"/>
    </row>
    <row r="18271">
      <c r="P18271" s="42"/>
      <c r="AB18271" s="38"/>
    </row>
    <row r="18272">
      <c r="P18272" s="42"/>
      <c r="AB18272" s="38"/>
    </row>
    <row r="18273">
      <c r="P18273" s="42"/>
      <c r="AB18273" s="38"/>
    </row>
    <row r="18274">
      <c r="P18274" s="42"/>
      <c r="AB18274" s="38"/>
    </row>
    <row r="18275">
      <c r="P18275" s="42"/>
      <c r="AB18275" s="38"/>
    </row>
    <row r="18276">
      <c r="P18276" s="42"/>
      <c r="AB18276" s="38"/>
    </row>
    <row r="18277">
      <c r="P18277" s="42"/>
      <c r="AB18277" s="38"/>
    </row>
    <row r="18278">
      <c r="P18278" s="42"/>
      <c r="AB18278" s="38"/>
    </row>
    <row r="18279">
      <c r="P18279" s="42"/>
      <c r="AB18279" s="38"/>
    </row>
    <row r="18280">
      <c r="P18280" s="42"/>
      <c r="AB18280" s="38"/>
    </row>
    <row r="18281">
      <c r="P18281" s="42"/>
      <c r="AB18281" s="38"/>
    </row>
    <row r="18282">
      <c r="P18282" s="42"/>
      <c r="AB18282" s="38"/>
    </row>
    <row r="18283">
      <c r="P18283" s="42"/>
      <c r="AB18283" s="38"/>
    </row>
    <row r="18284">
      <c r="P18284" s="42"/>
      <c r="AB18284" s="38"/>
    </row>
    <row r="18285">
      <c r="P18285" s="42"/>
      <c r="AB18285" s="38"/>
    </row>
    <row r="18286">
      <c r="P18286" s="42"/>
      <c r="AB18286" s="38"/>
    </row>
    <row r="18287">
      <c r="P18287" s="42"/>
      <c r="AB18287" s="38"/>
    </row>
    <row r="18288">
      <c r="P18288" s="42"/>
      <c r="AB18288" s="38"/>
    </row>
    <row r="18289">
      <c r="P18289" s="42"/>
      <c r="AB18289" s="38"/>
    </row>
    <row r="18290">
      <c r="P18290" s="42"/>
      <c r="AB18290" s="38"/>
    </row>
    <row r="18291">
      <c r="P18291" s="42"/>
      <c r="AB18291" s="38"/>
    </row>
    <row r="18292">
      <c r="P18292" s="42"/>
      <c r="AB18292" s="38"/>
    </row>
    <row r="18293">
      <c r="P18293" s="42"/>
      <c r="AB18293" s="38"/>
    </row>
    <row r="18294">
      <c r="P18294" s="42"/>
      <c r="AB18294" s="38"/>
    </row>
    <row r="18295">
      <c r="P18295" s="42"/>
      <c r="AB18295" s="38"/>
    </row>
    <row r="18296">
      <c r="P18296" s="42"/>
      <c r="AB18296" s="38"/>
    </row>
    <row r="18297">
      <c r="P18297" s="42"/>
      <c r="AB18297" s="38"/>
    </row>
    <row r="18298">
      <c r="P18298" s="42"/>
      <c r="AB18298" s="38"/>
    </row>
    <row r="18299">
      <c r="P18299" s="42"/>
      <c r="AB18299" s="38"/>
    </row>
    <row r="18300">
      <c r="P18300" s="42"/>
      <c r="AB18300" s="38"/>
    </row>
    <row r="18301">
      <c r="P18301" s="42"/>
      <c r="AB18301" s="38"/>
    </row>
    <row r="18302">
      <c r="P18302" s="42"/>
      <c r="AB18302" s="38"/>
    </row>
    <row r="18303">
      <c r="P18303" s="42"/>
      <c r="AB18303" s="38"/>
    </row>
    <row r="18304">
      <c r="P18304" s="42"/>
      <c r="AB18304" s="38"/>
    </row>
    <row r="18305">
      <c r="P18305" s="42"/>
      <c r="AB18305" s="38"/>
    </row>
    <row r="18306">
      <c r="P18306" s="42"/>
      <c r="AB18306" s="38"/>
    </row>
    <row r="18307">
      <c r="P18307" s="42"/>
      <c r="AB18307" s="38"/>
    </row>
    <row r="18308">
      <c r="P18308" s="42"/>
      <c r="AB18308" s="38"/>
    </row>
    <row r="18309">
      <c r="P18309" s="42"/>
      <c r="AB18309" s="38"/>
    </row>
    <row r="18310">
      <c r="P18310" s="42"/>
      <c r="AB18310" s="38"/>
    </row>
    <row r="18311">
      <c r="P18311" s="42"/>
      <c r="AB18311" s="38"/>
    </row>
    <row r="18312">
      <c r="P18312" s="42"/>
      <c r="AB18312" s="38"/>
    </row>
    <row r="18313">
      <c r="P18313" s="42"/>
      <c r="AB18313" s="38"/>
    </row>
    <row r="18314">
      <c r="P18314" s="42"/>
      <c r="AB18314" s="38"/>
    </row>
    <row r="18315">
      <c r="P18315" s="42"/>
      <c r="AB18315" s="38"/>
    </row>
    <row r="18316">
      <c r="P18316" s="42"/>
      <c r="AB18316" s="38"/>
    </row>
    <row r="18317">
      <c r="P18317" s="42"/>
      <c r="AB18317" s="38"/>
    </row>
    <row r="18318">
      <c r="P18318" s="42"/>
      <c r="AB18318" s="38"/>
    </row>
    <row r="18319">
      <c r="P18319" s="42"/>
      <c r="AB18319" s="38"/>
    </row>
    <row r="18320">
      <c r="P18320" s="42"/>
      <c r="AB18320" s="38"/>
    </row>
    <row r="18321">
      <c r="P18321" s="42"/>
      <c r="AB18321" s="38"/>
    </row>
    <row r="18322">
      <c r="P18322" s="42"/>
      <c r="AB18322" s="38"/>
    </row>
    <row r="18323">
      <c r="P18323" s="42"/>
      <c r="AB18323" s="38"/>
    </row>
    <row r="18324">
      <c r="P18324" s="42"/>
      <c r="AB18324" s="38"/>
    </row>
    <row r="18325">
      <c r="P18325" s="42"/>
      <c r="AB18325" s="38"/>
    </row>
    <row r="18326">
      <c r="P18326" s="42"/>
      <c r="AB18326" s="38"/>
    </row>
    <row r="18327">
      <c r="P18327" s="42"/>
      <c r="AB18327" s="38"/>
    </row>
    <row r="18328">
      <c r="P18328" s="42"/>
      <c r="AB18328" s="38"/>
    </row>
    <row r="18329">
      <c r="P18329" s="42"/>
      <c r="AB18329" s="38"/>
    </row>
    <row r="18330">
      <c r="P18330" s="42"/>
      <c r="AB18330" s="38"/>
    </row>
    <row r="18331">
      <c r="P18331" s="42"/>
      <c r="AB18331" s="38"/>
    </row>
    <row r="18332">
      <c r="P18332" s="42"/>
      <c r="AB18332" s="38"/>
    </row>
    <row r="18333">
      <c r="P18333" s="42"/>
      <c r="AB18333" s="38"/>
    </row>
    <row r="18334">
      <c r="P18334" s="42"/>
      <c r="AB18334" s="38"/>
    </row>
    <row r="18335">
      <c r="P18335" s="42"/>
      <c r="AB18335" s="38"/>
    </row>
    <row r="18336">
      <c r="P18336" s="42"/>
      <c r="AB18336" s="38"/>
    </row>
    <row r="18337">
      <c r="P18337" s="42"/>
      <c r="AB18337" s="38"/>
    </row>
    <row r="18338">
      <c r="P18338" s="42"/>
      <c r="AB18338" s="38"/>
    </row>
    <row r="18339">
      <c r="P18339" s="42"/>
      <c r="AB18339" s="38"/>
    </row>
    <row r="18340">
      <c r="P18340" s="42"/>
      <c r="AB18340" s="38"/>
    </row>
    <row r="18341">
      <c r="P18341" s="42"/>
      <c r="AB18341" s="38"/>
    </row>
    <row r="18342">
      <c r="P18342" s="42"/>
      <c r="AB18342" s="38"/>
    </row>
    <row r="18343">
      <c r="P18343" s="42"/>
      <c r="AB18343" s="38"/>
    </row>
    <row r="18344">
      <c r="P18344" s="42"/>
      <c r="AB18344" s="38"/>
    </row>
    <row r="18345">
      <c r="P18345" s="42"/>
      <c r="AB18345" s="38"/>
    </row>
    <row r="18346">
      <c r="P18346" s="42"/>
      <c r="AB18346" s="38"/>
    </row>
    <row r="18347">
      <c r="P18347" s="42"/>
      <c r="AB18347" s="38"/>
    </row>
    <row r="18348">
      <c r="P18348" s="42"/>
      <c r="AB18348" s="38"/>
    </row>
    <row r="18349">
      <c r="P18349" s="42"/>
      <c r="AB18349" s="38"/>
    </row>
    <row r="18350">
      <c r="P18350" s="42"/>
      <c r="AB18350" s="38"/>
    </row>
    <row r="18351">
      <c r="P18351" s="42"/>
      <c r="AB18351" s="38"/>
    </row>
    <row r="18352">
      <c r="P18352" s="42"/>
      <c r="AB18352" s="38"/>
    </row>
    <row r="18353">
      <c r="P18353" s="42"/>
      <c r="AB18353" s="38"/>
    </row>
    <row r="18354">
      <c r="P18354" s="42"/>
      <c r="AB18354" s="38"/>
    </row>
    <row r="18355">
      <c r="P18355" s="42"/>
      <c r="AB18355" s="38"/>
    </row>
    <row r="18356">
      <c r="P18356" s="42"/>
      <c r="AB18356" s="38"/>
    </row>
    <row r="18357">
      <c r="P18357" s="42"/>
      <c r="AB18357" s="38"/>
    </row>
    <row r="18358">
      <c r="P18358" s="42"/>
      <c r="AB18358" s="38"/>
    </row>
    <row r="18359">
      <c r="P18359" s="42"/>
      <c r="AB18359" s="38"/>
    </row>
    <row r="18360">
      <c r="P18360" s="42"/>
      <c r="AB18360" s="38"/>
    </row>
    <row r="18361">
      <c r="P18361" s="42"/>
      <c r="AB18361" s="38"/>
    </row>
    <row r="18362">
      <c r="P18362" s="42"/>
      <c r="AB18362" s="38"/>
    </row>
    <row r="18363">
      <c r="P18363" s="42"/>
      <c r="AB18363" s="38"/>
    </row>
    <row r="18364">
      <c r="P18364" s="42"/>
      <c r="AB18364" s="38"/>
    </row>
    <row r="18365">
      <c r="P18365" s="42"/>
      <c r="AB18365" s="38"/>
    </row>
    <row r="18366">
      <c r="P18366" s="42"/>
      <c r="AB18366" s="38"/>
    </row>
    <row r="18367">
      <c r="P18367" s="42"/>
      <c r="AB18367" s="38"/>
    </row>
    <row r="18368">
      <c r="P18368" s="42"/>
      <c r="AB18368" s="38"/>
    </row>
    <row r="18369">
      <c r="P18369" s="42"/>
      <c r="AB18369" s="38"/>
    </row>
    <row r="18370">
      <c r="P18370" s="42"/>
      <c r="AB18370" s="38"/>
    </row>
    <row r="18371">
      <c r="P18371" s="42"/>
      <c r="AB18371" s="38"/>
    </row>
    <row r="18372">
      <c r="P18372" s="42"/>
      <c r="AB18372" s="38"/>
    </row>
    <row r="18373">
      <c r="P18373" s="42"/>
      <c r="AB18373" s="38"/>
    </row>
    <row r="18374">
      <c r="P18374" s="42"/>
      <c r="AB18374" s="38"/>
    </row>
    <row r="18375">
      <c r="P18375" s="42"/>
      <c r="AB18375" s="38"/>
    </row>
    <row r="18376">
      <c r="P18376" s="42"/>
      <c r="AB18376" s="38"/>
    </row>
    <row r="18377">
      <c r="P18377" s="42"/>
      <c r="AB18377" s="38"/>
    </row>
    <row r="18378">
      <c r="P18378" s="42"/>
      <c r="AB18378" s="38"/>
    </row>
    <row r="18379">
      <c r="P18379" s="42"/>
      <c r="AB18379" s="38"/>
    </row>
    <row r="18380">
      <c r="P18380" s="42"/>
      <c r="AB18380" s="38"/>
    </row>
    <row r="18381">
      <c r="P18381" s="42"/>
      <c r="AB18381" s="38"/>
    </row>
    <row r="18382">
      <c r="P18382" s="42"/>
      <c r="AB18382" s="38"/>
    </row>
    <row r="18383">
      <c r="P18383" s="42"/>
      <c r="AB18383" s="38"/>
    </row>
    <row r="18384">
      <c r="P18384" s="42"/>
      <c r="AB18384" s="38"/>
    </row>
    <row r="18385">
      <c r="P18385" s="42"/>
      <c r="AB18385" s="38"/>
    </row>
    <row r="18386">
      <c r="P18386" s="42"/>
      <c r="AB18386" s="38"/>
    </row>
    <row r="18387">
      <c r="P18387" s="42"/>
      <c r="AB18387" s="38"/>
    </row>
    <row r="18388">
      <c r="P18388" s="42"/>
      <c r="AB18388" s="38"/>
    </row>
    <row r="18389">
      <c r="P18389" s="42"/>
      <c r="AB18389" s="38"/>
    </row>
    <row r="18390">
      <c r="P18390" s="42"/>
      <c r="AB18390" s="38"/>
    </row>
    <row r="18391">
      <c r="P18391" s="42"/>
      <c r="AB18391" s="38"/>
    </row>
    <row r="18392">
      <c r="P18392" s="42"/>
      <c r="AB18392" s="38"/>
    </row>
    <row r="18393">
      <c r="P18393" s="42"/>
      <c r="AB18393" s="38"/>
    </row>
    <row r="18394">
      <c r="P18394" s="42"/>
      <c r="AB18394" s="38"/>
    </row>
    <row r="18395">
      <c r="P18395" s="42"/>
      <c r="AB18395" s="38"/>
    </row>
    <row r="18396">
      <c r="P18396" s="42"/>
      <c r="AB18396" s="38"/>
    </row>
    <row r="18397">
      <c r="P18397" s="42"/>
      <c r="AB18397" s="38"/>
    </row>
    <row r="18398">
      <c r="P18398" s="42"/>
      <c r="AB18398" s="38"/>
    </row>
    <row r="18399">
      <c r="P18399" s="42"/>
      <c r="AB18399" s="38"/>
    </row>
    <row r="18400">
      <c r="P18400" s="42"/>
      <c r="AB18400" s="38"/>
    </row>
    <row r="18401">
      <c r="P18401" s="42"/>
      <c r="AB18401" s="38"/>
    </row>
    <row r="18402">
      <c r="P18402" s="42"/>
      <c r="AB18402" s="38"/>
    </row>
    <row r="18403">
      <c r="P18403" s="42"/>
      <c r="AB18403" s="38"/>
    </row>
    <row r="18404">
      <c r="P18404" s="42"/>
      <c r="AB18404" s="38"/>
    </row>
    <row r="18405">
      <c r="P18405" s="42"/>
      <c r="AB18405" s="38"/>
    </row>
    <row r="18406">
      <c r="P18406" s="42"/>
      <c r="AB18406" s="38"/>
    </row>
    <row r="18407">
      <c r="P18407" s="42"/>
      <c r="AB18407" s="38"/>
    </row>
    <row r="18408">
      <c r="P18408" s="42"/>
      <c r="AB18408" s="38"/>
    </row>
    <row r="18409">
      <c r="P18409" s="42"/>
      <c r="AB18409" s="38"/>
    </row>
    <row r="18410">
      <c r="P18410" s="42"/>
      <c r="AB18410" s="38"/>
    </row>
    <row r="18411">
      <c r="P18411" s="42"/>
      <c r="AB18411" s="38"/>
    </row>
    <row r="18412">
      <c r="P18412" s="42"/>
      <c r="AB18412" s="38"/>
    </row>
    <row r="18413">
      <c r="P18413" s="42"/>
      <c r="AB18413" s="38"/>
    </row>
    <row r="18414">
      <c r="P18414" s="42"/>
      <c r="AB18414" s="38"/>
    </row>
    <row r="18415">
      <c r="P18415" s="42"/>
      <c r="AB18415" s="38"/>
    </row>
    <row r="18416">
      <c r="P18416" s="42"/>
      <c r="AB18416" s="38"/>
    </row>
    <row r="18417">
      <c r="P18417" s="42"/>
      <c r="AB18417" s="38"/>
    </row>
    <row r="18418">
      <c r="P18418" s="42"/>
      <c r="AB18418" s="38"/>
    </row>
    <row r="18419">
      <c r="P18419" s="42"/>
      <c r="AB18419" s="38"/>
    </row>
    <row r="18420">
      <c r="P18420" s="42"/>
      <c r="AB18420" s="38"/>
    </row>
    <row r="18421">
      <c r="P18421" s="42"/>
      <c r="AB18421" s="38"/>
    </row>
    <row r="18422">
      <c r="P18422" s="42"/>
      <c r="AB18422" s="38"/>
    </row>
    <row r="18423">
      <c r="P18423" s="42"/>
      <c r="AB18423" s="38"/>
    </row>
    <row r="18424">
      <c r="P18424" s="42"/>
      <c r="AB18424" s="38"/>
    </row>
    <row r="18425">
      <c r="P18425" s="42"/>
      <c r="AB18425" s="38"/>
    </row>
    <row r="18426">
      <c r="P18426" s="42"/>
      <c r="AB18426" s="38"/>
    </row>
    <row r="18427">
      <c r="P18427" s="42"/>
      <c r="AB18427" s="38"/>
    </row>
    <row r="18428">
      <c r="P18428" s="42"/>
      <c r="AB18428" s="38"/>
    </row>
    <row r="18429">
      <c r="P18429" s="42"/>
      <c r="AB18429" s="38"/>
    </row>
    <row r="18430">
      <c r="P18430" s="42"/>
      <c r="AB18430" s="38"/>
    </row>
    <row r="18431">
      <c r="P18431" s="42"/>
      <c r="AB18431" s="38"/>
    </row>
    <row r="18432">
      <c r="P18432" s="42"/>
      <c r="AB18432" s="38"/>
    </row>
    <row r="18433">
      <c r="P18433" s="42"/>
      <c r="AB18433" s="38"/>
    </row>
    <row r="18434">
      <c r="P18434" s="42"/>
      <c r="AB18434" s="38"/>
    </row>
    <row r="18435">
      <c r="P18435" s="42"/>
      <c r="AB18435" s="38"/>
    </row>
    <row r="18436">
      <c r="P18436" s="42"/>
      <c r="AB18436" s="38"/>
    </row>
    <row r="18437">
      <c r="P18437" s="42"/>
      <c r="AB18437" s="38"/>
    </row>
    <row r="18438">
      <c r="P18438" s="42"/>
      <c r="AB18438" s="38"/>
    </row>
    <row r="18439">
      <c r="P18439" s="42"/>
      <c r="AB18439" s="38"/>
    </row>
    <row r="18440">
      <c r="P18440" s="42"/>
      <c r="AB18440" s="38"/>
    </row>
    <row r="18441">
      <c r="P18441" s="42"/>
      <c r="AB18441" s="38"/>
    </row>
    <row r="18442">
      <c r="P18442" s="42"/>
      <c r="AB18442" s="38"/>
    </row>
    <row r="18443">
      <c r="P18443" s="42"/>
      <c r="AB18443" s="38"/>
    </row>
    <row r="18444">
      <c r="P18444" s="42"/>
      <c r="AB18444" s="38"/>
    </row>
    <row r="18445">
      <c r="P18445" s="42"/>
      <c r="AB18445" s="38"/>
    </row>
    <row r="18446">
      <c r="P18446" s="42"/>
      <c r="AB18446" s="38"/>
    </row>
    <row r="18447">
      <c r="P18447" s="42"/>
      <c r="AB18447" s="38"/>
    </row>
    <row r="18448">
      <c r="P18448" s="42"/>
      <c r="AB18448" s="38"/>
    </row>
    <row r="18449">
      <c r="P18449" s="42"/>
      <c r="AB18449" s="38"/>
    </row>
    <row r="18450">
      <c r="P18450" s="42"/>
      <c r="AB18450" s="38"/>
    </row>
    <row r="18451">
      <c r="P18451" s="42"/>
      <c r="AB18451" s="38"/>
    </row>
    <row r="18452">
      <c r="P18452" s="42"/>
      <c r="AB18452" s="38"/>
    </row>
    <row r="18453">
      <c r="P18453" s="42"/>
      <c r="AB18453" s="38"/>
    </row>
    <row r="18454">
      <c r="P18454" s="42"/>
      <c r="AB18454" s="38"/>
    </row>
    <row r="18455">
      <c r="P18455" s="42"/>
      <c r="AB18455" s="38"/>
    </row>
    <row r="18456">
      <c r="P18456" s="42"/>
      <c r="AB18456" s="38"/>
    </row>
    <row r="18457">
      <c r="P18457" s="42"/>
      <c r="AB18457" s="38"/>
    </row>
    <row r="18458">
      <c r="P18458" s="42"/>
      <c r="AB18458" s="38"/>
    </row>
    <row r="18459">
      <c r="P18459" s="42"/>
      <c r="AB18459" s="38"/>
    </row>
    <row r="18460">
      <c r="P18460" s="42"/>
      <c r="AB18460" s="38"/>
    </row>
    <row r="18461">
      <c r="P18461" s="42"/>
      <c r="AB18461" s="38"/>
    </row>
    <row r="18462">
      <c r="P18462" s="42"/>
      <c r="AB18462" s="38"/>
    </row>
    <row r="18463">
      <c r="P18463" s="42"/>
      <c r="AB18463" s="38"/>
    </row>
    <row r="18464">
      <c r="P18464" s="42"/>
      <c r="AB18464" s="38"/>
    </row>
    <row r="18465">
      <c r="P18465" s="42"/>
      <c r="AB18465" s="38"/>
    </row>
    <row r="18466">
      <c r="P18466" s="42"/>
      <c r="AB18466" s="38"/>
    </row>
    <row r="18467">
      <c r="P18467" s="42"/>
      <c r="AB18467" s="38"/>
    </row>
    <row r="18468">
      <c r="P18468" s="42"/>
      <c r="AB18468" s="38"/>
    </row>
    <row r="18469">
      <c r="P18469" s="42"/>
      <c r="AB18469" s="38"/>
    </row>
    <row r="18470">
      <c r="P18470" s="42"/>
      <c r="AB18470" s="38"/>
    </row>
    <row r="18471">
      <c r="P18471" s="42"/>
      <c r="AB18471" s="38"/>
    </row>
    <row r="18472">
      <c r="P18472" s="42"/>
      <c r="AB18472" s="38"/>
    </row>
    <row r="18473">
      <c r="P18473" s="42"/>
      <c r="AB18473" s="38"/>
    </row>
    <row r="18474">
      <c r="P18474" s="42"/>
      <c r="AB18474" s="38"/>
    </row>
    <row r="18475">
      <c r="P18475" s="42"/>
      <c r="AB18475" s="38"/>
    </row>
    <row r="18476">
      <c r="P18476" s="42"/>
      <c r="AB18476" s="38"/>
    </row>
    <row r="18477">
      <c r="P18477" s="42"/>
      <c r="AB18477" s="38"/>
    </row>
    <row r="18478">
      <c r="P18478" s="42"/>
      <c r="AB18478" s="38"/>
    </row>
    <row r="18479">
      <c r="P18479" s="42"/>
      <c r="AB18479" s="38"/>
    </row>
    <row r="18480">
      <c r="P18480" s="42"/>
      <c r="AB18480" s="38"/>
    </row>
    <row r="18481">
      <c r="P18481" s="42"/>
      <c r="AB18481" s="38"/>
    </row>
    <row r="18482">
      <c r="P18482" s="42"/>
      <c r="AB18482" s="38"/>
    </row>
    <row r="18483">
      <c r="P18483" s="42"/>
      <c r="AB18483" s="38"/>
    </row>
    <row r="18484">
      <c r="P18484" s="42"/>
      <c r="AB18484" s="38"/>
    </row>
    <row r="18485">
      <c r="P18485" s="42"/>
      <c r="AB18485" s="38"/>
    </row>
    <row r="18486">
      <c r="P18486" s="42"/>
      <c r="AB18486" s="38"/>
    </row>
    <row r="18487">
      <c r="P18487" s="42"/>
      <c r="AB18487" s="38"/>
    </row>
    <row r="18488">
      <c r="P18488" s="42"/>
      <c r="AB18488" s="38"/>
    </row>
    <row r="18489">
      <c r="P18489" s="42"/>
      <c r="AB18489" s="38"/>
    </row>
    <row r="18490">
      <c r="P18490" s="42"/>
      <c r="AB18490" s="38"/>
    </row>
    <row r="18491">
      <c r="P18491" s="42"/>
      <c r="AB18491" s="38"/>
    </row>
    <row r="18492">
      <c r="P18492" s="42"/>
      <c r="AB18492" s="38"/>
    </row>
    <row r="18493">
      <c r="P18493" s="42"/>
      <c r="AB18493" s="38"/>
    </row>
    <row r="18494">
      <c r="P18494" s="42"/>
      <c r="AB18494" s="38"/>
    </row>
    <row r="18495">
      <c r="P18495" s="42"/>
      <c r="AB18495" s="38"/>
    </row>
    <row r="18496">
      <c r="P18496" s="42"/>
      <c r="AB18496" s="38"/>
    </row>
    <row r="18497">
      <c r="P18497" s="42"/>
      <c r="AB18497" s="38"/>
    </row>
    <row r="18498">
      <c r="P18498" s="42"/>
      <c r="AB18498" s="38"/>
    </row>
    <row r="18499">
      <c r="P18499" s="42"/>
      <c r="AB18499" s="38"/>
    </row>
    <row r="18500">
      <c r="P18500" s="42"/>
      <c r="AB18500" s="38"/>
    </row>
    <row r="18501">
      <c r="P18501" s="42"/>
      <c r="AB18501" s="38"/>
    </row>
    <row r="18502">
      <c r="P18502" s="42"/>
      <c r="AB18502" s="38"/>
    </row>
    <row r="18503">
      <c r="P18503" s="42"/>
      <c r="AB18503" s="38"/>
    </row>
    <row r="18504">
      <c r="P18504" s="42"/>
      <c r="AB18504" s="38"/>
    </row>
    <row r="18505">
      <c r="P18505" s="42"/>
      <c r="AB18505" s="38"/>
    </row>
    <row r="18506">
      <c r="P18506" s="42"/>
      <c r="AB18506" s="38"/>
    </row>
    <row r="18507">
      <c r="P18507" s="42"/>
      <c r="AB18507" s="38"/>
    </row>
    <row r="18508">
      <c r="P18508" s="42"/>
      <c r="AB18508" s="38"/>
    </row>
    <row r="18509">
      <c r="P18509" s="42"/>
      <c r="AB18509" s="38"/>
    </row>
    <row r="18510">
      <c r="P18510" s="42"/>
      <c r="AB18510" s="38"/>
    </row>
    <row r="18511">
      <c r="P18511" s="42"/>
      <c r="AB18511" s="38"/>
    </row>
    <row r="18512">
      <c r="P18512" s="42"/>
      <c r="AB18512" s="38"/>
    </row>
    <row r="18513">
      <c r="P18513" s="42"/>
      <c r="AB18513" s="38"/>
    </row>
    <row r="18514">
      <c r="P18514" s="42"/>
      <c r="AB18514" s="38"/>
    </row>
    <row r="18515">
      <c r="P18515" s="42"/>
      <c r="AB18515" s="38"/>
    </row>
    <row r="18516">
      <c r="P18516" s="42"/>
      <c r="AB18516" s="38"/>
    </row>
    <row r="18517">
      <c r="P18517" s="42"/>
      <c r="AB18517" s="38"/>
    </row>
    <row r="18518">
      <c r="P18518" s="42"/>
      <c r="AB18518" s="38"/>
    </row>
    <row r="18519">
      <c r="P18519" s="42"/>
      <c r="AB18519" s="38"/>
    </row>
    <row r="18520">
      <c r="P18520" s="42"/>
      <c r="AB18520" s="38"/>
    </row>
    <row r="18521">
      <c r="P18521" s="42"/>
      <c r="AB18521" s="38"/>
    </row>
    <row r="18522">
      <c r="P18522" s="42"/>
      <c r="AB18522" s="38"/>
    </row>
    <row r="18523">
      <c r="P18523" s="42"/>
      <c r="AB18523" s="38"/>
    </row>
    <row r="18524">
      <c r="P18524" s="42"/>
      <c r="AB18524" s="38"/>
    </row>
    <row r="18525">
      <c r="P18525" s="42"/>
      <c r="AB18525" s="38"/>
    </row>
    <row r="18526">
      <c r="P18526" s="42"/>
      <c r="AB18526" s="38"/>
    </row>
    <row r="18527">
      <c r="P18527" s="42"/>
      <c r="AB18527" s="38"/>
    </row>
    <row r="18528">
      <c r="P18528" s="42"/>
      <c r="AB18528" s="38"/>
    </row>
    <row r="18529">
      <c r="P18529" s="42"/>
      <c r="AB18529" s="38"/>
    </row>
    <row r="18530">
      <c r="P18530" s="42"/>
      <c r="AB18530" s="38"/>
    </row>
    <row r="18531">
      <c r="P18531" s="42"/>
      <c r="AB18531" s="38"/>
    </row>
    <row r="18532">
      <c r="P18532" s="42"/>
      <c r="AB18532" s="38"/>
    </row>
    <row r="18533">
      <c r="P18533" s="42"/>
      <c r="AB18533" s="38"/>
    </row>
    <row r="18534">
      <c r="P18534" s="42"/>
      <c r="AB18534" s="38"/>
    </row>
    <row r="18535">
      <c r="P18535" s="42"/>
      <c r="AB18535" s="38"/>
    </row>
    <row r="18536">
      <c r="P18536" s="42"/>
      <c r="AB18536" s="38"/>
    </row>
    <row r="18537">
      <c r="P18537" s="42"/>
      <c r="AB18537" s="38"/>
    </row>
    <row r="18538">
      <c r="P18538" s="42"/>
      <c r="AB18538" s="38"/>
    </row>
    <row r="18539">
      <c r="P18539" s="42"/>
      <c r="AB18539" s="38"/>
    </row>
    <row r="18540">
      <c r="P18540" s="42"/>
      <c r="AB18540" s="38"/>
    </row>
    <row r="18541">
      <c r="P18541" s="42"/>
      <c r="AB18541" s="38"/>
    </row>
    <row r="18542">
      <c r="P18542" s="42"/>
      <c r="AB18542" s="38"/>
    </row>
    <row r="18543">
      <c r="P18543" s="42"/>
      <c r="AB18543" s="38"/>
    </row>
    <row r="18544">
      <c r="P18544" s="42"/>
      <c r="AB18544" s="38"/>
    </row>
    <row r="18545">
      <c r="P18545" s="42"/>
      <c r="AB18545" s="38"/>
    </row>
    <row r="18546">
      <c r="P18546" s="42"/>
      <c r="AB18546" s="38"/>
    </row>
    <row r="18547">
      <c r="P18547" s="42"/>
      <c r="AB18547" s="38"/>
    </row>
    <row r="18548">
      <c r="P18548" s="42"/>
      <c r="AB18548" s="38"/>
    </row>
    <row r="18549">
      <c r="P18549" s="42"/>
      <c r="AB18549" s="38"/>
    </row>
    <row r="18550">
      <c r="P18550" s="42"/>
      <c r="AB18550" s="38"/>
    </row>
    <row r="18551">
      <c r="P18551" s="42"/>
      <c r="AB18551" s="38"/>
    </row>
    <row r="18552">
      <c r="P18552" s="42"/>
      <c r="AB18552" s="38"/>
    </row>
    <row r="18553">
      <c r="P18553" s="42"/>
      <c r="AB18553" s="38"/>
    </row>
    <row r="18554">
      <c r="P18554" s="42"/>
      <c r="AB18554" s="38"/>
    </row>
    <row r="18555">
      <c r="P18555" s="42"/>
      <c r="AB18555" s="38"/>
    </row>
    <row r="18556">
      <c r="P18556" s="42"/>
      <c r="AB18556" s="38"/>
    </row>
    <row r="18557">
      <c r="P18557" s="42"/>
      <c r="AB18557" s="38"/>
    </row>
    <row r="18558">
      <c r="P18558" s="42"/>
      <c r="AB18558" s="38"/>
    </row>
    <row r="18559">
      <c r="P18559" s="42"/>
      <c r="AB18559" s="38"/>
    </row>
    <row r="18560">
      <c r="P18560" s="42"/>
      <c r="AB18560" s="38"/>
    </row>
    <row r="18561">
      <c r="P18561" s="42"/>
      <c r="AB18561" s="38"/>
    </row>
    <row r="18562">
      <c r="P18562" s="42"/>
      <c r="AB18562" s="38"/>
    </row>
    <row r="18563">
      <c r="P18563" s="42"/>
      <c r="AB18563" s="38"/>
    </row>
    <row r="18564">
      <c r="P18564" s="42"/>
      <c r="AB18564" s="38"/>
    </row>
    <row r="18565">
      <c r="P18565" s="42"/>
      <c r="AB18565" s="38"/>
    </row>
    <row r="18566">
      <c r="P18566" s="42"/>
      <c r="AB18566" s="38"/>
    </row>
    <row r="18567">
      <c r="P18567" s="42"/>
      <c r="AB18567" s="38"/>
    </row>
    <row r="18568">
      <c r="P18568" s="42"/>
      <c r="AB18568" s="38"/>
    </row>
    <row r="18569">
      <c r="P18569" s="42"/>
      <c r="AB18569" s="38"/>
    </row>
    <row r="18570">
      <c r="P18570" s="42"/>
      <c r="AB18570" s="38"/>
    </row>
    <row r="18571">
      <c r="P18571" s="42"/>
      <c r="AB18571" s="38"/>
    </row>
    <row r="18572">
      <c r="P18572" s="42"/>
      <c r="AB18572" s="38"/>
    </row>
    <row r="18573">
      <c r="P18573" s="42"/>
      <c r="AB18573" s="38"/>
    </row>
    <row r="18574">
      <c r="P18574" s="42"/>
      <c r="AB18574" s="38"/>
    </row>
    <row r="18575">
      <c r="P18575" s="42"/>
      <c r="AB18575" s="38"/>
    </row>
    <row r="18576">
      <c r="P18576" s="42"/>
      <c r="AB18576" s="38"/>
    </row>
    <row r="18577">
      <c r="P18577" s="42"/>
      <c r="AB18577" s="38"/>
    </row>
    <row r="18578">
      <c r="P18578" s="42"/>
      <c r="AB18578" s="38"/>
    </row>
    <row r="18579">
      <c r="P18579" s="42"/>
      <c r="AB18579" s="38"/>
    </row>
    <row r="18580">
      <c r="P18580" s="42"/>
      <c r="AB18580" s="38"/>
    </row>
    <row r="18581">
      <c r="P18581" s="42"/>
      <c r="AB18581" s="38"/>
    </row>
    <row r="18582">
      <c r="P18582" s="42"/>
      <c r="AB18582" s="38"/>
    </row>
    <row r="18583">
      <c r="P18583" s="42"/>
      <c r="AB18583" s="38"/>
    </row>
    <row r="18584">
      <c r="P18584" s="42"/>
      <c r="AB18584" s="38"/>
    </row>
    <row r="18585">
      <c r="P18585" s="42"/>
      <c r="AB18585" s="38"/>
    </row>
    <row r="18586">
      <c r="P18586" s="42"/>
      <c r="AB18586" s="38"/>
    </row>
    <row r="18587">
      <c r="P18587" s="42"/>
      <c r="AB18587" s="38"/>
    </row>
    <row r="18588">
      <c r="P18588" s="42"/>
      <c r="AB18588" s="38"/>
    </row>
    <row r="18589">
      <c r="P18589" s="42"/>
      <c r="AB18589" s="38"/>
    </row>
    <row r="18590">
      <c r="P18590" s="42"/>
      <c r="AB18590" s="38"/>
    </row>
    <row r="18591">
      <c r="P18591" s="42"/>
      <c r="AB18591" s="38"/>
    </row>
    <row r="18592">
      <c r="P18592" s="42"/>
      <c r="AB18592" s="38"/>
    </row>
    <row r="18593">
      <c r="P18593" s="42"/>
      <c r="AB18593" s="38"/>
    </row>
    <row r="18594">
      <c r="P18594" s="42"/>
      <c r="AB18594" s="38"/>
    </row>
    <row r="18595">
      <c r="P18595" s="42"/>
      <c r="AB18595" s="38"/>
    </row>
    <row r="18596">
      <c r="P18596" s="42"/>
      <c r="AB18596" s="38"/>
    </row>
    <row r="18597">
      <c r="P18597" s="42"/>
      <c r="AB18597" s="38"/>
    </row>
    <row r="18598">
      <c r="P18598" s="42"/>
      <c r="AB18598" s="38"/>
    </row>
    <row r="18599">
      <c r="P18599" s="42"/>
      <c r="AB18599" s="38"/>
    </row>
    <row r="18600">
      <c r="P18600" s="42"/>
      <c r="AB18600" s="38"/>
    </row>
    <row r="18601">
      <c r="P18601" s="42"/>
      <c r="AB18601" s="38"/>
    </row>
    <row r="18602">
      <c r="P18602" s="42"/>
      <c r="AB18602" s="38"/>
    </row>
    <row r="18603">
      <c r="P18603" s="42"/>
      <c r="AB18603" s="38"/>
    </row>
    <row r="18604">
      <c r="P18604" s="42"/>
      <c r="AB18604" s="38"/>
    </row>
    <row r="18605">
      <c r="P18605" s="42"/>
      <c r="AB18605" s="38"/>
    </row>
    <row r="18606">
      <c r="P18606" s="42"/>
      <c r="AB18606" s="38"/>
    </row>
    <row r="18607">
      <c r="P18607" s="42"/>
      <c r="AB18607" s="38"/>
    </row>
    <row r="18608">
      <c r="P18608" s="42"/>
      <c r="AB18608" s="38"/>
    </row>
    <row r="18609">
      <c r="P18609" s="42"/>
      <c r="AB18609" s="38"/>
    </row>
    <row r="18610">
      <c r="P18610" s="42"/>
      <c r="AB18610" s="38"/>
    </row>
    <row r="18611">
      <c r="P18611" s="42"/>
      <c r="AB18611" s="38"/>
    </row>
    <row r="18612">
      <c r="P18612" s="42"/>
      <c r="AB18612" s="38"/>
    </row>
    <row r="18613">
      <c r="P18613" s="42"/>
      <c r="AB18613" s="38"/>
    </row>
    <row r="18614">
      <c r="P18614" s="42"/>
      <c r="AB18614" s="38"/>
    </row>
    <row r="18615">
      <c r="P18615" s="42"/>
      <c r="AB18615" s="38"/>
    </row>
    <row r="18616">
      <c r="P18616" s="42"/>
      <c r="AB18616" s="38"/>
    </row>
    <row r="18617">
      <c r="P18617" s="42"/>
      <c r="AB18617" s="38"/>
    </row>
    <row r="18618">
      <c r="P18618" s="42"/>
      <c r="AB18618" s="38"/>
    </row>
    <row r="18619">
      <c r="P18619" s="42"/>
      <c r="AB18619" s="38"/>
    </row>
    <row r="18620">
      <c r="P18620" s="42"/>
      <c r="AB18620" s="38"/>
    </row>
    <row r="18621">
      <c r="P18621" s="42"/>
      <c r="AB18621" s="38"/>
    </row>
    <row r="18622">
      <c r="P18622" s="42"/>
      <c r="AB18622" s="38"/>
    </row>
    <row r="18623">
      <c r="P18623" s="42"/>
      <c r="AB18623" s="38"/>
    </row>
    <row r="18624">
      <c r="P18624" s="42"/>
      <c r="AB18624" s="38"/>
    </row>
    <row r="18625">
      <c r="P18625" s="42"/>
      <c r="AB18625" s="38"/>
    </row>
    <row r="18626">
      <c r="P18626" s="42"/>
      <c r="AB18626" s="38"/>
    </row>
    <row r="18627">
      <c r="P18627" s="42"/>
      <c r="AB18627" s="38"/>
    </row>
    <row r="18628">
      <c r="P18628" s="42"/>
      <c r="AB18628" s="38"/>
    </row>
    <row r="18629">
      <c r="P18629" s="42"/>
      <c r="AB18629" s="38"/>
    </row>
    <row r="18630">
      <c r="P18630" s="42"/>
      <c r="AB18630" s="38"/>
    </row>
    <row r="18631">
      <c r="P18631" s="42"/>
      <c r="AB18631" s="38"/>
    </row>
    <row r="18632">
      <c r="P18632" s="42"/>
      <c r="AB18632" s="38"/>
    </row>
    <row r="18633">
      <c r="P18633" s="42"/>
      <c r="AB18633" s="38"/>
    </row>
    <row r="18634">
      <c r="P18634" s="42"/>
      <c r="AB18634" s="38"/>
    </row>
    <row r="18635">
      <c r="P18635" s="42"/>
      <c r="AB18635" s="38"/>
    </row>
    <row r="18636">
      <c r="P18636" s="42"/>
      <c r="AB18636" s="38"/>
    </row>
    <row r="18637">
      <c r="P18637" s="42"/>
      <c r="AB18637" s="38"/>
    </row>
    <row r="18638">
      <c r="P18638" s="42"/>
      <c r="AB18638" s="38"/>
    </row>
    <row r="18639">
      <c r="P18639" s="42"/>
      <c r="AB18639" s="38"/>
    </row>
    <row r="18640">
      <c r="P18640" s="42"/>
      <c r="AB18640" s="38"/>
    </row>
    <row r="18641">
      <c r="P18641" s="42"/>
      <c r="AB18641" s="38"/>
    </row>
    <row r="18642">
      <c r="P18642" s="42"/>
      <c r="AB18642" s="38"/>
    </row>
    <row r="18643">
      <c r="P18643" s="42"/>
      <c r="AB18643" s="38"/>
    </row>
    <row r="18644">
      <c r="P18644" s="42"/>
      <c r="AB18644" s="38"/>
    </row>
    <row r="18645">
      <c r="P18645" s="42"/>
      <c r="AB18645" s="38"/>
    </row>
    <row r="18646">
      <c r="P18646" s="42"/>
      <c r="AB18646" s="38"/>
    </row>
    <row r="18647">
      <c r="P18647" s="42"/>
      <c r="AB18647" s="38"/>
    </row>
    <row r="18648">
      <c r="P18648" s="42"/>
      <c r="AB18648" s="38"/>
    </row>
    <row r="18649">
      <c r="P18649" s="42"/>
      <c r="AB18649" s="38"/>
    </row>
    <row r="18650">
      <c r="P18650" s="42"/>
      <c r="AB18650" s="38"/>
    </row>
    <row r="18651">
      <c r="P18651" s="42"/>
      <c r="AB18651" s="38"/>
    </row>
    <row r="18652">
      <c r="P18652" s="42"/>
      <c r="AB18652" s="38"/>
    </row>
    <row r="18653">
      <c r="P18653" s="42"/>
      <c r="AB18653" s="38"/>
    </row>
    <row r="18654">
      <c r="P18654" s="42"/>
      <c r="AB18654" s="38"/>
    </row>
    <row r="18655">
      <c r="P18655" s="42"/>
      <c r="AB18655" s="38"/>
    </row>
    <row r="18656">
      <c r="P18656" s="42"/>
      <c r="AB18656" s="38"/>
    </row>
    <row r="18657">
      <c r="P18657" s="42"/>
      <c r="AB18657" s="38"/>
    </row>
    <row r="18658">
      <c r="P18658" s="42"/>
      <c r="AB18658" s="38"/>
    </row>
    <row r="18659">
      <c r="P18659" s="42"/>
      <c r="AB18659" s="38"/>
    </row>
    <row r="18660">
      <c r="P18660" s="42"/>
      <c r="AB18660" s="38"/>
    </row>
    <row r="18661">
      <c r="P18661" s="42"/>
      <c r="AB18661" s="38"/>
    </row>
    <row r="18662">
      <c r="P18662" s="42"/>
      <c r="AB18662" s="38"/>
    </row>
    <row r="18663">
      <c r="P18663" s="42"/>
      <c r="AB18663" s="38"/>
    </row>
    <row r="18664">
      <c r="P18664" s="42"/>
      <c r="AB18664" s="38"/>
    </row>
    <row r="18665">
      <c r="P18665" s="42"/>
      <c r="AB18665" s="38"/>
    </row>
    <row r="18666">
      <c r="P18666" s="42"/>
      <c r="AB18666" s="38"/>
    </row>
    <row r="18667">
      <c r="P18667" s="42"/>
      <c r="AB18667" s="38"/>
    </row>
    <row r="18668">
      <c r="P18668" s="42"/>
      <c r="AB18668" s="38"/>
    </row>
    <row r="18669">
      <c r="P18669" s="42"/>
      <c r="AB18669" s="38"/>
    </row>
    <row r="18670">
      <c r="P18670" s="42"/>
      <c r="AB18670" s="38"/>
    </row>
    <row r="18671">
      <c r="P18671" s="42"/>
      <c r="AB18671" s="38"/>
    </row>
    <row r="18672">
      <c r="P18672" s="42"/>
      <c r="AB18672" s="38"/>
    </row>
    <row r="18673">
      <c r="P18673" s="42"/>
      <c r="AB18673" s="38"/>
    </row>
    <row r="18674">
      <c r="P18674" s="42"/>
      <c r="AB18674" s="38"/>
    </row>
    <row r="18675">
      <c r="P18675" s="42"/>
      <c r="AB18675" s="38"/>
    </row>
    <row r="18676">
      <c r="P18676" s="42"/>
      <c r="AB18676" s="38"/>
    </row>
    <row r="18677">
      <c r="P18677" s="42"/>
      <c r="AB18677" s="38"/>
    </row>
    <row r="18678">
      <c r="P18678" s="42"/>
      <c r="AB18678" s="38"/>
    </row>
    <row r="18679">
      <c r="P18679" s="42"/>
      <c r="AB18679" s="38"/>
    </row>
    <row r="18680">
      <c r="P18680" s="42"/>
      <c r="AB18680" s="38"/>
    </row>
    <row r="18681">
      <c r="P18681" s="42"/>
      <c r="AB18681" s="38"/>
    </row>
    <row r="18682">
      <c r="P18682" s="42"/>
      <c r="AB18682" s="38"/>
    </row>
    <row r="18683">
      <c r="P18683" s="42"/>
      <c r="AB18683" s="38"/>
    </row>
    <row r="18684">
      <c r="P18684" s="42"/>
      <c r="AB18684" s="38"/>
    </row>
    <row r="18685">
      <c r="P18685" s="42"/>
      <c r="AB18685" s="38"/>
    </row>
    <row r="18686">
      <c r="P18686" s="42"/>
      <c r="AB18686" s="38"/>
    </row>
    <row r="18687">
      <c r="P18687" s="42"/>
      <c r="AB18687" s="38"/>
    </row>
    <row r="18688">
      <c r="P18688" s="42"/>
      <c r="AB18688" s="38"/>
    </row>
    <row r="18689">
      <c r="P18689" s="42"/>
      <c r="AB18689" s="38"/>
    </row>
    <row r="18690">
      <c r="P18690" s="42"/>
      <c r="AB18690" s="38"/>
    </row>
    <row r="18691">
      <c r="P18691" s="42"/>
      <c r="AB18691" s="38"/>
    </row>
    <row r="18692">
      <c r="P18692" s="42"/>
      <c r="AB18692" s="38"/>
    </row>
    <row r="18693">
      <c r="P18693" s="42"/>
      <c r="AB18693" s="38"/>
    </row>
    <row r="18694">
      <c r="P18694" s="42"/>
      <c r="AB18694" s="38"/>
    </row>
    <row r="18695">
      <c r="P18695" s="42"/>
      <c r="AB18695" s="38"/>
    </row>
    <row r="18696">
      <c r="P18696" s="42"/>
      <c r="AB18696" s="38"/>
    </row>
    <row r="18697">
      <c r="P18697" s="42"/>
      <c r="AB18697" s="38"/>
    </row>
    <row r="18698">
      <c r="P18698" s="42"/>
      <c r="AB18698" s="38"/>
    </row>
    <row r="18699">
      <c r="P18699" s="42"/>
      <c r="AB18699" s="38"/>
    </row>
    <row r="18700">
      <c r="P18700" s="42"/>
      <c r="AB18700" s="38"/>
    </row>
    <row r="18701">
      <c r="P18701" s="42"/>
      <c r="AB18701" s="38"/>
    </row>
    <row r="18702">
      <c r="P18702" s="42"/>
      <c r="AB18702" s="38"/>
    </row>
    <row r="18703">
      <c r="P18703" s="42"/>
      <c r="AB18703" s="38"/>
    </row>
    <row r="18704">
      <c r="P18704" s="42"/>
      <c r="AB18704" s="38"/>
    </row>
    <row r="18705">
      <c r="P18705" s="42"/>
      <c r="AB18705" s="38"/>
    </row>
    <row r="18706">
      <c r="P18706" s="42"/>
      <c r="AB18706" s="38"/>
    </row>
    <row r="18707">
      <c r="P18707" s="42"/>
      <c r="AB18707" s="38"/>
    </row>
    <row r="18708">
      <c r="P18708" s="42"/>
      <c r="AB18708" s="38"/>
    </row>
    <row r="18709">
      <c r="P18709" s="42"/>
      <c r="AB18709" s="38"/>
    </row>
    <row r="18710">
      <c r="P18710" s="42"/>
      <c r="AB18710" s="38"/>
    </row>
    <row r="18711">
      <c r="P18711" s="42"/>
      <c r="AB18711" s="38"/>
    </row>
    <row r="18712">
      <c r="P18712" s="42"/>
      <c r="AB18712" s="38"/>
    </row>
    <row r="18713">
      <c r="P18713" s="42"/>
      <c r="AB18713" s="38"/>
    </row>
    <row r="18714">
      <c r="P18714" s="42"/>
      <c r="AB18714" s="38"/>
    </row>
    <row r="18715">
      <c r="P18715" s="42"/>
      <c r="AB18715" s="38"/>
    </row>
    <row r="18716">
      <c r="P18716" s="42"/>
      <c r="AB18716" s="38"/>
    </row>
    <row r="18717">
      <c r="P18717" s="42"/>
      <c r="AB18717" s="38"/>
    </row>
    <row r="18718">
      <c r="P18718" s="42"/>
      <c r="AB18718" s="38"/>
    </row>
    <row r="18719">
      <c r="P18719" s="42"/>
      <c r="AB18719" s="38"/>
    </row>
    <row r="18720">
      <c r="P18720" s="42"/>
      <c r="AB18720" s="38"/>
    </row>
    <row r="18721">
      <c r="P18721" s="42"/>
      <c r="AB18721" s="38"/>
    </row>
    <row r="18722">
      <c r="P18722" s="42"/>
      <c r="AB18722" s="38"/>
    </row>
    <row r="18723">
      <c r="P18723" s="42"/>
      <c r="AB18723" s="38"/>
    </row>
    <row r="18724">
      <c r="P18724" s="42"/>
      <c r="AB18724" s="38"/>
    </row>
    <row r="18725">
      <c r="P18725" s="42"/>
      <c r="AB18725" s="38"/>
    </row>
    <row r="18726">
      <c r="P18726" s="42"/>
      <c r="AB18726" s="38"/>
    </row>
    <row r="18727">
      <c r="P18727" s="42"/>
      <c r="AB18727" s="38"/>
    </row>
    <row r="18728">
      <c r="P18728" s="42"/>
      <c r="AB18728" s="38"/>
    </row>
    <row r="18729">
      <c r="P18729" s="42"/>
      <c r="AB18729" s="38"/>
    </row>
    <row r="18730">
      <c r="P18730" s="42"/>
      <c r="AB18730" s="38"/>
    </row>
    <row r="18731">
      <c r="P18731" s="42"/>
      <c r="AB18731" s="38"/>
    </row>
    <row r="18732">
      <c r="P18732" s="42"/>
      <c r="AB18732" s="38"/>
    </row>
    <row r="18733">
      <c r="P18733" s="42"/>
      <c r="AB18733" s="38"/>
    </row>
    <row r="18734">
      <c r="P18734" s="42"/>
      <c r="AB18734" s="38"/>
    </row>
    <row r="18735">
      <c r="P18735" s="42"/>
      <c r="AB18735" s="38"/>
    </row>
    <row r="18736">
      <c r="P18736" s="42"/>
      <c r="AB18736" s="38"/>
    </row>
    <row r="18737">
      <c r="P18737" s="42"/>
      <c r="AB18737" s="38"/>
    </row>
    <row r="18738">
      <c r="P18738" s="42"/>
      <c r="AB18738" s="38"/>
    </row>
    <row r="18739">
      <c r="P18739" s="42"/>
      <c r="AB18739" s="38"/>
    </row>
    <row r="18740">
      <c r="P18740" s="42"/>
      <c r="AB18740" s="38"/>
    </row>
    <row r="18741">
      <c r="P18741" s="42"/>
      <c r="AB18741" s="38"/>
    </row>
    <row r="18742">
      <c r="P18742" s="42"/>
      <c r="AB18742" s="38"/>
    </row>
    <row r="18743">
      <c r="P18743" s="42"/>
      <c r="AB18743" s="38"/>
    </row>
    <row r="18744">
      <c r="P18744" s="42"/>
      <c r="AB18744" s="38"/>
    </row>
    <row r="18745">
      <c r="P18745" s="42"/>
      <c r="AB18745" s="38"/>
    </row>
    <row r="18746">
      <c r="P18746" s="42"/>
      <c r="AB18746" s="38"/>
    </row>
    <row r="18747">
      <c r="P18747" s="42"/>
      <c r="AB18747" s="38"/>
    </row>
    <row r="18748">
      <c r="P18748" s="42"/>
      <c r="AB18748" s="38"/>
    </row>
    <row r="18749">
      <c r="P18749" s="42"/>
      <c r="AB18749" s="38"/>
    </row>
    <row r="18750">
      <c r="P18750" s="42"/>
      <c r="AB18750" s="38"/>
    </row>
    <row r="18751">
      <c r="P18751" s="42"/>
      <c r="AB18751" s="38"/>
    </row>
    <row r="18752">
      <c r="P18752" s="42"/>
      <c r="AB18752" s="38"/>
    </row>
    <row r="18753">
      <c r="P18753" s="42"/>
      <c r="AB18753" s="38"/>
    </row>
    <row r="18754">
      <c r="P18754" s="42"/>
      <c r="AB18754" s="38"/>
    </row>
    <row r="18755">
      <c r="P18755" s="42"/>
      <c r="AB18755" s="38"/>
    </row>
    <row r="18756">
      <c r="P18756" s="42"/>
      <c r="AB18756" s="38"/>
    </row>
    <row r="18757">
      <c r="P18757" s="42"/>
      <c r="AB18757" s="38"/>
    </row>
    <row r="18758">
      <c r="P18758" s="42"/>
      <c r="AB18758" s="38"/>
    </row>
    <row r="18759">
      <c r="P18759" s="42"/>
      <c r="AB18759" s="38"/>
    </row>
    <row r="18760">
      <c r="P18760" s="42"/>
      <c r="AB18760" s="38"/>
    </row>
    <row r="18761">
      <c r="P18761" s="42"/>
      <c r="AB18761" s="38"/>
    </row>
    <row r="18762">
      <c r="P18762" s="42"/>
      <c r="AB18762" s="38"/>
    </row>
    <row r="18763">
      <c r="P18763" s="42"/>
      <c r="AB18763" s="38"/>
    </row>
    <row r="18764">
      <c r="P18764" s="42"/>
      <c r="AB18764" s="38"/>
    </row>
    <row r="18765">
      <c r="P18765" s="42"/>
      <c r="AB18765" s="38"/>
    </row>
    <row r="18766">
      <c r="P18766" s="42"/>
      <c r="AB18766" s="38"/>
    </row>
    <row r="18767">
      <c r="P18767" s="42"/>
      <c r="AB18767" s="38"/>
    </row>
    <row r="18768">
      <c r="P18768" s="42"/>
      <c r="AB18768" s="38"/>
    </row>
    <row r="18769">
      <c r="P18769" s="42"/>
      <c r="AB18769" s="38"/>
    </row>
    <row r="18770">
      <c r="P18770" s="42"/>
      <c r="AB18770" s="38"/>
    </row>
    <row r="18771">
      <c r="P18771" s="42"/>
      <c r="AB18771" s="38"/>
    </row>
    <row r="18772">
      <c r="P18772" s="42"/>
      <c r="AB18772" s="38"/>
    </row>
    <row r="18773">
      <c r="P18773" s="42"/>
      <c r="AB18773" s="38"/>
    </row>
    <row r="18774">
      <c r="P18774" s="42"/>
      <c r="AB18774" s="38"/>
    </row>
    <row r="18775">
      <c r="P18775" s="42"/>
      <c r="AB18775" s="38"/>
    </row>
    <row r="18776">
      <c r="P18776" s="42"/>
      <c r="AB18776" s="38"/>
    </row>
    <row r="18777">
      <c r="P18777" s="42"/>
      <c r="AB18777" s="38"/>
    </row>
    <row r="18778">
      <c r="P18778" s="42"/>
      <c r="AB18778" s="38"/>
    </row>
    <row r="18779">
      <c r="P18779" s="42"/>
      <c r="AB18779" s="38"/>
    </row>
    <row r="18780">
      <c r="P18780" s="42"/>
      <c r="AB18780" s="38"/>
    </row>
    <row r="18781">
      <c r="P18781" s="42"/>
      <c r="AB18781" s="38"/>
    </row>
    <row r="18782">
      <c r="P18782" s="42"/>
      <c r="AB18782" s="38"/>
    </row>
    <row r="18783">
      <c r="P18783" s="42"/>
      <c r="AB18783" s="38"/>
    </row>
    <row r="18784">
      <c r="P18784" s="42"/>
      <c r="AB18784" s="38"/>
    </row>
    <row r="18785">
      <c r="P18785" s="42"/>
      <c r="AB18785" s="38"/>
    </row>
    <row r="18786">
      <c r="P18786" s="42"/>
      <c r="AB18786" s="38"/>
    </row>
    <row r="18787">
      <c r="P18787" s="42"/>
      <c r="AB18787" s="38"/>
    </row>
    <row r="18788">
      <c r="P18788" s="42"/>
      <c r="AB18788" s="38"/>
    </row>
    <row r="18789">
      <c r="P18789" s="42"/>
      <c r="AB18789" s="38"/>
    </row>
    <row r="18790">
      <c r="P18790" s="42"/>
      <c r="AB18790" s="38"/>
    </row>
    <row r="18791">
      <c r="P18791" s="42"/>
      <c r="AB18791" s="38"/>
    </row>
    <row r="18792">
      <c r="P18792" s="42"/>
      <c r="AB18792" s="38"/>
    </row>
    <row r="18793">
      <c r="P18793" s="42"/>
      <c r="AB18793" s="38"/>
    </row>
    <row r="18794">
      <c r="P18794" s="42"/>
      <c r="AB18794" s="38"/>
    </row>
    <row r="18795">
      <c r="P18795" s="42"/>
      <c r="AB18795" s="38"/>
    </row>
    <row r="18796">
      <c r="P18796" s="42"/>
      <c r="AB18796" s="38"/>
    </row>
    <row r="18797">
      <c r="P18797" s="42"/>
      <c r="AB18797" s="38"/>
    </row>
    <row r="18798">
      <c r="P18798" s="42"/>
      <c r="AB18798" s="38"/>
    </row>
    <row r="18799">
      <c r="P18799" s="42"/>
      <c r="AB18799" s="38"/>
    </row>
    <row r="18800">
      <c r="P18800" s="42"/>
      <c r="AB18800" s="38"/>
    </row>
    <row r="18801">
      <c r="P18801" s="42"/>
      <c r="AB18801" s="38"/>
    </row>
    <row r="18802">
      <c r="P18802" s="42"/>
      <c r="AB18802" s="38"/>
    </row>
    <row r="18803">
      <c r="P18803" s="42"/>
      <c r="AB18803" s="38"/>
    </row>
    <row r="18804">
      <c r="P18804" s="42"/>
      <c r="AB18804" s="38"/>
    </row>
    <row r="18805">
      <c r="P18805" s="42"/>
      <c r="AB18805" s="38"/>
    </row>
    <row r="18806">
      <c r="P18806" s="42"/>
      <c r="AB18806" s="38"/>
    </row>
    <row r="18807">
      <c r="P18807" s="42"/>
      <c r="AB18807" s="38"/>
    </row>
    <row r="18808">
      <c r="P18808" s="42"/>
      <c r="AB18808" s="38"/>
    </row>
    <row r="18809">
      <c r="P18809" s="42"/>
      <c r="AB18809" s="38"/>
    </row>
    <row r="18810">
      <c r="P18810" s="42"/>
      <c r="AB18810" s="38"/>
    </row>
    <row r="18811">
      <c r="P18811" s="42"/>
      <c r="AB18811" s="38"/>
    </row>
    <row r="18812">
      <c r="P18812" s="42"/>
      <c r="AB18812" s="38"/>
    </row>
    <row r="18813">
      <c r="P18813" s="42"/>
      <c r="AB18813" s="38"/>
    </row>
    <row r="18814">
      <c r="P18814" s="42"/>
      <c r="AB18814" s="38"/>
    </row>
    <row r="18815">
      <c r="P18815" s="42"/>
      <c r="AB18815" s="38"/>
    </row>
    <row r="18816">
      <c r="P18816" s="42"/>
      <c r="AB18816" s="38"/>
    </row>
    <row r="18817">
      <c r="P18817" s="42"/>
      <c r="AB18817" s="38"/>
    </row>
    <row r="18818">
      <c r="P18818" s="42"/>
      <c r="AB18818" s="38"/>
    </row>
    <row r="18819">
      <c r="P18819" s="42"/>
      <c r="AB18819" s="38"/>
    </row>
    <row r="18820">
      <c r="P18820" s="42"/>
      <c r="AB18820" s="38"/>
    </row>
    <row r="18821">
      <c r="P18821" s="42"/>
      <c r="AB18821" s="38"/>
    </row>
    <row r="18822">
      <c r="P18822" s="42"/>
      <c r="AB18822" s="38"/>
    </row>
    <row r="18823">
      <c r="P18823" s="42"/>
      <c r="AB18823" s="38"/>
    </row>
    <row r="18824">
      <c r="P18824" s="42"/>
      <c r="AB18824" s="38"/>
    </row>
    <row r="18825">
      <c r="P18825" s="42"/>
      <c r="AB18825" s="38"/>
    </row>
    <row r="18826">
      <c r="P18826" s="42"/>
      <c r="AB18826" s="38"/>
    </row>
    <row r="18827">
      <c r="P18827" s="42"/>
      <c r="AB18827" s="38"/>
    </row>
    <row r="18828">
      <c r="P18828" s="42"/>
      <c r="AB18828" s="38"/>
    </row>
    <row r="18829">
      <c r="P18829" s="42"/>
      <c r="AB18829" s="38"/>
    </row>
    <row r="18830">
      <c r="P18830" s="42"/>
      <c r="AB18830" s="38"/>
    </row>
    <row r="18831">
      <c r="P18831" s="42"/>
      <c r="AB18831" s="38"/>
    </row>
    <row r="18832">
      <c r="P18832" s="42"/>
      <c r="AB18832" s="38"/>
    </row>
    <row r="18833">
      <c r="P18833" s="42"/>
      <c r="AB18833" s="38"/>
    </row>
    <row r="18834">
      <c r="P18834" s="42"/>
      <c r="AB18834" s="38"/>
    </row>
    <row r="18835">
      <c r="P18835" s="42"/>
      <c r="AB18835" s="38"/>
    </row>
    <row r="18836">
      <c r="P18836" s="42"/>
      <c r="AB18836" s="38"/>
    </row>
    <row r="18837">
      <c r="P18837" s="42"/>
      <c r="AB18837" s="38"/>
    </row>
    <row r="18838">
      <c r="P18838" s="42"/>
      <c r="AB18838" s="38"/>
    </row>
    <row r="18839">
      <c r="P18839" s="42"/>
      <c r="AB18839" s="38"/>
    </row>
    <row r="18840">
      <c r="P18840" s="42"/>
      <c r="AB18840" s="38"/>
    </row>
    <row r="18841">
      <c r="P18841" s="42"/>
      <c r="AB18841" s="38"/>
    </row>
    <row r="18842">
      <c r="P18842" s="42"/>
      <c r="AB18842" s="38"/>
    </row>
    <row r="18843">
      <c r="P18843" s="42"/>
      <c r="AB18843" s="38"/>
    </row>
    <row r="18844">
      <c r="P18844" s="42"/>
      <c r="AB18844" s="38"/>
    </row>
    <row r="18845">
      <c r="P18845" s="42"/>
      <c r="AB18845" s="38"/>
    </row>
    <row r="18846">
      <c r="P18846" s="42"/>
      <c r="AB18846" s="38"/>
    </row>
    <row r="18847">
      <c r="P18847" s="42"/>
      <c r="AB18847" s="38"/>
    </row>
    <row r="18848">
      <c r="P18848" s="42"/>
      <c r="AB18848" s="38"/>
    </row>
    <row r="18849">
      <c r="P18849" s="42"/>
      <c r="AB18849" s="38"/>
    </row>
    <row r="18850">
      <c r="P18850" s="42"/>
      <c r="AB18850" s="38"/>
    </row>
    <row r="18851">
      <c r="P18851" s="42"/>
      <c r="AB18851" s="38"/>
    </row>
    <row r="18852">
      <c r="P18852" s="42"/>
      <c r="AB18852" s="38"/>
    </row>
    <row r="18853">
      <c r="P18853" s="42"/>
      <c r="AB18853" s="38"/>
    </row>
    <row r="18854">
      <c r="P18854" s="42"/>
      <c r="AB18854" s="38"/>
    </row>
    <row r="18855">
      <c r="P18855" s="42"/>
      <c r="AB18855" s="38"/>
    </row>
    <row r="18856">
      <c r="P18856" s="42"/>
      <c r="AB18856" s="38"/>
    </row>
    <row r="18857">
      <c r="P18857" s="42"/>
      <c r="AB18857" s="38"/>
    </row>
    <row r="18858">
      <c r="P18858" s="42"/>
      <c r="AB18858" s="38"/>
    </row>
    <row r="18859">
      <c r="P18859" s="42"/>
      <c r="AB18859" s="38"/>
    </row>
    <row r="18860">
      <c r="P18860" s="42"/>
      <c r="AB18860" s="38"/>
    </row>
    <row r="18861">
      <c r="P18861" s="42"/>
      <c r="AB18861" s="38"/>
    </row>
    <row r="18862">
      <c r="P18862" s="42"/>
      <c r="AB18862" s="38"/>
    </row>
    <row r="18863">
      <c r="P18863" s="42"/>
      <c r="AB18863" s="38"/>
    </row>
    <row r="18864">
      <c r="P18864" s="42"/>
      <c r="AB18864" s="38"/>
    </row>
    <row r="18865">
      <c r="P18865" s="42"/>
      <c r="AB18865" s="38"/>
    </row>
    <row r="18866">
      <c r="P18866" s="42"/>
      <c r="AB18866" s="38"/>
    </row>
    <row r="18867">
      <c r="P18867" s="42"/>
      <c r="AB18867" s="38"/>
    </row>
    <row r="18868">
      <c r="P18868" s="42"/>
      <c r="AB18868" s="38"/>
    </row>
    <row r="18869">
      <c r="P18869" s="42"/>
      <c r="AB18869" s="38"/>
    </row>
    <row r="18870">
      <c r="P18870" s="42"/>
      <c r="AB18870" s="38"/>
    </row>
    <row r="18871">
      <c r="P18871" s="42"/>
      <c r="AB18871" s="38"/>
    </row>
    <row r="18872">
      <c r="P18872" s="42"/>
      <c r="AB18872" s="38"/>
    </row>
    <row r="18873">
      <c r="P18873" s="42"/>
      <c r="AB18873" s="38"/>
    </row>
    <row r="18874">
      <c r="P18874" s="42"/>
      <c r="AB18874" s="38"/>
    </row>
    <row r="18875">
      <c r="P18875" s="42"/>
      <c r="AB18875" s="38"/>
    </row>
    <row r="18876">
      <c r="P18876" s="42"/>
      <c r="AB18876" s="38"/>
    </row>
    <row r="18877">
      <c r="P18877" s="42"/>
      <c r="AB18877" s="38"/>
    </row>
    <row r="18878">
      <c r="P18878" s="42"/>
      <c r="AB18878" s="38"/>
    </row>
    <row r="18879">
      <c r="P18879" s="42"/>
      <c r="AB18879" s="38"/>
    </row>
    <row r="18880">
      <c r="P18880" s="42"/>
      <c r="AB18880" s="38"/>
    </row>
    <row r="18881">
      <c r="P18881" s="42"/>
      <c r="AB18881" s="38"/>
    </row>
    <row r="18882">
      <c r="P18882" s="42"/>
      <c r="AB18882" s="38"/>
    </row>
    <row r="18883">
      <c r="P18883" s="42"/>
      <c r="AB18883" s="38"/>
    </row>
    <row r="18884">
      <c r="P18884" s="42"/>
      <c r="AB18884" s="38"/>
    </row>
    <row r="18885">
      <c r="P18885" s="42"/>
      <c r="AB18885" s="38"/>
    </row>
    <row r="18886">
      <c r="P18886" s="42"/>
      <c r="AB18886" s="38"/>
    </row>
    <row r="18887">
      <c r="P18887" s="42"/>
      <c r="AB18887" s="38"/>
    </row>
    <row r="18888">
      <c r="P18888" s="42"/>
      <c r="AB18888" s="38"/>
    </row>
    <row r="18889">
      <c r="P18889" s="42"/>
      <c r="AB18889" s="38"/>
    </row>
    <row r="18890">
      <c r="P18890" s="42"/>
      <c r="AB18890" s="38"/>
    </row>
    <row r="18891">
      <c r="P18891" s="42"/>
      <c r="AB18891" s="38"/>
    </row>
    <row r="18892">
      <c r="P18892" s="42"/>
      <c r="AB18892" s="38"/>
    </row>
    <row r="18893">
      <c r="P18893" s="42"/>
      <c r="AB18893" s="38"/>
    </row>
    <row r="18894">
      <c r="P18894" s="42"/>
      <c r="AB18894" s="38"/>
    </row>
    <row r="18895">
      <c r="P18895" s="42"/>
      <c r="AB18895" s="38"/>
    </row>
    <row r="18896">
      <c r="P18896" s="42"/>
      <c r="AB18896" s="38"/>
    </row>
    <row r="18897">
      <c r="P18897" s="42"/>
      <c r="AB18897" s="38"/>
    </row>
    <row r="18898">
      <c r="P18898" s="42"/>
      <c r="AB18898" s="38"/>
    </row>
    <row r="18899">
      <c r="P18899" s="42"/>
      <c r="AB18899" s="38"/>
    </row>
    <row r="18900">
      <c r="P18900" s="42"/>
      <c r="AB18900" s="38"/>
    </row>
    <row r="18901">
      <c r="P18901" s="42"/>
      <c r="AB18901" s="38"/>
    </row>
    <row r="18902">
      <c r="P18902" s="42"/>
      <c r="AB18902" s="38"/>
    </row>
    <row r="18903">
      <c r="P18903" s="42"/>
      <c r="AB18903" s="38"/>
    </row>
    <row r="18904">
      <c r="P18904" s="42"/>
      <c r="AB18904" s="38"/>
    </row>
    <row r="18905">
      <c r="P18905" s="42"/>
      <c r="AB18905" s="38"/>
    </row>
    <row r="18906">
      <c r="P18906" s="42"/>
      <c r="AB18906" s="38"/>
    </row>
    <row r="18907">
      <c r="P18907" s="42"/>
      <c r="AB18907" s="38"/>
    </row>
    <row r="18908">
      <c r="P18908" s="42"/>
      <c r="AB18908" s="38"/>
    </row>
    <row r="18909">
      <c r="P18909" s="42"/>
      <c r="AB18909" s="38"/>
    </row>
    <row r="18910">
      <c r="P18910" s="42"/>
      <c r="AB18910" s="38"/>
    </row>
    <row r="18911">
      <c r="P18911" s="42"/>
      <c r="AB18911" s="38"/>
    </row>
    <row r="18912">
      <c r="P18912" s="42"/>
      <c r="AB18912" s="38"/>
    </row>
    <row r="18913">
      <c r="P18913" s="42"/>
      <c r="AB18913" s="38"/>
    </row>
    <row r="18914">
      <c r="P18914" s="42"/>
      <c r="AB18914" s="38"/>
    </row>
    <row r="18915">
      <c r="P18915" s="42"/>
      <c r="AB18915" s="38"/>
    </row>
    <row r="18916">
      <c r="P18916" s="42"/>
      <c r="AB18916" s="38"/>
    </row>
    <row r="18917">
      <c r="P18917" s="42"/>
      <c r="AB18917" s="38"/>
    </row>
    <row r="18918">
      <c r="P18918" s="42"/>
      <c r="AB18918" s="38"/>
    </row>
    <row r="18919">
      <c r="P18919" s="42"/>
      <c r="AB18919" s="38"/>
    </row>
    <row r="18920">
      <c r="P18920" s="42"/>
      <c r="AB18920" s="38"/>
    </row>
    <row r="18921">
      <c r="P18921" s="42"/>
      <c r="AB18921" s="38"/>
    </row>
    <row r="18922">
      <c r="P18922" s="42"/>
      <c r="AB18922" s="38"/>
    </row>
    <row r="18923">
      <c r="P18923" s="42"/>
      <c r="AB18923" s="38"/>
    </row>
    <row r="18924">
      <c r="P18924" s="42"/>
      <c r="AB18924" s="38"/>
    </row>
    <row r="18925">
      <c r="P18925" s="42"/>
      <c r="AB18925" s="38"/>
    </row>
    <row r="18926">
      <c r="P18926" s="42"/>
      <c r="AB18926" s="38"/>
    </row>
    <row r="18927">
      <c r="P18927" s="42"/>
      <c r="AB18927" s="38"/>
    </row>
    <row r="18928">
      <c r="P18928" s="42"/>
      <c r="AB18928" s="38"/>
    </row>
    <row r="18929">
      <c r="P18929" s="42"/>
      <c r="AB18929" s="38"/>
    </row>
    <row r="18930">
      <c r="P18930" s="42"/>
      <c r="AB18930" s="38"/>
    </row>
    <row r="18931">
      <c r="P18931" s="42"/>
      <c r="AB18931" s="38"/>
    </row>
    <row r="18932">
      <c r="P18932" s="42"/>
      <c r="AB18932" s="38"/>
    </row>
    <row r="18933">
      <c r="P18933" s="42"/>
      <c r="AB18933" s="38"/>
    </row>
    <row r="18934">
      <c r="P18934" s="42"/>
      <c r="AB18934" s="38"/>
    </row>
    <row r="18935">
      <c r="P18935" s="42"/>
      <c r="AB18935" s="38"/>
    </row>
    <row r="18936">
      <c r="P18936" s="42"/>
      <c r="AB18936" s="38"/>
    </row>
    <row r="18937">
      <c r="P18937" s="42"/>
      <c r="AB18937" s="38"/>
    </row>
    <row r="18938">
      <c r="P18938" s="42"/>
      <c r="AB18938" s="38"/>
    </row>
    <row r="18939">
      <c r="P18939" s="42"/>
      <c r="AB18939" s="38"/>
    </row>
    <row r="18940">
      <c r="P18940" s="42"/>
      <c r="AB18940" s="38"/>
    </row>
    <row r="18941">
      <c r="P18941" s="42"/>
      <c r="AB18941" s="38"/>
    </row>
    <row r="18942">
      <c r="P18942" s="42"/>
      <c r="AB18942" s="38"/>
    </row>
    <row r="18943">
      <c r="P18943" s="42"/>
      <c r="AB18943" s="38"/>
    </row>
    <row r="18944">
      <c r="P18944" s="42"/>
      <c r="AB18944" s="38"/>
    </row>
    <row r="18945">
      <c r="P18945" s="42"/>
      <c r="AB18945" s="38"/>
    </row>
    <row r="18946">
      <c r="P18946" s="42"/>
      <c r="AB18946" s="38"/>
    </row>
    <row r="18947">
      <c r="P18947" s="42"/>
      <c r="AB18947" s="38"/>
    </row>
    <row r="18948">
      <c r="P18948" s="42"/>
      <c r="AB18948" s="38"/>
    </row>
    <row r="18949">
      <c r="P18949" s="42"/>
      <c r="AB18949" s="38"/>
    </row>
    <row r="18950">
      <c r="P18950" s="42"/>
      <c r="AB18950" s="38"/>
    </row>
    <row r="18951">
      <c r="P18951" s="42"/>
      <c r="AB18951" s="38"/>
    </row>
    <row r="18952">
      <c r="P18952" s="42"/>
      <c r="AB18952" s="38"/>
    </row>
    <row r="18953">
      <c r="P18953" s="42"/>
      <c r="AB18953" s="38"/>
    </row>
    <row r="18954">
      <c r="P18954" s="42"/>
      <c r="AB18954" s="38"/>
    </row>
    <row r="18955">
      <c r="P18955" s="42"/>
      <c r="AB18955" s="38"/>
    </row>
    <row r="18956">
      <c r="P18956" s="42"/>
      <c r="AB18956" s="38"/>
    </row>
    <row r="18957">
      <c r="P18957" s="42"/>
      <c r="AB18957" s="38"/>
    </row>
    <row r="18958">
      <c r="P18958" s="42"/>
      <c r="AB18958" s="38"/>
    </row>
    <row r="18959">
      <c r="P18959" s="42"/>
      <c r="AB18959" s="38"/>
    </row>
    <row r="18960">
      <c r="P18960" s="42"/>
      <c r="AB18960" s="38"/>
    </row>
    <row r="18961">
      <c r="P18961" s="42"/>
      <c r="AB18961" s="38"/>
    </row>
    <row r="18962">
      <c r="P18962" s="42"/>
      <c r="AB18962" s="38"/>
    </row>
    <row r="18963">
      <c r="P18963" s="42"/>
      <c r="AB18963" s="38"/>
    </row>
    <row r="18964">
      <c r="P18964" s="42"/>
      <c r="AB18964" s="38"/>
    </row>
    <row r="18965">
      <c r="P18965" s="42"/>
      <c r="AB18965" s="38"/>
    </row>
    <row r="18966">
      <c r="P18966" s="42"/>
      <c r="AB18966" s="38"/>
    </row>
    <row r="18967">
      <c r="P18967" s="42"/>
      <c r="AB18967" s="38"/>
    </row>
    <row r="18968">
      <c r="P18968" s="42"/>
      <c r="AB18968" s="38"/>
    </row>
    <row r="18969">
      <c r="P18969" s="42"/>
      <c r="AB18969" s="38"/>
    </row>
    <row r="18970">
      <c r="P18970" s="42"/>
      <c r="AB18970" s="38"/>
    </row>
    <row r="18971">
      <c r="P18971" s="42"/>
      <c r="AB18971" s="38"/>
    </row>
    <row r="18972">
      <c r="P18972" s="42"/>
      <c r="AB18972" s="38"/>
    </row>
    <row r="18973">
      <c r="P18973" s="42"/>
      <c r="AB18973" s="38"/>
    </row>
    <row r="18974">
      <c r="P18974" s="42"/>
      <c r="AB18974" s="38"/>
    </row>
    <row r="18975">
      <c r="P18975" s="42"/>
      <c r="AB18975" s="38"/>
    </row>
    <row r="18976">
      <c r="P18976" s="42"/>
      <c r="AB18976" s="38"/>
    </row>
    <row r="18977">
      <c r="P18977" s="42"/>
      <c r="AB18977" s="38"/>
    </row>
    <row r="18978">
      <c r="P18978" s="42"/>
      <c r="AB18978" s="38"/>
    </row>
    <row r="18979">
      <c r="P18979" s="42"/>
      <c r="AB18979" s="38"/>
    </row>
    <row r="18980">
      <c r="P18980" s="42"/>
      <c r="AB18980" s="38"/>
    </row>
    <row r="18981">
      <c r="P18981" s="42"/>
      <c r="AB18981" s="38"/>
    </row>
    <row r="18982">
      <c r="P18982" s="42"/>
      <c r="AB18982" s="38"/>
    </row>
    <row r="18983">
      <c r="P18983" s="42"/>
      <c r="AB18983" s="38"/>
    </row>
    <row r="18984">
      <c r="P18984" s="42"/>
      <c r="AB18984" s="38"/>
    </row>
    <row r="18985">
      <c r="P18985" s="42"/>
      <c r="AB18985" s="38"/>
    </row>
    <row r="18986">
      <c r="P18986" s="42"/>
      <c r="AB18986" s="38"/>
    </row>
    <row r="18987">
      <c r="P18987" s="42"/>
      <c r="AB18987" s="38"/>
    </row>
    <row r="18988">
      <c r="P18988" s="42"/>
      <c r="AB18988" s="38"/>
    </row>
    <row r="18989">
      <c r="P18989" s="42"/>
      <c r="AB18989" s="38"/>
    </row>
    <row r="18990">
      <c r="P18990" s="42"/>
      <c r="AB18990" s="38"/>
    </row>
    <row r="18991">
      <c r="P18991" s="42"/>
      <c r="AB18991" s="38"/>
    </row>
    <row r="18992">
      <c r="P18992" s="42"/>
      <c r="AB18992" s="38"/>
    </row>
    <row r="18993">
      <c r="P18993" s="42"/>
      <c r="AB18993" s="38"/>
    </row>
    <row r="18994">
      <c r="P18994" s="42"/>
      <c r="AB18994" s="38"/>
    </row>
    <row r="18995">
      <c r="P18995" s="42"/>
      <c r="AB18995" s="38"/>
    </row>
    <row r="18996">
      <c r="P18996" s="42"/>
      <c r="AB18996" s="38"/>
    </row>
    <row r="18997">
      <c r="P18997" s="42"/>
      <c r="AB18997" s="38"/>
    </row>
    <row r="18998">
      <c r="P18998" s="42"/>
      <c r="AB18998" s="38"/>
    </row>
    <row r="18999">
      <c r="P18999" s="42"/>
      <c r="AB18999" s="38"/>
    </row>
    <row r="19000">
      <c r="P19000" s="42"/>
      <c r="AB19000" s="38"/>
    </row>
    <row r="19001">
      <c r="P19001" s="42"/>
      <c r="AB19001" s="38"/>
    </row>
    <row r="19002">
      <c r="P19002" s="42"/>
      <c r="AB19002" s="38"/>
    </row>
    <row r="19003">
      <c r="P19003" s="42"/>
      <c r="AB19003" s="38"/>
    </row>
    <row r="19004">
      <c r="P19004" s="42"/>
      <c r="AB19004" s="38"/>
    </row>
    <row r="19005">
      <c r="P19005" s="42"/>
      <c r="AB19005" s="38"/>
    </row>
    <row r="19006">
      <c r="P19006" s="42"/>
      <c r="AB19006" s="38"/>
    </row>
    <row r="19007">
      <c r="P19007" s="42"/>
      <c r="AB19007" s="38"/>
    </row>
    <row r="19008">
      <c r="P19008" s="42"/>
      <c r="AB19008" s="38"/>
    </row>
    <row r="19009">
      <c r="P19009" s="42"/>
      <c r="AB19009" s="38"/>
    </row>
    <row r="19010">
      <c r="P19010" s="42"/>
      <c r="AB19010" s="38"/>
    </row>
    <row r="19011">
      <c r="P19011" s="42"/>
      <c r="AB19011" s="38"/>
    </row>
    <row r="19012">
      <c r="P19012" s="42"/>
      <c r="AB19012" s="38"/>
    </row>
    <row r="19013">
      <c r="P19013" s="42"/>
      <c r="AB19013" s="38"/>
    </row>
    <row r="19014">
      <c r="P19014" s="42"/>
      <c r="AB19014" s="38"/>
    </row>
    <row r="19015">
      <c r="P19015" s="42"/>
      <c r="AB19015" s="38"/>
    </row>
    <row r="19016">
      <c r="P19016" s="42"/>
      <c r="AB19016" s="38"/>
    </row>
    <row r="19017">
      <c r="P19017" s="42"/>
      <c r="AB19017" s="38"/>
    </row>
    <row r="19018">
      <c r="P19018" s="42"/>
      <c r="AB19018" s="38"/>
    </row>
    <row r="19019">
      <c r="P19019" s="42"/>
      <c r="AB19019" s="38"/>
    </row>
    <row r="19020">
      <c r="P19020" s="42"/>
      <c r="AB19020" s="38"/>
    </row>
    <row r="19021">
      <c r="P19021" s="42"/>
      <c r="AB19021" s="38"/>
    </row>
    <row r="19022">
      <c r="P19022" s="42"/>
      <c r="AB19022" s="38"/>
    </row>
    <row r="19023">
      <c r="P19023" s="42"/>
      <c r="AB19023" s="38"/>
    </row>
    <row r="19024">
      <c r="P19024" s="42"/>
      <c r="AB19024" s="38"/>
    </row>
    <row r="19025">
      <c r="P19025" s="42"/>
      <c r="AB19025" s="38"/>
    </row>
    <row r="19026">
      <c r="P19026" s="42"/>
      <c r="AB19026" s="38"/>
    </row>
    <row r="19027">
      <c r="P19027" s="42"/>
      <c r="AB19027" s="38"/>
    </row>
    <row r="19028">
      <c r="P19028" s="42"/>
      <c r="AB19028" s="38"/>
    </row>
    <row r="19029">
      <c r="P19029" s="42"/>
      <c r="AB19029" s="38"/>
    </row>
    <row r="19030">
      <c r="P19030" s="42"/>
      <c r="AB19030" s="38"/>
    </row>
    <row r="19031">
      <c r="P19031" s="42"/>
      <c r="AB19031" s="38"/>
    </row>
    <row r="19032">
      <c r="P19032" s="42"/>
      <c r="AB19032" s="38"/>
    </row>
    <row r="19033">
      <c r="P19033" s="42"/>
      <c r="AB19033" s="38"/>
    </row>
    <row r="19034">
      <c r="P19034" s="42"/>
      <c r="AB19034" s="38"/>
    </row>
    <row r="19035">
      <c r="P19035" s="42"/>
      <c r="AB19035" s="38"/>
    </row>
    <row r="19036">
      <c r="P19036" s="42"/>
      <c r="AB19036" s="38"/>
    </row>
    <row r="19037">
      <c r="P19037" s="42"/>
      <c r="AB19037" s="38"/>
    </row>
    <row r="19038">
      <c r="P19038" s="42"/>
      <c r="AB19038" s="38"/>
    </row>
    <row r="19039">
      <c r="P19039" s="42"/>
      <c r="AB19039" s="38"/>
    </row>
    <row r="19040">
      <c r="P19040" s="42"/>
      <c r="AB19040" s="38"/>
    </row>
    <row r="19041">
      <c r="P19041" s="42"/>
      <c r="AB19041" s="38"/>
    </row>
    <row r="19042">
      <c r="P19042" s="42"/>
      <c r="AB19042" s="38"/>
    </row>
    <row r="19043">
      <c r="P19043" s="42"/>
      <c r="AB19043" s="38"/>
    </row>
    <row r="19044">
      <c r="P19044" s="42"/>
      <c r="AB19044" s="38"/>
    </row>
    <row r="19045">
      <c r="P19045" s="42"/>
      <c r="AB19045" s="38"/>
    </row>
    <row r="19046">
      <c r="P19046" s="42"/>
      <c r="AB19046" s="38"/>
    </row>
    <row r="19047">
      <c r="P19047" s="42"/>
      <c r="AB19047" s="38"/>
    </row>
    <row r="19048">
      <c r="P19048" s="42"/>
      <c r="AB19048" s="38"/>
    </row>
    <row r="19049">
      <c r="P19049" s="42"/>
      <c r="AB19049" s="38"/>
    </row>
    <row r="19050">
      <c r="P19050" s="42"/>
      <c r="AB19050" s="38"/>
    </row>
    <row r="19051">
      <c r="P19051" s="42"/>
      <c r="AB19051" s="38"/>
    </row>
    <row r="19052">
      <c r="P19052" s="42"/>
      <c r="AB19052" s="38"/>
    </row>
    <row r="19053">
      <c r="P19053" s="42"/>
      <c r="AB19053" s="38"/>
    </row>
    <row r="19054">
      <c r="P19054" s="42"/>
      <c r="AB19054" s="38"/>
    </row>
    <row r="19055">
      <c r="P19055" s="42"/>
      <c r="AB19055" s="38"/>
    </row>
    <row r="19056">
      <c r="P19056" s="42"/>
      <c r="AB19056" s="38"/>
    </row>
    <row r="19057">
      <c r="P19057" s="42"/>
      <c r="AB19057" s="38"/>
    </row>
    <row r="19058">
      <c r="P19058" s="42"/>
      <c r="AB19058" s="38"/>
    </row>
    <row r="19059">
      <c r="P19059" s="42"/>
      <c r="AB19059" s="38"/>
    </row>
    <row r="19060">
      <c r="P19060" s="42"/>
      <c r="AB19060" s="38"/>
    </row>
    <row r="19061">
      <c r="P19061" s="42"/>
      <c r="AB19061" s="38"/>
    </row>
    <row r="19062">
      <c r="P19062" s="42"/>
      <c r="AB19062" s="38"/>
    </row>
    <row r="19063">
      <c r="P19063" s="42"/>
      <c r="AB19063" s="38"/>
    </row>
    <row r="19064">
      <c r="P19064" s="42"/>
      <c r="AB19064" s="38"/>
    </row>
    <row r="19065">
      <c r="P19065" s="42"/>
      <c r="AB19065" s="38"/>
    </row>
    <row r="19066">
      <c r="P19066" s="42"/>
      <c r="AB19066" s="38"/>
    </row>
    <row r="19067">
      <c r="P19067" s="42"/>
      <c r="AB19067" s="38"/>
    </row>
    <row r="19068">
      <c r="P19068" s="42"/>
      <c r="AB19068" s="38"/>
    </row>
    <row r="19069">
      <c r="P19069" s="42"/>
      <c r="AB19069" s="38"/>
    </row>
    <row r="19070">
      <c r="P19070" s="42"/>
      <c r="AB19070" s="38"/>
    </row>
    <row r="19071">
      <c r="P19071" s="42"/>
      <c r="AB19071" s="38"/>
    </row>
    <row r="19072">
      <c r="P19072" s="42"/>
      <c r="AB19072" s="38"/>
    </row>
    <row r="19073">
      <c r="P19073" s="42"/>
      <c r="AB19073" s="38"/>
    </row>
    <row r="19074">
      <c r="P19074" s="42"/>
      <c r="AB19074" s="38"/>
    </row>
    <row r="19075">
      <c r="P19075" s="42"/>
      <c r="AB19075" s="38"/>
    </row>
    <row r="19076">
      <c r="P19076" s="42"/>
      <c r="AB19076" s="38"/>
    </row>
    <row r="19077">
      <c r="P19077" s="42"/>
      <c r="AB19077" s="38"/>
    </row>
    <row r="19078">
      <c r="P19078" s="42"/>
      <c r="AB19078" s="38"/>
    </row>
    <row r="19079">
      <c r="P19079" s="42"/>
      <c r="AB19079" s="38"/>
    </row>
    <row r="19080">
      <c r="P19080" s="42"/>
      <c r="AB19080" s="38"/>
    </row>
    <row r="19081">
      <c r="P19081" s="42"/>
      <c r="AB19081" s="38"/>
    </row>
    <row r="19082">
      <c r="P19082" s="42"/>
      <c r="AB19082" s="38"/>
    </row>
    <row r="19083">
      <c r="P19083" s="42"/>
      <c r="AB19083" s="38"/>
    </row>
    <row r="19084">
      <c r="P19084" s="42"/>
      <c r="AB19084" s="38"/>
    </row>
    <row r="19085">
      <c r="P19085" s="42"/>
      <c r="AB19085" s="38"/>
    </row>
    <row r="19086">
      <c r="P19086" s="42"/>
      <c r="AB19086" s="38"/>
    </row>
    <row r="19087">
      <c r="P19087" s="42"/>
      <c r="AB19087" s="38"/>
    </row>
    <row r="19088">
      <c r="P19088" s="42"/>
      <c r="AB19088" s="38"/>
    </row>
    <row r="19089">
      <c r="P19089" s="42"/>
      <c r="AB19089" s="38"/>
    </row>
    <row r="19090">
      <c r="P19090" s="42"/>
      <c r="AB19090" s="38"/>
    </row>
    <row r="19091">
      <c r="P19091" s="42"/>
      <c r="AB19091" s="38"/>
    </row>
    <row r="19092">
      <c r="P19092" s="42"/>
      <c r="AB19092" s="38"/>
    </row>
    <row r="19093">
      <c r="P19093" s="42"/>
      <c r="AB19093" s="38"/>
    </row>
    <row r="19094">
      <c r="P19094" s="42"/>
      <c r="AB19094" s="38"/>
    </row>
    <row r="19095">
      <c r="P19095" s="42"/>
      <c r="AB19095" s="38"/>
    </row>
    <row r="19096">
      <c r="P19096" s="42"/>
      <c r="AB19096" s="38"/>
    </row>
    <row r="19097">
      <c r="P19097" s="42"/>
      <c r="AB19097" s="38"/>
    </row>
    <row r="19098">
      <c r="P19098" s="42"/>
      <c r="AB19098" s="38"/>
    </row>
    <row r="19099">
      <c r="P19099" s="42"/>
      <c r="AB19099" s="38"/>
    </row>
    <row r="19100">
      <c r="P19100" s="42"/>
      <c r="AB19100" s="38"/>
    </row>
    <row r="19101">
      <c r="P19101" s="42"/>
      <c r="AB19101" s="38"/>
    </row>
    <row r="19102">
      <c r="P19102" s="42"/>
      <c r="AB19102" s="38"/>
    </row>
    <row r="19103">
      <c r="P19103" s="42"/>
      <c r="AB19103" s="38"/>
    </row>
    <row r="19104">
      <c r="P19104" s="42"/>
      <c r="AB19104" s="38"/>
    </row>
    <row r="19105">
      <c r="P19105" s="42"/>
      <c r="AB19105" s="38"/>
    </row>
    <row r="19106">
      <c r="P19106" s="42"/>
      <c r="AB19106" s="38"/>
    </row>
    <row r="19107">
      <c r="P19107" s="42"/>
      <c r="AB19107" s="38"/>
    </row>
    <row r="19108">
      <c r="P19108" s="42"/>
      <c r="AB19108" s="38"/>
    </row>
    <row r="19109">
      <c r="P19109" s="42"/>
      <c r="AB19109" s="38"/>
    </row>
    <row r="19110">
      <c r="P19110" s="42"/>
      <c r="AB19110" s="38"/>
    </row>
    <row r="19111">
      <c r="P19111" s="42"/>
      <c r="AB19111" s="38"/>
    </row>
    <row r="19112">
      <c r="P19112" s="42"/>
      <c r="AB19112" s="38"/>
    </row>
    <row r="19113">
      <c r="P19113" s="42"/>
      <c r="AB19113" s="38"/>
    </row>
    <row r="19114">
      <c r="P19114" s="42"/>
      <c r="AB19114" s="38"/>
    </row>
    <row r="19115">
      <c r="P19115" s="42"/>
      <c r="AB19115" s="38"/>
    </row>
    <row r="19116">
      <c r="P19116" s="42"/>
      <c r="AB19116" s="38"/>
    </row>
    <row r="19117">
      <c r="P19117" s="42"/>
      <c r="AB19117" s="38"/>
    </row>
    <row r="19118">
      <c r="P19118" s="42"/>
      <c r="AB19118" s="38"/>
    </row>
    <row r="19119">
      <c r="P19119" s="42"/>
      <c r="AB19119" s="38"/>
    </row>
    <row r="19120">
      <c r="P19120" s="42"/>
      <c r="AB19120" s="38"/>
    </row>
    <row r="19121">
      <c r="P19121" s="42"/>
      <c r="AB19121" s="38"/>
    </row>
    <row r="19122">
      <c r="P19122" s="42"/>
      <c r="AB19122" s="38"/>
    </row>
    <row r="19123">
      <c r="P19123" s="42"/>
      <c r="AB19123" s="38"/>
    </row>
    <row r="19124">
      <c r="P19124" s="42"/>
      <c r="AB19124" s="38"/>
    </row>
    <row r="19125">
      <c r="P19125" s="42"/>
      <c r="AB19125" s="38"/>
    </row>
    <row r="19126">
      <c r="P19126" s="42"/>
      <c r="AB19126" s="38"/>
    </row>
    <row r="19127">
      <c r="P19127" s="42"/>
      <c r="AB19127" s="38"/>
    </row>
    <row r="19128">
      <c r="P19128" s="42"/>
      <c r="AB19128" s="38"/>
    </row>
    <row r="19129">
      <c r="P19129" s="42"/>
      <c r="AB19129" s="38"/>
    </row>
    <row r="19130">
      <c r="P19130" s="42"/>
      <c r="AB19130" s="38"/>
    </row>
    <row r="19131">
      <c r="P19131" s="42"/>
      <c r="AB19131" s="38"/>
    </row>
    <row r="19132">
      <c r="P19132" s="42"/>
      <c r="AB19132" s="38"/>
    </row>
    <row r="19133">
      <c r="P19133" s="42"/>
      <c r="AB19133" s="38"/>
    </row>
    <row r="19134">
      <c r="P19134" s="42"/>
      <c r="AB19134" s="38"/>
    </row>
    <row r="19135">
      <c r="P19135" s="42"/>
      <c r="AB19135" s="38"/>
    </row>
    <row r="19136">
      <c r="P19136" s="42"/>
      <c r="AB19136" s="38"/>
    </row>
    <row r="19137">
      <c r="P19137" s="42"/>
      <c r="AB19137" s="38"/>
    </row>
    <row r="19138">
      <c r="P19138" s="42"/>
      <c r="AB19138" s="38"/>
    </row>
    <row r="19139">
      <c r="P19139" s="42"/>
      <c r="AB19139" s="38"/>
    </row>
    <row r="19140">
      <c r="P19140" s="42"/>
      <c r="AB19140" s="38"/>
    </row>
    <row r="19141">
      <c r="P19141" s="42"/>
      <c r="AB19141" s="38"/>
    </row>
    <row r="19142">
      <c r="P19142" s="42"/>
      <c r="AB19142" s="38"/>
    </row>
    <row r="19143">
      <c r="P19143" s="42"/>
      <c r="AB19143" s="38"/>
    </row>
    <row r="19144">
      <c r="P19144" s="42"/>
      <c r="AB19144" s="38"/>
    </row>
    <row r="19145">
      <c r="P19145" s="42"/>
      <c r="AB19145" s="38"/>
    </row>
    <row r="19146">
      <c r="P19146" s="42"/>
      <c r="AB19146" s="38"/>
    </row>
    <row r="19147">
      <c r="P19147" s="42"/>
      <c r="AB19147" s="38"/>
    </row>
    <row r="19148">
      <c r="P19148" s="42"/>
      <c r="AB19148" s="38"/>
    </row>
    <row r="19149">
      <c r="P19149" s="42"/>
      <c r="AB19149" s="38"/>
    </row>
    <row r="19150">
      <c r="P19150" s="42"/>
      <c r="AB19150" s="38"/>
    </row>
    <row r="19151">
      <c r="P19151" s="42"/>
      <c r="AB19151" s="38"/>
    </row>
    <row r="19152">
      <c r="P19152" s="42"/>
      <c r="AB19152" s="38"/>
    </row>
    <row r="19153">
      <c r="P19153" s="42"/>
      <c r="AB19153" s="38"/>
    </row>
    <row r="19154">
      <c r="P19154" s="42"/>
      <c r="AB19154" s="38"/>
    </row>
    <row r="19155">
      <c r="P19155" s="42"/>
      <c r="AB19155" s="38"/>
    </row>
    <row r="19156">
      <c r="P19156" s="42"/>
      <c r="AB19156" s="38"/>
    </row>
    <row r="19157">
      <c r="P19157" s="42"/>
      <c r="AB19157" s="38"/>
    </row>
    <row r="19158">
      <c r="P19158" s="42"/>
      <c r="AB19158" s="38"/>
    </row>
    <row r="19159">
      <c r="P19159" s="42"/>
      <c r="AB19159" s="38"/>
    </row>
    <row r="19160">
      <c r="P19160" s="42"/>
      <c r="AB19160" s="38"/>
    </row>
    <row r="19161">
      <c r="P19161" s="42"/>
      <c r="AB19161" s="38"/>
    </row>
    <row r="19162">
      <c r="P19162" s="42"/>
      <c r="AB19162" s="38"/>
    </row>
    <row r="19163">
      <c r="P19163" s="42"/>
      <c r="AB19163" s="38"/>
    </row>
    <row r="19164">
      <c r="P19164" s="42"/>
      <c r="AB19164" s="38"/>
    </row>
    <row r="19165">
      <c r="P19165" s="42"/>
      <c r="AB19165" s="38"/>
    </row>
    <row r="19166">
      <c r="P19166" s="42"/>
      <c r="AB19166" s="38"/>
    </row>
    <row r="19167">
      <c r="P19167" s="42"/>
      <c r="AB19167" s="38"/>
    </row>
    <row r="19168">
      <c r="P19168" s="42"/>
      <c r="AB19168" s="38"/>
    </row>
    <row r="19169">
      <c r="P19169" s="42"/>
      <c r="AB19169" s="38"/>
    </row>
    <row r="19170">
      <c r="P19170" s="42"/>
      <c r="AB19170" s="38"/>
    </row>
    <row r="19171">
      <c r="P19171" s="42"/>
      <c r="AB19171" s="38"/>
    </row>
    <row r="19172">
      <c r="P19172" s="42"/>
      <c r="AB19172" s="38"/>
    </row>
    <row r="19173">
      <c r="P19173" s="42"/>
      <c r="AB19173" s="38"/>
    </row>
    <row r="19174">
      <c r="P19174" s="42"/>
      <c r="AB19174" s="38"/>
    </row>
    <row r="19175">
      <c r="P19175" s="42"/>
      <c r="AB19175" s="38"/>
    </row>
    <row r="19176">
      <c r="P19176" s="42"/>
      <c r="AB19176" s="38"/>
    </row>
    <row r="19177">
      <c r="P19177" s="42"/>
      <c r="AB19177" s="38"/>
    </row>
    <row r="19178">
      <c r="P19178" s="42"/>
      <c r="AB19178" s="38"/>
    </row>
    <row r="19179">
      <c r="P19179" s="42"/>
      <c r="AB19179" s="38"/>
    </row>
    <row r="19180">
      <c r="P19180" s="42"/>
      <c r="AB19180" s="38"/>
    </row>
    <row r="19181">
      <c r="P19181" s="42"/>
      <c r="AB19181" s="38"/>
    </row>
    <row r="19182">
      <c r="P19182" s="42"/>
      <c r="AB19182" s="38"/>
    </row>
    <row r="19183">
      <c r="P19183" s="42"/>
      <c r="AB19183" s="38"/>
    </row>
    <row r="19184">
      <c r="P19184" s="42"/>
      <c r="AB19184" s="38"/>
    </row>
    <row r="19185">
      <c r="P19185" s="42"/>
      <c r="AB19185" s="38"/>
    </row>
    <row r="19186">
      <c r="P19186" s="42"/>
      <c r="AB19186" s="38"/>
    </row>
    <row r="19187">
      <c r="P19187" s="42"/>
      <c r="AB19187" s="38"/>
    </row>
    <row r="19188">
      <c r="P19188" s="42"/>
      <c r="AB19188" s="38"/>
    </row>
    <row r="19189">
      <c r="P19189" s="42"/>
      <c r="AB19189" s="38"/>
    </row>
    <row r="19190">
      <c r="P19190" s="42"/>
      <c r="AB19190" s="38"/>
    </row>
    <row r="19191">
      <c r="P19191" s="42"/>
      <c r="AB19191" s="38"/>
    </row>
    <row r="19192">
      <c r="P19192" s="42"/>
      <c r="AB19192" s="38"/>
    </row>
    <row r="19193">
      <c r="P19193" s="42"/>
      <c r="AB19193" s="38"/>
    </row>
    <row r="19194">
      <c r="P19194" s="42"/>
      <c r="AB19194" s="38"/>
    </row>
    <row r="19195">
      <c r="P19195" s="42"/>
      <c r="AB19195" s="38"/>
    </row>
    <row r="19196">
      <c r="P19196" s="42"/>
      <c r="AB19196" s="38"/>
    </row>
    <row r="19197">
      <c r="P19197" s="42"/>
      <c r="AB19197" s="38"/>
    </row>
    <row r="19198">
      <c r="P19198" s="42"/>
      <c r="AB19198" s="38"/>
    </row>
    <row r="19199">
      <c r="P19199" s="42"/>
      <c r="AB19199" s="38"/>
    </row>
    <row r="19200">
      <c r="P19200" s="42"/>
      <c r="AB19200" s="38"/>
    </row>
    <row r="19201">
      <c r="P19201" s="42"/>
      <c r="AB19201" s="38"/>
    </row>
    <row r="19202">
      <c r="P19202" s="42"/>
      <c r="AB19202" s="38"/>
    </row>
    <row r="19203">
      <c r="P19203" s="42"/>
      <c r="AB19203" s="38"/>
    </row>
    <row r="19204">
      <c r="P19204" s="42"/>
      <c r="AB19204" s="38"/>
    </row>
    <row r="19205">
      <c r="P19205" s="42"/>
      <c r="AB19205" s="38"/>
    </row>
    <row r="19206">
      <c r="P19206" s="42"/>
      <c r="AB19206" s="38"/>
    </row>
    <row r="19207">
      <c r="P19207" s="42"/>
      <c r="AB19207" s="38"/>
    </row>
    <row r="19208">
      <c r="P19208" s="42"/>
      <c r="AB19208" s="38"/>
    </row>
    <row r="19209">
      <c r="P19209" s="42"/>
      <c r="AB19209" s="38"/>
    </row>
    <row r="19210">
      <c r="P19210" s="42"/>
      <c r="AB19210" s="38"/>
    </row>
    <row r="19211">
      <c r="P19211" s="42"/>
      <c r="AB19211" s="38"/>
    </row>
    <row r="19212">
      <c r="P19212" s="42"/>
      <c r="AB19212" s="38"/>
    </row>
    <row r="19213">
      <c r="P19213" s="42"/>
      <c r="AB19213" s="38"/>
    </row>
    <row r="19214">
      <c r="P19214" s="42"/>
      <c r="AB19214" s="38"/>
    </row>
    <row r="19215">
      <c r="P19215" s="42"/>
      <c r="AB19215" s="38"/>
    </row>
    <row r="19216">
      <c r="P19216" s="42"/>
      <c r="AB19216" s="38"/>
    </row>
    <row r="19217">
      <c r="P19217" s="42"/>
      <c r="AB19217" s="38"/>
    </row>
    <row r="19218">
      <c r="P19218" s="42"/>
      <c r="AB19218" s="38"/>
    </row>
    <row r="19219">
      <c r="P19219" s="42"/>
      <c r="AB19219" s="38"/>
    </row>
    <row r="19220">
      <c r="P19220" s="42"/>
      <c r="AB19220" s="38"/>
    </row>
    <row r="19221">
      <c r="P19221" s="42"/>
      <c r="AB19221" s="38"/>
    </row>
    <row r="19222">
      <c r="P19222" s="42"/>
      <c r="AB19222" s="38"/>
    </row>
    <row r="19223">
      <c r="P19223" s="42"/>
      <c r="AB19223" s="38"/>
    </row>
    <row r="19224">
      <c r="P19224" s="42"/>
      <c r="AB19224" s="38"/>
    </row>
    <row r="19225">
      <c r="P19225" s="42"/>
      <c r="AB19225" s="38"/>
    </row>
    <row r="19226">
      <c r="P19226" s="42"/>
      <c r="AB19226" s="38"/>
    </row>
    <row r="19227">
      <c r="P19227" s="42"/>
      <c r="AB19227" s="38"/>
    </row>
    <row r="19228">
      <c r="P19228" s="42"/>
      <c r="AB19228" s="38"/>
    </row>
    <row r="19229">
      <c r="P19229" s="42"/>
      <c r="AB19229" s="38"/>
    </row>
    <row r="19230">
      <c r="P19230" s="42"/>
      <c r="AB19230" s="38"/>
    </row>
    <row r="19231">
      <c r="P19231" s="42"/>
      <c r="AB19231" s="38"/>
    </row>
    <row r="19232">
      <c r="P19232" s="42"/>
      <c r="AB19232" s="38"/>
    </row>
    <row r="19233">
      <c r="P19233" s="42"/>
      <c r="AB19233" s="38"/>
    </row>
    <row r="19234">
      <c r="P19234" s="42"/>
      <c r="AB19234" s="38"/>
    </row>
    <row r="19235">
      <c r="P19235" s="42"/>
      <c r="AB19235" s="38"/>
    </row>
    <row r="19236">
      <c r="P19236" s="42"/>
      <c r="AB19236" s="38"/>
    </row>
    <row r="19237">
      <c r="P19237" s="42"/>
      <c r="AB19237" s="38"/>
    </row>
    <row r="19238">
      <c r="P19238" s="42"/>
      <c r="AB19238" s="38"/>
    </row>
    <row r="19239">
      <c r="P19239" s="42"/>
      <c r="AB19239" s="38"/>
    </row>
    <row r="19240">
      <c r="P19240" s="42"/>
      <c r="AB19240" s="38"/>
    </row>
    <row r="19241">
      <c r="P19241" s="42"/>
      <c r="AB19241" s="38"/>
    </row>
    <row r="19242">
      <c r="P19242" s="42"/>
      <c r="AB19242" s="38"/>
    </row>
    <row r="19243">
      <c r="P19243" s="42"/>
      <c r="AB19243" s="38"/>
    </row>
    <row r="19244">
      <c r="P19244" s="42"/>
      <c r="AB19244" s="38"/>
    </row>
    <row r="19245">
      <c r="P19245" s="42"/>
      <c r="AB19245" s="38"/>
    </row>
    <row r="19246">
      <c r="P19246" s="42"/>
      <c r="AB19246" s="38"/>
    </row>
    <row r="19247">
      <c r="P19247" s="42"/>
      <c r="AB19247" s="38"/>
    </row>
    <row r="19248">
      <c r="P19248" s="42"/>
      <c r="AB19248" s="38"/>
    </row>
    <row r="19249">
      <c r="P19249" s="42"/>
      <c r="AB19249" s="38"/>
    </row>
    <row r="19250">
      <c r="P19250" s="42"/>
      <c r="AB19250" s="38"/>
    </row>
    <row r="19251">
      <c r="P19251" s="42"/>
      <c r="AB19251" s="38"/>
    </row>
    <row r="19252">
      <c r="P19252" s="42"/>
      <c r="AB19252" s="38"/>
    </row>
    <row r="19253">
      <c r="P19253" s="42"/>
      <c r="AB19253" s="38"/>
    </row>
    <row r="19254">
      <c r="P19254" s="42"/>
      <c r="AB19254" s="38"/>
    </row>
    <row r="19255">
      <c r="P19255" s="42"/>
      <c r="AB19255" s="38"/>
    </row>
    <row r="19256">
      <c r="P19256" s="42"/>
      <c r="AB19256" s="38"/>
    </row>
    <row r="19257">
      <c r="P19257" s="42"/>
      <c r="AB19257" s="38"/>
    </row>
    <row r="19258">
      <c r="P19258" s="42"/>
      <c r="AB19258" s="38"/>
    </row>
    <row r="19259">
      <c r="P19259" s="42"/>
      <c r="AB19259" s="38"/>
    </row>
    <row r="19260">
      <c r="P19260" s="42"/>
      <c r="AB19260" s="38"/>
    </row>
    <row r="19261">
      <c r="P19261" s="42"/>
      <c r="AB19261" s="38"/>
    </row>
    <row r="19262">
      <c r="P19262" s="42"/>
      <c r="AB19262" s="38"/>
    </row>
    <row r="19263">
      <c r="P19263" s="42"/>
      <c r="AB19263" s="38"/>
    </row>
    <row r="19264">
      <c r="P19264" s="42"/>
      <c r="AB19264" s="38"/>
    </row>
    <row r="19265">
      <c r="P19265" s="42"/>
      <c r="AB19265" s="38"/>
    </row>
    <row r="19266">
      <c r="P19266" s="42"/>
      <c r="AB19266" s="38"/>
    </row>
    <row r="19267">
      <c r="P19267" s="42"/>
      <c r="AB19267" s="38"/>
    </row>
    <row r="19268">
      <c r="P19268" s="42"/>
      <c r="AB19268" s="38"/>
    </row>
    <row r="19269">
      <c r="P19269" s="42"/>
      <c r="AB19269" s="38"/>
    </row>
    <row r="19270">
      <c r="P19270" s="42"/>
      <c r="AB19270" s="38"/>
    </row>
    <row r="19271">
      <c r="P19271" s="42"/>
      <c r="AB19271" s="38"/>
    </row>
    <row r="19272">
      <c r="P19272" s="42"/>
      <c r="AB19272" s="38"/>
    </row>
    <row r="19273">
      <c r="P19273" s="42"/>
      <c r="AB19273" s="38"/>
    </row>
    <row r="19274">
      <c r="P19274" s="42"/>
      <c r="AB19274" s="38"/>
    </row>
    <row r="19275">
      <c r="P19275" s="42"/>
      <c r="AB19275" s="38"/>
    </row>
    <row r="19276">
      <c r="P19276" s="42"/>
      <c r="AB19276" s="38"/>
    </row>
    <row r="19277">
      <c r="P19277" s="42"/>
      <c r="AB19277" s="38"/>
    </row>
    <row r="19278">
      <c r="P19278" s="42"/>
      <c r="AB19278" s="38"/>
    </row>
    <row r="19279">
      <c r="P19279" s="42"/>
      <c r="AB19279" s="38"/>
    </row>
    <row r="19280">
      <c r="P19280" s="42"/>
      <c r="AB19280" s="38"/>
    </row>
    <row r="19281">
      <c r="P19281" s="42"/>
      <c r="AB19281" s="38"/>
    </row>
    <row r="19282">
      <c r="P19282" s="42"/>
      <c r="AB19282" s="38"/>
    </row>
    <row r="19283">
      <c r="P19283" s="42"/>
      <c r="AB19283" s="38"/>
    </row>
    <row r="19284">
      <c r="P19284" s="42"/>
      <c r="AB19284" s="38"/>
    </row>
    <row r="19285">
      <c r="P19285" s="42"/>
      <c r="AB19285" s="38"/>
    </row>
    <row r="19286">
      <c r="P19286" s="42"/>
      <c r="AB19286" s="38"/>
    </row>
    <row r="19287">
      <c r="P19287" s="42"/>
      <c r="AB19287" s="38"/>
    </row>
    <row r="19288">
      <c r="P19288" s="42"/>
      <c r="AB19288" s="38"/>
    </row>
    <row r="19289">
      <c r="P19289" s="42"/>
      <c r="AB19289" s="38"/>
    </row>
    <row r="19290">
      <c r="P19290" s="42"/>
      <c r="AB19290" s="38"/>
    </row>
    <row r="19291">
      <c r="P19291" s="42"/>
      <c r="AB19291" s="38"/>
    </row>
    <row r="19292">
      <c r="P19292" s="42"/>
      <c r="AB19292" s="38"/>
    </row>
    <row r="19293">
      <c r="P19293" s="42"/>
      <c r="AB19293" s="38"/>
    </row>
    <row r="19294">
      <c r="P19294" s="42"/>
      <c r="AB19294" s="38"/>
    </row>
    <row r="19295">
      <c r="P19295" s="42"/>
      <c r="AB19295" s="38"/>
    </row>
    <row r="19296">
      <c r="P19296" s="42"/>
      <c r="AB19296" s="38"/>
    </row>
    <row r="19297">
      <c r="P19297" s="42"/>
      <c r="AB19297" s="38"/>
    </row>
    <row r="19298">
      <c r="P19298" s="42"/>
      <c r="AB19298" s="38"/>
    </row>
    <row r="19299">
      <c r="P19299" s="42"/>
      <c r="AB19299" s="38"/>
    </row>
    <row r="19300">
      <c r="P19300" s="42"/>
      <c r="AB19300" s="38"/>
    </row>
    <row r="19301">
      <c r="P19301" s="42"/>
      <c r="AB19301" s="38"/>
    </row>
    <row r="19302">
      <c r="P19302" s="42"/>
      <c r="AB19302" s="38"/>
    </row>
    <row r="19303">
      <c r="P19303" s="42"/>
      <c r="AB19303" s="38"/>
    </row>
    <row r="19304">
      <c r="P19304" s="42"/>
      <c r="AB19304" s="38"/>
    </row>
    <row r="19305">
      <c r="P19305" s="42"/>
      <c r="AB19305" s="38"/>
    </row>
    <row r="19306">
      <c r="P19306" s="42"/>
      <c r="AB19306" s="38"/>
    </row>
    <row r="19307">
      <c r="P19307" s="42"/>
      <c r="AB19307" s="38"/>
    </row>
    <row r="19308">
      <c r="P19308" s="42"/>
      <c r="AB19308" s="38"/>
    </row>
    <row r="19309">
      <c r="P19309" s="42"/>
      <c r="AB19309" s="38"/>
    </row>
    <row r="19310">
      <c r="P19310" s="42"/>
      <c r="AB19310" s="38"/>
    </row>
    <row r="19311">
      <c r="P19311" s="42"/>
      <c r="AB19311" s="38"/>
    </row>
    <row r="19312">
      <c r="P19312" s="42"/>
      <c r="AB19312" s="38"/>
    </row>
    <row r="19313">
      <c r="P19313" s="42"/>
      <c r="AB19313" s="38"/>
    </row>
    <row r="19314">
      <c r="P19314" s="42"/>
      <c r="AB19314" s="38"/>
    </row>
    <row r="19315">
      <c r="P19315" s="42"/>
      <c r="AB19315" s="38"/>
    </row>
    <row r="19316">
      <c r="P19316" s="42"/>
      <c r="AB19316" s="38"/>
    </row>
    <row r="19317">
      <c r="P19317" s="42"/>
      <c r="AB19317" s="38"/>
    </row>
    <row r="19318">
      <c r="P19318" s="42"/>
      <c r="AB19318" s="38"/>
    </row>
    <row r="19319">
      <c r="P19319" s="42"/>
      <c r="AB19319" s="38"/>
    </row>
    <row r="19320">
      <c r="P19320" s="42"/>
      <c r="AB19320" s="38"/>
    </row>
    <row r="19321">
      <c r="P19321" s="42"/>
      <c r="AB19321" s="38"/>
    </row>
    <row r="19322">
      <c r="P19322" s="42"/>
      <c r="AB19322" s="38"/>
    </row>
    <row r="19323">
      <c r="P19323" s="42"/>
      <c r="AB19323" s="38"/>
    </row>
    <row r="19324">
      <c r="P19324" s="42"/>
      <c r="AB19324" s="38"/>
    </row>
    <row r="19325">
      <c r="P19325" s="42"/>
      <c r="AB19325" s="38"/>
    </row>
    <row r="19326">
      <c r="P19326" s="42"/>
      <c r="AB19326" s="38"/>
    </row>
    <row r="19327">
      <c r="P19327" s="42"/>
      <c r="AB19327" s="38"/>
    </row>
    <row r="19328">
      <c r="P19328" s="42"/>
      <c r="AB19328" s="38"/>
    </row>
    <row r="19329">
      <c r="P19329" s="42"/>
      <c r="AB19329" s="38"/>
    </row>
    <row r="19330">
      <c r="P19330" s="42"/>
      <c r="AB19330" s="38"/>
    </row>
    <row r="19331">
      <c r="P19331" s="42"/>
      <c r="AB19331" s="38"/>
    </row>
    <row r="19332">
      <c r="P19332" s="42"/>
      <c r="AB19332" s="38"/>
    </row>
    <row r="19333">
      <c r="P19333" s="42"/>
      <c r="AB19333" s="38"/>
    </row>
    <row r="19334">
      <c r="P19334" s="42"/>
      <c r="AB19334" s="38"/>
    </row>
    <row r="19335">
      <c r="P19335" s="42"/>
      <c r="AB19335" s="38"/>
    </row>
    <row r="19336">
      <c r="P19336" s="42"/>
      <c r="AB19336" s="38"/>
    </row>
    <row r="19337">
      <c r="P19337" s="42"/>
      <c r="AB19337" s="38"/>
    </row>
    <row r="19338">
      <c r="P19338" s="42"/>
      <c r="AB19338" s="38"/>
    </row>
    <row r="19339">
      <c r="P19339" s="42"/>
      <c r="AB19339" s="38"/>
    </row>
    <row r="19340">
      <c r="P19340" s="42"/>
      <c r="AB19340" s="38"/>
    </row>
    <row r="19341">
      <c r="P19341" s="42"/>
      <c r="AB19341" s="38"/>
    </row>
    <row r="19342">
      <c r="P19342" s="42"/>
      <c r="AB19342" s="38"/>
    </row>
    <row r="19343">
      <c r="P19343" s="42"/>
      <c r="AB19343" s="38"/>
    </row>
    <row r="19344">
      <c r="P19344" s="42"/>
      <c r="AB19344" s="38"/>
    </row>
    <row r="19345">
      <c r="P19345" s="42"/>
      <c r="AB19345" s="38"/>
    </row>
    <row r="19346">
      <c r="P19346" s="42"/>
      <c r="AB19346" s="38"/>
    </row>
    <row r="19347">
      <c r="P19347" s="42"/>
      <c r="AB19347" s="38"/>
    </row>
    <row r="19348">
      <c r="P19348" s="42"/>
      <c r="AB19348" s="38"/>
    </row>
    <row r="19349">
      <c r="P19349" s="42"/>
      <c r="AB19349" s="38"/>
    </row>
    <row r="19350">
      <c r="P19350" s="42"/>
      <c r="AB19350" s="38"/>
    </row>
    <row r="19351">
      <c r="P19351" s="42"/>
      <c r="AB19351" s="38"/>
    </row>
    <row r="19352">
      <c r="P19352" s="42"/>
      <c r="AB19352" s="38"/>
    </row>
    <row r="19353">
      <c r="P19353" s="42"/>
      <c r="AB19353" s="38"/>
    </row>
    <row r="19354">
      <c r="P19354" s="42"/>
      <c r="AB19354" s="38"/>
    </row>
    <row r="19355">
      <c r="P19355" s="42"/>
      <c r="AB19355" s="38"/>
    </row>
    <row r="19356">
      <c r="P19356" s="42"/>
      <c r="AB19356" s="38"/>
    </row>
    <row r="19357">
      <c r="P19357" s="42"/>
      <c r="AB19357" s="38"/>
    </row>
    <row r="19358">
      <c r="P19358" s="42"/>
      <c r="AB19358" s="38"/>
    </row>
    <row r="19359">
      <c r="P19359" s="42"/>
      <c r="AB19359" s="38"/>
    </row>
    <row r="19360">
      <c r="P19360" s="42"/>
      <c r="AB19360" s="38"/>
    </row>
    <row r="19361">
      <c r="P19361" s="42"/>
      <c r="AB19361" s="38"/>
    </row>
    <row r="19362">
      <c r="P19362" s="42"/>
      <c r="AB19362" s="38"/>
    </row>
    <row r="19363">
      <c r="P19363" s="42"/>
      <c r="AB19363" s="38"/>
    </row>
    <row r="19364">
      <c r="P19364" s="42"/>
      <c r="AB19364" s="38"/>
    </row>
    <row r="19365">
      <c r="P19365" s="42"/>
      <c r="AB19365" s="38"/>
    </row>
    <row r="19366">
      <c r="P19366" s="42"/>
      <c r="AB19366" s="38"/>
    </row>
    <row r="19367">
      <c r="P19367" s="42"/>
      <c r="AB19367" s="38"/>
    </row>
    <row r="19368">
      <c r="P19368" s="42"/>
      <c r="AB19368" s="38"/>
    </row>
    <row r="19369">
      <c r="P19369" s="42"/>
      <c r="AB19369" s="38"/>
    </row>
    <row r="19370">
      <c r="P19370" s="42"/>
      <c r="AB19370" s="38"/>
    </row>
    <row r="19371">
      <c r="P19371" s="42"/>
      <c r="AB19371" s="38"/>
    </row>
    <row r="19372">
      <c r="P19372" s="42"/>
      <c r="AB19372" s="38"/>
    </row>
    <row r="19373">
      <c r="P19373" s="42"/>
      <c r="AB19373" s="38"/>
    </row>
    <row r="19374">
      <c r="P19374" s="42"/>
      <c r="AB19374" s="38"/>
    </row>
    <row r="19375">
      <c r="P19375" s="42"/>
      <c r="AB19375" s="38"/>
    </row>
    <row r="19376">
      <c r="P19376" s="42"/>
      <c r="AB19376" s="38"/>
    </row>
    <row r="19377">
      <c r="P19377" s="42"/>
      <c r="AB19377" s="38"/>
    </row>
    <row r="19378">
      <c r="P19378" s="42"/>
      <c r="AB19378" s="38"/>
    </row>
    <row r="19379">
      <c r="P19379" s="42"/>
      <c r="AB19379" s="38"/>
    </row>
    <row r="19380">
      <c r="P19380" s="42"/>
      <c r="AB19380" s="38"/>
    </row>
    <row r="19381">
      <c r="P19381" s="42"/>
      <c r="AB19381" s="38"/>
    </row>
    <row r="19382">
      <c r="P19382" s="42"/>
      <c r="AB19382" s="38"/>
    </row>
    <row r="19383">
      <c r="P19383" s="42"/>
      <c r="AB19383" s="38"/>
    </row>
    <row r="19384">
      <c r="P19384" s="42"/>
      <c r="AB19384" s="38"/>
    </row>
    <row r="19385">
      <c r="P19385" s="42"/>
      <c r="AB19385" s="38"/>
    </row>
    <row r="19386">
      <c r="P19386" s="42"/>
      <c r="AB19386" s="38"/>
    </row>
    <row r="19387">
      <c r="P19387" s="42"/>
      <c r="AB19387" s="38"/>
    </row>
    <row r="19388">
      <c r="P19388" s="42"/>
      <c r="AB19388" s="38"/>
    </row>
    <row r="19389">
      <c r="P19389" s="42"/>
      <c r="AB19389" s="38"/>
    </row>
    <row r="19390">
      <c r="P19390" s="42"/>
      <c r="AB19390" s="38"/>
    </row>
    <row r="19391">
      <c r="P19391" s="42"/>
      <c r="AB19391" s="38"/>
    </row>
    <row r="19392">
      <c r="P19392" s="42"/>
      <c r="AB19392" s="38"/>
    </row>
    <row r="19393">
      <c r="P19393" s="42"/>
      <c r="AB19393" s="38"/>
    </row>
    <row r="19394">
      <c r="P19394" s="42"/>
      <c r="AB19394" s="38"/>
    </row>
    <row r="19395">
      <c r="P19395" s="42"/>
      <c r="AB19395" s="38"/>
    </row>
    <row r="19396">
      <c r="P19396" s="42"/>
      <c r="AB19396" s="38"/>
    </row>
    <row r="19397">
      <c r="P19397" s="42"/>
      <c r="AB19397" s="38"/>
    </row>
    <row r="19398">
      <c r="P19398" s="42"/>
      <c r="AB19398" s="38"/>
    </row>
    <row r="19399">
      <c r="P19399" s="42"/>
      <c r="AB19399" s="38"/>
    </row>
    <row r="19400">
      <c r="P19400" s="42"/>
      <c r="AB19400" s="38"/>
    </row>
    <row r="19401">
      <c r="P19401" s="42"/>
      <c r="AB19401" s="38"/>
    </row>
    <row r="19402">
      <c r="P19402" s="42"/>
      <c r="AB19402" s="38"/>
    </row>
    <row r="19403">
      <c r="P19403" s="42"/>
      <c r="AB19403" s="38"/>
    </row>
    <row r="19404">
      <c r="P19404" s="42"/>
      <c r="AB19404" s="38"/>
    </row>
    <row r="19405">
      <c r="P19405" s="42"/>
      <c r="AB19405" s="38"/>
    </row>
    <row r="19406">
      <c r="P19406" s="42"/>
      <c r="AB19406" s="38"/>
    </row>
    <row r="19407">
      <c r="P19407" s="42"/>
      <c r="AB19407" s="38"/>
    </row>
    <row r="19408">
      <c r="P19408" s="42"/>
      <c r="AB19408" s="38"/>
    </row>
    <row r="19409">
      <c r="P19409" s="42"/>
      <c r="AB19409" s="38"/>
    </row>
    <row r="19410">
      <c r="P19410" s="42"/>
      <c r="AB19410" s="38"/>
    </row>
    <row r="19411">
      <c r="P19411" s="42"/>
      <c r="AB19411" s="38"/>
    </row>
    <row r="19412">
      <c r="P19412" s="42"/>
      <c r="AB19412" s="38"/>
    </row>
    <row r="19413">
      <c r="P19413" s="42"/>
      <c r="AB19413" s="38"/>
    </row>
    <row r="19414">
      <c r="P19414" s="42"/>
      <c r="AB19414" s="38"/>
    </row>
    <row r="19415">
      <c r="P19415" s="42"/>
      <c r="AB19415" s="38"/>
    </row>
    <row r="19416">
      <c r="P19416" s="42"/>
      <c r="AB19416" s="38"/>
    </row>
    <row r="19417">
      <c r="P19417" s="42"/>
      <c r="AB19417" s="38"/>
    </row>
    <row r="19418">
      <c r="P19418" s="42"/>
      <c r="AB19418" s="38"/>
    </row>
    <row r="19419">
      <c r="P19419" s="42"/>
      <c r="AB19419" s="38"/>
    </row>
    <row r="19420">
      <c r="P19420" s="42"/>
      <c r="AB19420" s="38"/>
    </row>
    <row r="19421">
      <c r="P19421" s="42"/>
      <c r="AB19421" s="38"/>
    </row>
    <row r="19422">
      <c r="P19422" s="42"/>
      <c r="AB19422" s="38"/>
    </row>
    <row r="19423">
      <c r="P19423" s="42"/>
      <c r="AB19423" s="38"/>
    </row>
    <row r="19424">
      <c r="P19424" s="42"/>
      <c r="AB19424" s="38"/>
    </row>
    <row r="19425">
      <c r="P19425" s="42"/>
      <c r="AB19425" s="38"/>
    </row>
    <row r="19426">
      <c r="P19426" s="42"/>
      <c r="AB19426" s="38"/>
    </row>
    <row r="19427">
      <c r="P19427" s="42"/>
      <c r="AB19427" s="38"/>
    </row>
    <row r="19428">
      <c r="P19428" s="42"/>
      <c r="AB19428" s="38"/>
    </row>
    <row r="19429">
      <c r="P19429" s="42"/>
      <c r="AB19429" s="38"/>
    </row>
    <row r="19430">
      <c r="P19430" s="42"/>
      <c r="AB19430" s="38"/>
    </row>
    <row r="19431">
      <c r="P19431" s="42"/>
      <c r="AB19431" s="38"/>
    </row>
    <row r="19432">
      <c r="P19432" s="42"/>
      <c r="AB19432" s="38"/>
    </row>
    <row r="19433">
      <c r="P19433" s="42"/>
      <c r="AB19433" s="38"/>
    </row>
    <row r="19434">
      <c r="P19434" s="42"/>
      <c r="AB19434" s="38"/>
    </row>
    <row r="19435">
      <c r="P19435" s="42"/>
      <c r="AB19435" s="38"/>
    </row>
    <row r="19436">
      <c r="P19436" s="42"/>
      <c r="AB19436" s="38"/>
    </row>
    <row r="19437">
      <c r="P19437" s="42"/>
      <c r="AB19437" s="38"/>
    </row>
    <row r="19438">
      <c r="P19438" s="42"/>
      <c r="AB19438" s="38"/>
    </row>
    <row r="19439">
      <c r="P19439" s="42"/>
      <c r="AB19439" s="38"/>
    </row>
    <row r="19440">
      <c r="P19440" s="42"/>
      <c r="AB19440" s="38"/>
    </row>
    <row r="19441">
      <c r="P19441" s="42"/>
      <c r="AB19441" s="38"/>
    </row>
    <row r="19442">
      <c r="P19442" s="42"/>
      <c r="AB19442" s="38"/>
    </row>
    <row r="19443">
      <c r="P19443" s="42"/>
      <c r="AB19443" s="38"/>
    </row>
    <row r="19444">
      <c r="P19444" s="42"/>
      <c r="AB19444" s="38"/>
    </row>
    <row r="19445">
      <c r="P19445" s="42"/>
      <c r="AB19445" s="38"/>
    </row>
    <row r="19446">
      <c r="P19446" s="42"/>
      <c r="AB19446" s="38"/>
    </row>
    <row r="19447">
      <c r="P19447" s="42"/>
      <c r="AB19447" s="38"/>
    </row>
    <row r="19448">
      <c r="P19448" s="42"/>
      <c r="AB19448" s="38"/>
    </row>
    <row r="19449">
      <c r="P19449" s="42"/>
      <c r="AB19449" s="38"/>
    </row>
    <row r="19450">
      <c r="P19450" s="42"/>
      <c r="AB19450" s="38"/>
    </row>
    <row r="19451">
      <c r="P19451" s="42"/>
      <c r="AB19451" s="38"/>
    </row>
    <row r="19452">
      <c r="P19452" s="42"/>
      <c r="AB19452" s="38"/>
    </row>
    <row r="19453">
      <c r="P19453" s="42"/>
      <c r="AB19453" s="38"/>
    </row>
    <row r="19454">
      <c r="P19454" s="42"/>
      <c r="AB19454" s="38"/>
    </row>
    <row r="19455">
      <c r="P19455" s="42"/>
      <c r="AB19455" s="38"/>
    </row>
    <row r="19456">
      <c r="P19456" s="42"/>
      <c r="AB19456" s="38"/>
    </row>
    <row r="19457">
      <c r="P19457" s="42"/>
      <c r="AB19457" s="38"/>
    </row>
    <row r="19458">
      <c r="P19458" s="42"/>
      <c r="AB19458" s="38"/>
    </row>
    <row r="19459">
      <c r="P19459" s="42"/>
      <c r="AB19459" s="38"/>
    </row>
    <row r="19460">
      <c r="P19460" s="42"/>
      <c r="AB19460" s="38"/>
    </row>
    <row r="19461">
      <c r="P19461" s="42"/>
      <c r="AB19461" s="38"/>
    </row>
    <row r="19462">
      <c r="P19462" s="42"/>
      <c r="AB19462" s="38"/>
    </row>
    <row r="19463">
      <c r="P19463" s="42"/>
      <c r="AB19463" s="38"/>
    </row>
    <row r="19464">
      <c r="P19464" s="42"/>
      <c r="AB19464" s="38"/>
    </row>
    <row r="19465">
      <c r="P19465" s="42"/>
      <c r="AB19465" s="38"/>
    </row>
    <row r="19466">
      <c r="P19466" s="42"/>
      <c r="AB19466" s="38"/>
    </row>
    <row r="19467">
      <c r="P19467" s="42"/>
      <c r="AB19467" s="38"/>
    </row>
    <row r="19468">
      <c r="P19468" s="42"/>
      <c r="AB19468" s="38"/>
    </row>
    <row r="19469">
      <c r="P19469" s="42"/>
      <c r="AB19469" s="38"/>
    </row>
    <row r="19470">
      <c r="P19470" s="42"/>
      <c r="AB19470" s="38"/>
    </row>
    <row r="19471">
      <c r="P19471" s="42"/>
      <c r="AB19471" s="38"/>
    </row>
    <row r="19472">
      <c r="P19472" s="42"/>
      <c r="AB19472" s="38"/>
    </row>
    <row r="19473">
      <c r="P19473" s="42"/>
      <c r="AB19473" s="38"/>
    </row>
    <row r="19474">
      <c r="P19474" s="42"/>
      <c r="AB19474" s="38"/>
    </row>
    <row r="19475">
      <c r="P19475" s="42"/>
      <c r="AB19475" s="38"/>
    </row>
    <row r="19476">
      <c r="P19476" s="42"/>
      <c r="AB19476" s="38"/>
    </row>
    <row r="19477">
      <c r="P19477" s="42"/>
      <c r="AB19477" s="38"/>
    </row>
    <row r="19478">
      <c r="P19478" s="42"/>
      <c r="AB19478" s="38"/>
    </row>
    <row r="19479">
      <c r="P19479" s="42"/>
      <c r="AB19479" s="38"/>
    </row>
    <row r="19480">
      <c r="P19480" s="42"/>
      <c r="AB19480" s="38"/>
    </row>
    <row r="19481">
      <c r="P19481" s="42"/>
      <c r="AB19481" s="38"/>
    </row>
    <row r="19482">
      <c r="P19482" s="42"/>
      <c r="AB19482" s="38"/>
    </row>
    <row r="19483">
      <c r="P19483" s="42"/>
      <c r="AB19483" s="38"/>
    </row>
    <row r="19484">
      <c r="P19484" s="42"/>
      <c r="AB19484" s="38"/>
    </row>
    <row r="19485">
      <c r="P19485" s="42"/>
      <c r="AB19485" s="38"/>
    </row>
    <row r="19486">
      <c r="P19486" s="42"/>
      <c r="AB19486" s="38"/>
    </row>
    <row r="19487">
      <c r="P19487" s="42"/>
      <c r="AB19487" s="38"/>
    </row>
    <row r="19488">
      <c r="P19488" s="42"/>
      <c r="AB19488" s="38"/>
    </row>
    <row r="19489">
      <c r="P19489" s="42"/>
      <c r="AB19489" s="38"/>
    </row>
    <row r="19490">
      <c r="P19490" s="42"/>
      <c r="AB19490" s="38"/>
    </row>
    <row r="19491">
      <c r="P19491" s="42"/>
      <c r="AB19491" s="38"/>
    </row>
    <row r="19492">
      <c r="P19492" s="42"/>
      <c r="AB19492" s="38"/>
    </row>
    <row r="19493">
      <c r="P19493" s="42"/>
      <c r="AB19493" s="38"/>
    </row>
    <row r="19494">
      <c r="P19494" s="42"/>
      <c r="AB19494" s="38"/>
    </row>
    <row r="19495">
      <c r="P19495" s="42"/>
      <c r="AB19495" s="38"/>
    </row>
    <row r="19496">
      <c r="P19496" s="42"/>
      <c r="AB19496" s="38"/>
    </row>
    <row r="19497">
      <c r="P19497" s="42"/>
      <c r="AB19497" s="38"/>
    </row>
    <row r="19498">
      <c r="P19498" s="42"/>
      <c r="AB19498" s="38"/>
    </row>
    <row r="19499">
      <c r="P19499" s="42"/>
      <c r="AB19499" s="38"/>
    </row>
    <row r="19500">
      <c r="P19500" s="42"/>
      <c r="AB19500" s="38"/>
    </row>
    <row r="19501">
      <c r="P19501" s="42"/>
      <c r="AB19501" s="38"/>
    </row>
    <row r="19502">
      <c r="P19502" s="42"/>
      <c r="AB19502" s="38"/>
    </row>
    <row r="19503">
      <c r="P19503" s="42"/>
      <c r="AB19503" s="38"/>
    </row>
    <row r="19504">
      <c r="P19504" s="42"/>
      <c r="AB19504" s="38"/>
    </row>
    <row r="19505">
      <c r="P19505" s="42"/>
      <c r="AB19505" s="38"/>
    </row>
    <row r="19506">
      <c r="P19506" s="42"/>
      <c r="AB19506" s="38"/>
    </row>
    <row r="19507">
      <c r="P19507" s="42"/>
      <c r="AB19507" s="38"/>
    </row>
    <row r="19508">
      <c r="P19508" s="42"/>
      <c r="AB19508" s="38"/>
    </row>
    <row r="19509">
      <c r="P19509" s="42"/>
      <c r="AB19509" s="38"/>
    </row>
    <row r="19510">
      <c r="P19510" s="42"/>
      <c r="AB19510" s="38"/>
    </row>
    <row r="19511">
      <c r="P19511" s="42"/>
      <c r="AB19511" s="38"/>
    </row>
    <row r="19512">
      <c r="P19512" s="42"/>
      <c r="AB19512" s="38"/>
    </row>
    <row r="19513">
      <c r="P19513" s="42"/>
      <c r="AB19513" s="38"/>
    </row>
    <row r="19514">
      <c r="P19514" s="42"/>
      <c r="AB19514" s="38"/>
    </row>
    <row r="19515">
      <c r="P19515" s="42"/>
      <c r="AB19515" s="38"/>
    </row>
    <row r="19516">
      <c r="P19516" s="42"/>
      <c r="AB19516" s="38"/>
    </row>
    <row r="19517">
      <c r="P19517" s="42"/>
      <c r="AB19517" s="38"/>
    </row>
    <row r="19518">
      <c r="P19518" s="42"/>
      <c r="AB19518" s="38"/>
    </row>
    <row r="19519">
      <c r="P19519" s="42"/>
      <c r="AB19519" s="38"/>
    </row>
    <row r="19520">
      <c r="P19520" s="42"/>
      <c r="AB19520" s="38"/>
    </row>
    <row r="19521">
      <c r="P19521" s="42"/>
      <c r="AB19521" s="38"/>
    </row>
    <row r="19522">
      <c r="P19522" s="42"/>
      <c r="AB19522" s="38"/>
    </row>
    <row r="19523">
      <c r="P19523" s="42"/>
      <c r="AB19523" s="38"/>
    </row>
    <row r="19524">
      <c r="P19524" s="42"/>
      <c r="AB19524" s="38"/>
    </row>
    <row r="19525">
      <c r="P19525" s="42"/>
      <c r="AB19525" s="38"/>
    </row>
    <row r="19526">
      <c r="P19526" s="42"/>
      <c r="AB19526" s="38"/>
    </row>
    <row r="19527">
      <c r="P19527" s="42"/>
      <c r="AB19527" s="38"/>
    </row>
    <row r="19528">
      <c r="P19528" s="42"/>
      <c r="AB19528" s="38"/>
    </row>
    <row r="19529">
      <c r="P19529" s="42"/>
      <c r="AB19529" s="38"/>
    </row>
    <row r="19530">
      <c r="P19530" s="42"/>
      <c r="AB19530" s="38"/>
    </row>
    <row r="19531">
      <c r="P19531" s="42"/>
      <c r="AB19531" s="38"/>
    </row>
    <row r="19532">
      <c r="P19532" s="42"/>
      <c r="AB19532" s="38"/>
    </row>
    <row r="19533">
      <c r="P19533" s="42"/>
      <c r="AB19533" s="38"/>
    </row>
    <row r="19534">
      <c r="P19534" s="42"/>
      <c r="AB19534" s="38"/>
    </row>
    <row r="19535">
      <c r="P19535" s="42"/>
      <c r="AB19535" s="38"/>
    </row>
    <row r="19536">
      <c r="P19536" s="42"/>
      <c r="AB19536" s="38"/>
    </row>
    <row r="19537">
      <c r="P19537" s="42"/>
      <c r="AB19537" s="38"/>
    </row>
    <row r="19538">
      <c r="P19538" s="42"/>
      <c r="AB19538" s="38"/>
    </row>
    <row r="19539">
      <c r="P19539" s="42"/>
      <c r="AB19539" s="38"/>
    </row>
    <row r="19540">
      <c r="P19540" s="42"/>
      <c r="AB19540" s="38"/>
    </row>
    <row r="19541">
      <c r="P19541" s="42"/>
      <c r="AB19541" s="38"/>
    </row>
    <row r="19542">
      <c r="P19542" s="42"/>
      <c r="AB19542" s="38"/>
    </row>
    <row r="19543">
      <c r="P19543" s="42"/>
      <c r="AB19543" s="38"/>
    </row>
    <row r="19544">
      <c r="P19544" s="42"/>
      <c r="AB19544" s="38"/>
    </row>
    <row r="19545">
      <c r="P19545" s="42"/>
      <c r="AB19545" s="38"/>
    </row>
    <row r="19546">
      <c r="P19546" s="42"/>
      <c r="AB19546" s="38"/>
    </row>
    <row r="19547">
      <c r="P19547" s="42"/>
      <c r="AB19547" s="38"/>
    </row>
    <row r="19548">
      <c r="P19548" s="42"/>
      <c r="AB19548" s="38"/>
    </row>
    <row r="19549">
      <c r="P19549" s="42"/>
      <c r="AB19549" s="38"/>
    </row>
    <row r="19550">
      <c r="P19550" s="42"/>
      <c r="AB19550" s="38"/>
    </row>
    <row r="19551">
      <c r="P19551" s="42"/>
      <c r="AB19551" s="38"/>
    </row>
    <row r="19552">
      <c r="P19552" s="42"/>
      <c r="AB19552" s="38"/>
    </row>
    <row r="19553">
      <c r="P19553" s="42"/>
      <c r="AB19553" s="38"/>
    </row>
    <row r="19554">
      <c r="P19554" s="42"/>
      <c r="AB19554" s="38"/>
    </row>
    <row r="19555">
      <c r="P19555" s="42"/>
      <c r="AB19555" s="38"/>
    </row>
    <row r="19556">
      <c r="P19556" s="42"/>
      <c r="AB19556" s="38"/>
    </row>
    <row r="19557">
      <c r="P19557" s="42"/>
      <c r="AB19557" s="38"/>
    </row>
    <row r="19558">
      <c r="P19558" s="42"/>
      <c r="AB19558" s="38"/>
    </row>
    <row r="19559">
      <c r="P19559" s="42"/>
      <c r="AB19559" s="38"/>
    </row>
    <row r="19560">
      <c r="P19560" s="42"/>
      <c r="AB19560" s="38"/>
    </row>
    <row r="19561">
      <c r="P19561" s="42"/>
      <c r="AB19561" s="38"/>
    </row>
    <row r="19562">
      <c r="P19562" s="42"/>
      <c r="AB19562" s="38"/>
    </row>
    <row r="19563">
      <c r="P19563" s="42"/>
      <c r="AB19563" s="38"/>
    </row>
    <row r="19564">
      <c r="P19564" s="42"/>
      <c r="AB19564" s="38"/>
    </row>
    <row r="19565">
      <c r="P19565" s="42"/>
      <c r="AB19565" s="38"/>
    </row>
    <row r="19566">
      <c r="P19566" s="42"/>
      <c r="AB19566" s="38"/>
    </row>
    <row r="19567">
      <c r="P19567" s="42"/>
      <c r="AB19567" s="38"/>
    </row>
    <row r="19568">
      <c r="P19568" s="42"/>
      <c r="AB19568" s="38"/>
    </row>
    <row r="19569">
      <c r="P19569" s="42"/>
      <c r="AB19569" s="38"/>
    </row>
    <row r="19570">
      <c r="P19570" s="42"/>
      <c r="AB19570" s="38"/>
    </row>
    <row r="19571">
      <c r="P19571" s="42"/>
      <c r="AB19571" s="38"/>
    </row>
    <row r="19572">
      <c r="P19572" s="42"/>
      <c r="AB19572" s="38"/>
    </row>
    <row r="19573">
      <c r="P19573" s="42"/>
      <c r="AB19573" s="38"/>
    </row>
    <row r="19574">
      <c r="P19574" s="42"/>
      <c r="AB19574" s="38"/>
    </row>
    <row r="19575">
      <c r="P19575" s="42"/>
      <c r="AB19575" s="38"/>
    </row>
    <row r="19576">
      <c r="P19576" s="42"/>
      <c r="AB19576" s="38"/>
    </row>
    <row r="19577">
      <c r="P19577" s="42"/>
      <c r="AB19577" s="38"/>
    </row>
    <row r="19578">
      <c r="P19578" s="42"/>
      <c r="AB19578" s="38"/>
    </row>
    <row r="19579">
      <c r="P19579" s="42"/>
      <c r="AB19579" s="38"/>
    </row>
    <row r="19580">
      <c r="P19580" s="42"/>
      <c r="AB19580" s="38"/>
    </row>
    <row r="19581">
      <c r="P19581" s="42"/>
      <c r="AB19581" s="38"/>
    </row>
    <row r="19582">
      <c r="P19582" s="42"/>
      <c r="AB19582" s="38"/>
    </row>
    <row r="19583">
      <c r="P19583" s="42"/>
      <c r="AB19583" s="38"/>
    </row>
    <row r="19584">
      <c r="P19584" s="42"/>
      <c r="AB19584" s="38"/>
    </row>
    <row r="19585">
      <c r="P19585" s="42"/>
      <c r="AB19585" s="38"/>
    </row>
    <row r="19586">
      <c r="P19586" s="42"/>
      <c r="AB19586" s="38"/>
    </row>
    <row r="19587">
      <c r="P19587" s="42"/>
      <c r="AB19587" s="38"/>
    </row>
    <row r="19588">
      <c r="P19588" s="42"/>
      <c r="AB19588" s="38"/>
    </row>
    <row r="19589">
      <c r="P19589" s="42"/>
      <c r="AB19589" s="38"/>
    </row>
    <row r="19590">
      <c r="P19590" s="42"/>
      <c r="AB19590" s="38"/>
    </row>
    <row r="19591">
      <c r="P19591" s="42"/>
      <c r="AB19591" s="38"/>
    </row>
    <row r="19592">
      <c r="P19592" s="42"/>
      <c r="AB19592" s="38"/>
    </row>
    <row r="19593">
      <c r="P19593" s="42"/>
      <c r="AB19593" s="38"/>
    </row>
    <row r="19594">
      <c r="P19594" s="42"/>
      <c r="AB19594" s="38"/>
    </row>
    <row r="19595">
      <c r="P19595" s="42"/>
      <c r="AB19595" s="38"/>
    </row>
    <row r="19596">
      <c r="P19596" s="42"/>
      <c r="AB19596" s="38"/>
    </row>
    <row r="19597">
      <c r="P19597" s="42"/>
      <c r="AB19597" s="38"/>
    </row>
    <row r="19598">
      <c r="P19598" s="42"/>
      <c r="AB19598" s="38"/>
    </row>
    <row r="19599">
      <c r="P19599" s="42"/>
      <c r="AB19599" s="38"/>
    </row>
    <row r="19600">
      <c r="P19600" s="42"/>
      <c r="AB19600" s="38"/>
    </row>
    <row r="19601">
      <c r="P19601" s="42"/>
      <c r="AB19601" s="38"/>
    </row>
    <row r="19602">
      <c r="P19602" s="42"/>
      <c r="AB19602" s="38"/>
    </row>
    <row r="19603">
      <c r="P19603" s="42"/>
      <c r="AB19603" s="38"/>
    </row>
    <row r="19604">
      <c r="P19604" s="42"/>
      <c r="AB19604" s="38"/>
    </row>
    <row r="19605">
      <c r="P19605" s="42"/>
      <c r="AB19605" s="38"/>
    </row>
    <row r="19606">
      <c r="P19606" s="42"/>
      <c r="AB19606" s="38"/>
    </row>
    <row r="19607">
      <c r="P19607" s="42"/>
      <c r="AB19607" s="38"/>
    </row>
    <row r="19608">
      <c r="P19608" s="42"/>
      <c r="AB19608" s="38"/>
    </row>
    <row r="19609">
      <c r="P19609" s="42"/>
      <c r="AB19609" s="38"/>
    </row>
    <row r="19610">
      <c r="P19610" s="42"/>
      <c r="AB19610" s="38"/>
    </row>
    <row r="19611">
      <c r="P19611" s="42"/>
      <c r="AB19611" s="38"/>
    </row>
    <row r="19612">
      <c r="P19612" s="42"/>
      <c r="AB19612" s="38"/>
    </row>
    <row r="19613">
      <c r="P19613" s="42"/>
      <c r="AB19613" s="38"/>
    </row>
    <row r="19614">
      <c r="P19614" s="42"/>
      <c r="AB19614" s="38"/>
    </row>
    <row r="19615">
      <c r="P19615" s="42"/>
      <c r="AB19615" s="38"/>
    </row>
    <row r="19616">
      <c r="P19616" s="42"/>
      <c r="AB19616" s="38"/>
    </row>
    <row r="19617">
      <c r="P19617" s="42"/>
      <c r="AB19617" s="38"/>
    </row>
    <row r="19618">
      <c r="P19618" s="42"/>
      <c r="AB19618" s="38"/>
    </row>
    <row r="19619">
      <c r="P19619" s="42"/>
      <c r="AB19619" s="38"/>
    </row>
    <row r="19620">
      <c r="P19620" s="42"/>
      <c r="AB19620" s="38"/>
    </row>
    <row r="19621">
      <c r="P19621" s="42"/>
      <c r="AB19621" s="38"/>
    </row>
    <row r="19622">
      <c r="P19622" s="42"/>
      <c r="AB19622" s="38"/>
    </row>
    <row r="19623">
      <c r="P19623" s="42"/>
      <c r="AB19623" s="38"/>
    </row>
    <row r="19624">
      <c r="P19624" s="42"/>
      <c r="AB19624" s="38"/>
    </row>
    <row r="19625">
      <c r="P19625" s="42"/>
      <c r="AB19625" s="38"/>
    </row>
    <row r="19626">
      <c r="P19626" s="42"/>
      <c r="AB19626" s="38"/>
    </row>
    <row r="19627">
      <c r="P19627" s="42"/>
      <c r="AB19627" s="38"/>
    </row>
    <row r="19628">
      <c r="P19628" s="42"/>
      <c r="AB19628" s="38"/>
    </row>
    <row r="19629">
      <c r="P19629" s="42"/>
      <c r="AB19629" s="38"/>
    </row>
    <row r="19630">
      <c r="P19630" s="42"/>
      <c r="AB19630" s="38"/>
    </row>
    <row r="19631">
      <c r="P19631" s="42"/>
      <c r="AB19631" s="38"/>
    </row>
    <row r="19632">
      <c r="P19632" s="42"/>
      <c r="AB19632" s="38"/>
    </row>
    <row r="19633">
      <c r="P19633" s="42"/>
      <c r="AB19633" s="38"/>
    </row>
    <row r="19634">
      <c r="P19634" s="42"/>
      <c r="AB19634" s="38"/>
    </row>
    <row r="19635">
      <c r="P19635" s="42"/>
      <c r="AB19635" s="38"/>
    </row>
    <row r="19636">
      <c r="P19636" s="42"/>
      <c r="AB19636" s="38"/>
    </row>
    <row r="19637">
      <c r="P19637" s="42"/>
      <c r="AB19637" s="38"/>
    </row>
    <row r="19638">
      <c r="P19638" s="42"/>
      <c r="AB19638" s="38"/>
    </row>
    <row r="19639">
      <c r="P19639" s="42"/>
      <c r="AB19639" s="38"/>
    </row>
    <row r="19640">
      <c r="P19640" s="42"/>
      <c r="AB19640" s="38"/>
    </row>
    <row r="19641">
      <c r="P19641" s="42"/>
      <c r="AB19641" s="38"/>
    </row>
    <row r="19642">
      <c r="P19642" s="42"/>
      <c r="AB19642" s="38"/>
    </row>
    <row r="19643">
      <c r="P19643" s="42"/>
      <c r="AB19643" s="38"/>
    </row>
    <row r="19644">
      <c r="P19644" s="42"/>
      <c r="AB19644" s="38"/>
    </row>
    <row r="19645">
      <c r="P19645" s="42"/>
      <c r="AB19645" s="38"/>
    </row>
    <row r="19646">
      <c r="P19646" s="42"/>
      <c r="AB19646" s="38"/>
    </row>
    <row r="19647">
      <c r="P19647" s="42"/>
      <c r="AB19647" s="38"/>
    </row>
    <row r="19648">
      <c r="P19648" s="42"/>
      <c r="AB19648" s="38"/>
    </row>
    <row r="19649">
      <c r="P19649" s="42"/>
      <c r="AB19649" s="38"/>
    </row>
    <row r="19650">
      <c r="P19650" s="42"/>
      <c r="AB19650" s="38"/>
    </row>
    <row r="19651">
      <c r="P19651" s="42"/>
      <c r="AB19651" s="38"/>
    </row>
    <row r="19652">
      <c r="P19652" s="42"/>
      <c r="AB19652" s="38"/>
    </row>
    <row r="19653">
      <c r="P19653" s="42"/>
      <c r="AB19653" s="38"/>
    </row>
    <row r="19654">
      <c r="P19654" s="42"/>
      <c r="AB19654" s="38"/>
    </row>
    <row r="19655">
      <c r="P19655" s="42"/>
      <c r="AB19655" s="38"/>
    </row>
    <row r="19656">
      <c r="P19656" s="42"/>
      <c r="AB19656" s="38"/>
    </row>
    <row r="19657">
      <c r="P19657" s="42"/>
      <c r="AB19657" s="38"/>
    </row>
    <row r="19658">
      <c r="P19658" s="42"/>
      <c r="AB19658" s="38"/>
    </row>
    <row r="19659">
      <c r="P19659" s="42"/>
      <c r="AB19659" s="38"/>
    </row>
    <row r="19660">
      <c r="P19660" s="42"/>
      <c r="AB19660" s="38"/>
    </row>
    <row r="19661">
      <c r="P19661" s="42"/>
      <c r="AB19661" s="38"/>
    </row>
    <row r="19662">
      <c r="P19662" s="42"/>
      <c r="AB19662" s="38"/>
    </row>
    <row r="19663">
      <c r="P19663" s="42"/>
      <c r="AB19663" s="38"/>
    </row>
    <row r="19664">
      <c r="P19664" s="42"/>
      <c r="AB19664" s="38"/>
    </row>
    <row r="19665">
      <c r="P19665" s="42"/>
      <c r="AB19665" s="38"/>
    </row>
    <row r="19666">
      <c r="P19666" s="42"/>
      <c r="AB19666" s="38"/>
    </row>
    <row r="19667">
      <c r="P19667" s="42"/>
      <c r="AB19667" s="38"/>
    </row>
    <row r="19668">
      <c r="P19668" s="42"/>
      <c r="AB19668" s="38"/>
    </row>
    <row r="19669">
      <c r="P19669" s="42"/>
      <c r="AB19669" s="38"/>
    </row>
    <row r="19670">
      <c r="P19670" s="42"/>
      <c r="AB19670" s="38"/>
    </row>
    <row r="19671">
      <c r="P19671" s="42"/>
      <c r="AB19671" s="38"/>
    </row>
    <row r="19672">
      <c r="P19672" s="42"/>
      <c r="AB19672" s="38"/>
    </row>
    <row r="19673">
      <c r="P19673" s="42"/>
      <c r="AB19673" s="38"/>
    </row>
    <row r="19674">
      <c r="P19674" s="42"/>
      <c r="AB19674" s="38"/>
    </row>
    <row r="19675">
      <c r="P19675" s="42"/>
      <c r="AB19675" s="38"/>
    </row>
    <row r="19676">
      <c r="P19676" s="42"/>
      <c r="AB19676" s="38"/>
    </row>
    <row r="19677">
      <c r="P19677" s="42"/>
      <c r="AB19677" s="38"/>
    </row>
    <row r="19678">
      <c r="P19678" s="42"/>
      <c r="AB19678" s="38"/>
    </row>
    <row r="19679">
      <c r="P19679" s="42"/>
      <c r="AB19679" s="38"/>
    </row>
    <row r="19680">
      <c r="P19680" s="42"/>
      <c r="AB19680" s="38"/>
    </row>
    <row r="19681">
      <c r="P19681" s="42"/>
      <c r="AB19681" s="38"/>
    </row>
    <row r="19682">
      <c r="P19682" s="42"/>
      <c r="AB19682" s="38"/>
    </row>
    <row r="19683">
      <c r="P19683" s="42"/>
      <c r="AB19683" s="38"/>
    </row>
    <row r="19684">
      <c r="P19684" s="42"/>
      <c r="AB19684" s="38"/>
    </row>
    <row r="19685">
      <c r="P19685" s="42"/>
      <c r="AB19685" s="38"/>
    </row>
    <row r="19686">
      <c r="P19686" s="42"/>
      <c r="AB19686" s="38"/>
    </row>
    <row r="19687">
      <c r="P19687" s="42"/>
      <c r="AB19687" s="38"/>
    </row>
    <row r="19688">
      <c r="P19688" s="42"/>
      <c r="AB19688" s="38"/>
    </row>
    <row r="19689">
      <c r="P19689" s="42"/>
      <c r="AB19689" s="38"/>
    </row>
    <row r="19690">
      <c r="P19690" s="42"/>
      <c r="AB19690" s="38"/>
    </row>
    <row r="19691">
      <c r="P19691" s="42"/>
      <c r="AB19691" s="38"/>
    </row>
    <row r="19692">
      <c r="P19692" s="42"/>
      <c r="AB19692" s="38"/>
    </row>
    <row r="19693">
      <c r="P19693" s="42"/>
      <c r="AB19693" s="38"/>
    </row>
    <row r="19694">
      <c r="P19694" s="42"/>
      <c r="AB19694" s="38"/>
    </row>
    <row r="19695">
      <c r="P19695" s="42"/>
      <c r="AB19695" s="38"/>
    </row>
    <row r="19696">
      <c r="P19696" s="42"/>
      <c r="AB19696" s="38"/>
    </row>
    <row r="19697">
      <c r="P19697" s="42"/>
      <c r="AB19697" s="38"/>
    </row>
    <row r="19698">
      <c r="P19698" s="42"/>
      <c r="AB19698" s="38"/>
    </row>
    <row r="19699">
      <c r="P19699" s="42"/>
      <c r="AB19699" s="38"/>
    </row>
    <row r="19700">
      <c r="P19700" s="42"/>
      <c r="AB19700" s="38"/>
    </row>
    <row r="19701">
      <c r="P19701" s="42"/>
      <c r="AB19701" s="38"/>
    </row>
    <row r="19702">
      <c r="P19702" s="42"/>
      <c r="AB19702" s="38"/>
    </row>
    <row r="19703">
      <c r="P19703" s="42"/>
      <c r="AB19703" s="38"/>
    </row>
    <row r="19704">
      <c r="P19704" s="42"/>
      <c r="AB19704" s="38"/>
    </row>
    <row r="19705">
      <c r="P19705" s="42"/>
      <c r="AB19705" s="38"/>
    </row>
    <row r="19706">
      <c r="P19706" s="42"/>
      <c r="AB19706" s="38"/>
    </row>
    <row r="19707">
      <c r="P19707" s="42"/>
      <c r="AB19707" s="38"/>
    </row>
    <row r="19708">
      <c r="P19708" s="42"/>
      <c r="AB19708" s="38"/>
    </row>
    <row r="19709">
      <c r="P19709" s="42"/>
      <c r="AB19709" s="38"/>
    </row>
    <row r="19710">
      <c r="P19710" s="42"/>
      <c r="AB19710" s="38"/>
    </row>
    <row r="19711">
      <c r="P19711" s="42"/>
      <c r="AB19711" s="38"/>
    </row>
    <row r="19712">
      <c r="P19712" s="42"/>
      <c r="AB19712" s="38"/>
    </row>
    <row r="19713">
      <c r="P19713" s="42"/>
      <c r="AB19713" s="38"/>
    </row>
    <row r="19714">
      <c r="P19714" s="42"/>
      <c r="AB19714" s="38"/>
    </row>
    <row r="19715">
      <c r="P19715" s="42"/>
      <c r="AB19715" s="38"/>
    </row>
    <row r="19716">
      <c r="P19716" s="42"/>
      <c r="AB19716" s="38"/>
    </row>
    <row r="19717">
      <c r="P19717" s="42"/>
      <c r="AB19717" s="38"/>
    </row>
    <row r="19718">
      <c r="P19718" s="42"/>
      <c r="AB19718" s="38"/>
    </row>
    <row r="19719">
      <c r="P19719" s="42"/>
      <c r="AB19719" s="38"/>
    </row>
    <row r="19720">
      <c r="P19720" s="42"/>
      <c r="AB19720" s="38"/>
    </row>
    <row r="19721">
      <c r="P19721" s="42"/>
      <c r="AB19721" s="38"/>
    </row>
    <row r="19722">
      <c r="P19722" s="42"/>
      <c r="AB19722" s="38"/>
    </row>
    <row r="19723">
      <c r="P19723" s="42"/>
      <c r="AB19723" s="38"/>
    </row>
    <row r="19724">
      <c r="P19724" s="42"/>
      <c r="AB19724" s="38"/>
    </row>
    <row r="19725">
      <c r="P19725" s="42"/>
      <c r="AB19725" s="38"/>
    </row>
    <row r="19726">
      <c r="P19726" s="42"/>
      <c r="AB19726" s="38"/>
    </row>
    <row r="19727">
      <c r="P19727" s="42"/>
      <c r="AB19727" s="38"/>
    </row>
    <row r="19728">
      <c r="P19728" s="42"/>
      <c r="AB19728" s="38"/>
    </row>
    <row r="19729">
      <c r="P19729" s="42"/>
      <c r="AB19729" s="38"/>
    </row>
    <row r="19730">
      <c r="P19730" s="42"/>
      <c r="AB19730" s="38"/>
    </row>
    <row r="19731">
      <c r="P19731" s="42"/>
      <c r="AB19731" s="38"/>
    </row>
    <row r="19732">
      <c r="P19732" s="42"/>
      <c r="AB19732" s="38"/>
    </row>
    <row r="19733">
      <c r="P19733" s="42"/>
      <c r="AB19733" s="38"/>
    </row>
    <row r="19734">
      <c r="P19734" s="42"/>
      <c r="AB19734" s="38"/>
    </row>
    <row r="19735">
      <c r="P19735" s="42"/>
      <c r="AB19735" s="38"/>
    </row>
    <row r="19736">
      <c r="P19736" s="42"/>
      <c r="AB19736" s="38"/>
    </row>
    <row r="19737">
      <c r="P19737" s="42"/>
      <c r="AB19737" s="38"/>
    </row>
    <row r="19738">
      <c r="P19738" s="42"/>
      <c r="AB19738" s="38"/>
    </row>
    <row r="19739">
      <c r="P19739" s="42"/>
      <c r="AB19739" s="38"/>
    </row>
    <row r="19740">
      <c r="P19740" s="42"/>
      <c r="AB19740" s="38"/>
    </row>
    <row r="19741">
      <c r="P19741" s="42"/>
      <c r="AB19741" s="38"/>
    </row>
    <row r="19742">
      <c r="P19742" s="42"/>
      <c r="AB19742" s="38"/>
    </row>
    <row r="19743">
      <c r="P19743" s="42"/>
      <c r="AB19743" s="38"/>
    </row>
    <row r="19744">
      <c r="P19744" s="42"/>
      <c r="AB19744" s="38"/>
    </row>
    <row r="19745">
      <c r="P19745" s="42"/>
      <c r="AB19745" s="38"/>
    </row>
    <row r="19746">
      <c r="P19746" s="42"/>
      <c r="AB19746" s="38"/>
    </row>
    <row r="19747">
      <c r="P19747" s="42"/>
      <c r="AB19747" s="38"/>
    </row>
    <row r="19748">
      <c r="P19748" s="42"/>
      <c r="AB19748" s="38"/>
    </row>
    <row r="19749">
      <c r="P19749" s="42"/>
      <c r="AB19749" s="38"/>
    </row>
    <row r="19750">
      <c r="P19750" s="42"/>
      <c r="AB19750" s="38"/>
    </row>
    <row r="19751">
      <c r="P19751" s="42"/>
      <c r="AB19751" s="38"/>
    </row>
    <row r="19752">
      <c r="P19752" s="42"/>
      <c r="AB19752" s="38"/>
    </row>
    <row r="19753">
      <c r="P19753" s="42"/>
      <c r="AB19753" s="38"/>
    </row>
    <row r="19754">
      <c r="P19754" s="42"/>
      <c r="AB19754" s="38"/>
    </row>
    <row r="19755">
      <c r="P19755" s="42"/>
      <c r="AB19755" s="38"/>
    </row>
    <row r="19756">
      <c r="P19756" s="42"/>
      <c r="AB19756" s="38"/>
    </row>
    <row r="19757">
      <c r="P19757" s="42"/>
      <c r="AB19757" s="38"/>
    </row>
    <row r="19758">
      <c r="P19758" s="42"/>
      <c r="AB19758" s="38"/>
    </row>
    <row r="19759">
      <c r="P19759" s="42"/>
      <c r="AB19759" s="38"/>
    </row>
    <row r="19760">
      <c r="P19760" s="42"/>
      <c r="AB19760" s="38"/>
    </row>
    <row r="19761">
      <c r="P19761" s="42"/>
      <c r="AB19761" s="38"/>
    </row>
    <row r="19762">
      <c r="P19762" s="42"/>
      <c r="AB19762" s="38"/>
    </row>
    <row r="19763">
      <c r="P19763" s="42"/>
      <c r="AB19763" s="38"/>
    </row>
    <row r="19764">
      <c r="P19764" s="42"/>
      <c r="AB19764" s="38"/>
    </row>
    <row r="19765">
      <c r="P19765" s="42"/>
      <c r="AB19765" s="38"/>
    </row>
    <row r="19766">
      <c r="P19766" s="42"/>
      <c r="AB19766" s="38"/>
    </row>
    <row r="19767">
      <c r="P19767" s="42"/>
      <c r="AB19767" s="38"/>
    </row>
    <row r="19768">
      <c r="P19768" s="42"/>
      <c r="AB19768" s="38"/>
    </row>
    <row r="19769">
      <c r="P19769" s="42"/>
      <c r="AB19769" s="38"/>
    </row>
    <row r="19770">
      <c r="P19770" s="42"/>
      <c r="AB19770" s="38"/>
    </row>
    <row r="19771">
      <c r="P19771" s="42"/>
      <c r="AB19771" s="38"/>
    </row>
    <row r="19772">
      <c r="P19772" s="42"/>
      <c r="AB19772" s="38"/>
    </row>
    <row r="19773">
      <c r="P19773" s="42"/>
      <c r="AB19773" s="38"/>
    </row>
    <row r="19774">
      <c r="P19774" s="42"/>
      <c r="AB19774" s="38"/>
    </row>
    <row r="19775">
      <c r="P19775" s="42"/>
      <c r="AB19775" s="38"/>
    </row>
    <row r="19776">
      <c r="P19776" s="42"/>
      <c r="AB19776" s="38"/>
    </row>
    <row r="19777">
      <c r="P19777" s="42"/>
      <c r="AB19777" s="38"/>
    </row>
    <row r="19778">
      <c r="P19778" s="42"/>
      <c r="AB19778" s="38"/>
    </row>
    <row r="19779">
      <c r="P19779" s="42"/>
      <c r="AB19779" s="38"/>
    </row>
    <row r="19780">
      <c r="P19780" s="42"/>
      <c r="AB19780" s="38"/>
    </row>
    <row r="19781">
      <c r="P19781" s="42"/>
      <c r="AB19781" s="38"/>
    </row>
    <row r="19782">
      <c r="P19782" s="42"/>
      <c r="AB19782" s="38"/>
    </row>
    <row r="19783">
      <c r="P19783" s="42"/>
      <c r="AB19783" s="38"/>
    </row>
    <row r="19784">
      <c r="P19784" s="42"/>
      <c r="AB19784" s="38"/>
    </row>
    <row r="19785">
      <c r="P19785" s="42"/>
      <c r="AB19785" s="38"/>
    </row>
    <row r="19786">
      <c r="P19786" s="42"/>
      <c r="AB19786" s="38"/>
    </row>
    <row r="19787">
      <c r="P19787" s="42"/>
      <c r="AB19787" s="38"/>
    </row>
    <row r="19788">
      <c r="P19788" s="42"/>
      <c r="AB19788" s="38"/>
    </row>
    <row r="19789">
      <c r="P19789" s="42"/>
      <c r="AB19789" s="38"/>
    </row>
    <row r="19790">
      <c r="P19790" s="42"/>
      <c r="AB19790" s="38"/>
    </row>
    <row r="19791">
      <c r="P19791" s="42"/>
      <c r="AB19791" s="38"/>
    </row>
    <row r="19792">
      <c r="P19792" s="42"/>
      <c r="AB19792" s="38"/>
    </row>
    <row r="19793">
      <c r="P19793" s="42"/>
      <c r="AB19793" s="38"/>
    </row>
    <row r="19794">
      <c r="P19794" s="42"/>
      <c r="AB19794" s="38"/>
    </row>
    <row r="19795">
      <c r="P19795" s="42"/>
      <c r="AB19795" s="38"/>
    </row>
    <row r="19796">
      <c r="P19796" s="42"/>
      <c r="AB19796" s="38"/>
    </row>
    <row r="19797">
      <c r="P19797" s="42"/>
      <c r="AB19797" s="38"/>
    </row>
    <row r="19798">
      <c r="P19798" s="42"/>
      <c r="AB19798" s="38"/>
    </row>
    <row r="19799">
      <c r="P19799" s="42"/>
      <c r="AB19799" s="38"/>
    </row>
    <row r="19800">
      <c r="P19800" s="42"/>
      <c r="AB19800" s="38"/>
    </row>
    <row r="19801">
      <c r="P19801" s="42"/>
      <c r="AB19801" s="38"/>
    </row>
    <row r="19802">
      <c r="P19802" s="42"/>
      <c r="AB19802" s="38"/>
    </row>
    <row r="19803">
      <c r="P19803" s="42"/>
      <c r="AB19803" s="38"/>
    </row>
    <row r="19804">
      <c r="P19804" s="42"/>
      <c r="AB19804" s="38"/>
    </row>
    <row r="19805">
      <c r="P19805" s="42"/>
      <c r="AB19805" s="38"/>
    </row>
    <row r="19806">
      <c r="P19806" s="42"/>
      <c r="AB19806" s="38"/>
    </row>
    <row r="19807">
      <c r="P19807" s="42"/>
      <c r="AB19807" s="38"/>
    </row>
    <row r="19808">
      <c r="P19808" s="42"/>
      <c r="AB19808" s="38"/>
    </row>
    <row r="19809">
      <c r="P19809" s="42"/>
      <c r="AB19809" s="38"/>
    </row>
    <row r="19810">
      <c r="P19810" s="42"/>
      <c r="AB19810" s="38"/>
    </row>
    <row r="19811">
      <c r="P19811" s="42"/>
      <c r="AB19811" s="38"/>
    </row>
    <row r="19812">
      <c r="P19812" s="42"/>
      <c r="AB19812" s="38"/>
    </row>
    <row r="19813">
      <c r="P19813" s="42"/>
      <c r="AB19813" s="38"/>
    </row>
    <row r="19814">
      <c r="P19814" s="42"/>
      <c r="AB19814" s="38"/>
    </row>
    <row r="19815">
      <c r="P19815" s="42"/>
      <c r="AB19815" s="38"/>
    </row>
    <row r="19816">
      <c r="P19816" s="42"/>
      <c r="AB19816" s="38"/>
    </row>
    <row r="19817">
      <c r="P19817" s="42"/>
      <c r="AB19817" s="38"/>
    </row>
    <row r="19818">
      <c r="P19818" s="42"/>
      <c r="AB19818" s="38"/>
    </row>
    <row r="19819">
      <c r="P19819" s="42"/>
      <c r="AB19819" s="38"/>
    </row>
    <row r="19820">
      <c r="P19820" s="42"/>
      <c r="AB19820" s="38"/>
    </row>
    <row r="19821">
      <c r="P19821" s="42"/>
      <c r="AB19821" s="38"/>
    </row>
    <row r="19822">
      <c r="P19822" s="42"/>
      <c r="AB19822" s="38"/>
    </row>
    <row r="19823">
      <c r="P19823" s="42"/>
      <c r="AB19823" s="38"/>
    </row>
    <row r="19824">
      <c r="P19824" s="42"/>
      <c r="AB19824" s="38"/>
    </row>
    <row r="19825">
      <c r="P19825" s="42"/>
      <c r="AB19825" s="38"/>
    </row>
    <row r="19826">
      <c r="P19826" s="42"/>
      <c r="AB19826" s="38"/>
    </row>
    <row r="19827">
      <c r="P19827" s="42"/>
      <c r="AB19827" s="38"/>
    </row>
    <row r="19828">
      <c r="P19828" s="42"/>
      <c r="AB19828" s="38"/>
    </row>
    <row r="19829">
      <c r="P19829" s="42"/>
      <c r="AB19829" s="38"/>
    </row>
    <row r="19830">
      <c r="P19830" s="42"/>
      <c r="AB19830" s="38"/>
    </row>
    <row r="19831">
      <c r="P19831" s="42"/>
      <c r="AB19831" s="38"/>
    </row>
    <row r="19832">
      <c r="P19832" s="42"/>
      <c r="AB19832" s="38"/>
    </row>
    <row r="19833">
      <c r="P19833" s="42"/>
      <c r="AB19833" s="38"/>
    </row>
    <row r="19834">
      <c r="P19834" s="42"/>
      <c r="AB19834" s="38"/>
    </row>
    <row r="19835">
      <c r="P19835" s="42"/>
      <c r="AB19835" s="38"/>
    </row>
    <row r="19836">
      <c r="P19836" s="42"/>
      <c r="AB19836" s="38"/>
    </row>
    <row r="19837">
      <c r="P19837" s="42"/>
      <c r="AB19837" s="38"/>
    </row>
    <row r="19838">
      <c r="P19838" s="42"/>
      <c r="AB19838" s="38"/>
    </row>
    <row r="19839">
      <c r="P19839" s="42"/>
      <c r="AB19839" s="38"/>
    </row>
    <row r="19840">
      <c r="P19840" s="42"/>
      <c r="AB19840" s="38"/>
    </row>
    <row r="19841">
      <c r="P19841" s="42"/>
      <c r="AB19841" s="38"/>
    </row>
    <row r="19842">
      <c r="P19842" s="42"/>
      <c r="AB19842" s="38"/>
    </row>
    <row r="19843">
      <c r="P19843" s="42"/>
      <c r="AB19843" s="38"/>
    </row>
    <row r="19844">
      <c r="P19844" s="42"/>
      <c r="AB19844" s="38"/>
    </row>
    <row r="19845">
      <c r="P19845" s="42"/>
      <c r="AB19845" s="38"/>
    </row>
    <row r="19846">
      <c r="P19846" s="42"/>
      <c r="AB19846" s="38"/>
    </row>
    <row r="19847">
      <c r="P19847" s="42"/>
      <c r="AB19847" s="38"/>
    </row>
    <row r="19848">
      <c r="P19848" s="42"/>
      <c r="AB19848" s="38"/>
    </row>
    <row r="19849">
      <c r="P19849" s="42"/>
      <c r="AB19849" s="38"/>
    </row>
    <row r="19850">
      <c r="P19850" s="42"/>
      <c r="AB19850" s="38"/>
    </row>
    <row r="19851">
      <c r="P19851" s="42"/>
      <c r="AB19851" s="38"/>
    </row>
    <row r="19852">
      <c r="P19852" s="42"/>
      <c r="AB19852" s="38"/>
    </row>
    <row r="19853">
      <c r="P19853" s="42"/>
      <c r="AB19853" s="38"/>
    </row>
    <row r="19854">
      <c r="P19854" s="42"/>
      <c r="AB19854" s="38"/>
    </row>
    <row r="19855">
      <c r="P19855" s="42"/>
      <c r="AB19855" s="38"/>
    </row>
    <row r="19856">
      <c r="P19856" s="42"/>
      <c r="AB19856" s="38"/>
    </row>
    <row r="19857">
      <c r="P19857" s="42"/>
      <c r="AB19857" s="38"/>
    </row>
    <row r="19858">
      <c r="P19858" s="42"/>
      <c r="AB19858" s="38"/>
    </row>
    <row r="19859">
      <c r="P19859" s="42"/>
      <c r="AB19859" s="38"/>
    </row>
    <row r="19860">
      <c r="P19860" s="42"/>
      <c r="AB19860" s="38"/>
    </row>
    <row r="19861">
      <c r="P19861" s="42"/>
      <c r="AB19861" s="38"/>
    </row>
    <row r="19862">
      <c r="P19862" s="42"/>
      <c r="AB19862" s="38"/>
    </row>
    <row r="19863">
      <c r="P19863" s="42"/>
      <c r="AB19863" s="38"/>
    </row>
    <row r="19864">
      <c r="P19864" s="42"/>
      <c r="AB19864" s="38"/>
    </row>
    <row r="19865">
      <c r="P19865" s="42"/>
      <c r="AB19865" s="38"/>
    </row>
    <row r="19866">
      <c r="P19866" s="42"/>
      <c r="AB19866" s="38"/>
    </row>
    <row r="19867">
      <c r="P19867" s="42"/>
      <c r="AB19867" s="38"/>
    </row>
    <row r="19868">
      <c r="P19868" s="42"/>
      <c r="AB19868" s="38"/>
    </row>
    <row r="19869">
      <c r="P19869" s="42"/>
      <c r="AB19869" s="38"/>
    </row>
    <row r="19870">
      <c r="P19870" s="42"/>
      <c r="AB19870" s="38"/>
    </row>
    <row r="19871">
      <c r="P19871" s="42"/>
      <c r="AB19871" s="38"/>
    </row>
    <row r="19872">
      <c r="P19872" s="42"/>
      <c r="AB19872" s="38"/>
    </row>
    <row r="19873">
      <c r="P19873" s="42"/>
      <c r="AB19873" s="38"/>
    </row>
    <row r="19874">
      <c r="P19874" s="42"/>
      <c r="AB19874" s="38"/>
    </row>
    <row r="19875">
      <c r="P19875" s="42"/>
      <c r="AB19875" s="38"/>
    </row>
    <row r="19876">
      <c r="P19876" s="42"/>
      <c r="AB19876" s="38"/>
    </row>
    <row r="19877">
      <c r="P19877" s="42"/>
      <c r="AB19877" s="38"/>
    </row>
    <row r="19878">
      <c r="P19878" s="42"/>
      <c r="AB19878" s="38"/>
    </row>
    <row r="19879">
      <c r="P19879" s="42"/>
      <c r="AB19879" s="38"/>
    </row>
    <row r="19880">
      <c r="P19880" s="42"/>
      <c r="AB19880" s="38"/>
    </row>
    <row r="19881">
      <c r="P19881" s="42"/>
      <c r="AB19881" s="38"/>
    </row>
    <row r="19882">
      <c r="P19882" s="42"/>
      <c r="AB19882" s="38"/>
    </row>
    <row r="19883">
      <c r="P19883" s="42"/>
      <c r="AB19883" s="38"/>
    </row>
    <row r="19884">
      <c r="P19884" s="42"/>
      <c r="AB19884" s="38"/>
    </row>
    <row r="19885">
      <c r="P19885" s="42"/>
      <c r="AB19885" s="38"/>
    </row>
    <row r="19886">
      <c r="P19886" s="42"/>
      <c r="AB19886" s="38"/>
    </row>
    <row r="19887">
      <c r="P19887" s="42"/>
      <c r="AB19887" s="38"/>
    </row>
    <row r="19888">
      <c r="P19888" s="42"/>
      <c r="AB19888" s="38"/>
    </row>
    <row r="19889">
      <c r="P19889" s="42"/>
      <c r="AB19889" s="38"/>
    </row>
    <row r="19890">
      <c r="P19890" s="42"/>
      <c r="AB19890" s="38"/>
    </row>
    <row r="19891">
      <c r="P19891" s="42"/>
      <c r="AB19891" s="38"/>
    </row>
    <row r="19892">
      <c r="P19892" s="42"/>
      <c r="AB19892" s="38"/>
    </row>
    <row r="19893">
      <c r="P19893" s="42"/>
      <c r="AB19893" s="38"/>
    </row>
    <row r="19894">
      <c r="P19894" s="42"/>
      <c r="AB19894" s="38"/>
    </row>
    <row r="19895">
      <c r="P19895" s="42"/>
      <c r="AB19895" s="38"/>
    </row>
    <row r="19896">
      <c r="P19896" s="42"/>
      <c r="AB19896" s="38"/>
    </row>
    <row r="19897">
      <c r="P19897" s="42"/>
      <c r="AB19897" s="38"/>
    </row>
    <row r="19898">
      <c r="P19898" s="42"/>
      <c r="AB19898" s="38"/>
    </row>
    <row r="19899">
      <c r="P19899" s="42"/>
      <c r="AB19899" s="38"/>
    </row>
    <row r="19900">
      <c r="P19900" s="42"/>
      <c r="AB19900" s="38"/>
    </row>
    <row r="19901">
      <c r="P19901" s="42"/>
      <c r="AB19901" s="38"/>
    </row>
    <row r="19902">
      <c r="P19902" s="42"/>
      <c r="AB19902" s="38"/>
    </row>
    <row r="19903">
      <c r="P19903" s="42"/>
      <c r="AB19903" s="38"/>
    </row>
    <row r="19904">
      <c r="P19904" s="42"/>
      <c r="AB19904" s="38"/>
    </row>
    <row r="19905">
      <c r="P19905" s="42"/>
      <c r="AB19905" s="38"/>
    </row>
    <row r="19906">
      <c r="P19906" s="42"/>
      <c r="AB19906" s="38"/>
    </row>
    <row r="19907">
      <c r="P19907" s="42"/>
      <c r="AB19907" s="38"/>
    </row>
    <row r="19908">
      <c r="P19908" s="42"/>
      <c r="AB19908" s="38"/>
    </row>
    <row r="19909">
      <c r="P19909" s="42"/>
      <c r="AB19909" s="38"/>
    </row>
    <row r="19910">
      <c r="P19910" s="42"/>
      <c r="AB19910" s="38"/>
    </row>
    <row r="19911">
      <c r="P19911" s="42"/>
      <c r="AB19911" s="38"/>
    </row>
    <row r="19912">
      <c r="P19912" s="42"/>
      <c r="AB19912" s="38"/>
    </row>
    <row r="19913">
      <c r="P19913" s="42"/>
      <c r="AB19913" s="38"/>
    </row>
    <row r="19914">
      <c r="P19914" s="42"/>
      <c r="AB19914" s="38"/>
    </row>
    <row r="19915">
      <c r="P19915" s="42"/>
      <c r="AB19915" s="38"/>
    </row>
    <row r="19916">
      <c r="P19916" s="42"/>
      <c r="AB19916" s="38"/>
    </row>
    <row r="19917">
      <c r="P19917" s="42"/>
      <c r="AB19917" s="38"/>
    </row>
    <row r="19918">
      <c r="P19918" s="42"/>
      <c r="AB19918" s="38"/>
    </row>
    <row r="19919">
      <c r="P19919" s="42"/>
      <c r="AB19919" s="38"/>
    </row>
    <row r="19920">
      <c r="P19920" s="42"/>
      <c r="AB19920" s="38"/>
    </row>
    <row r="19921">
      <c r="P19921" s="42"/>
      <c r="AB19921" s="38"/>
    </row>
    <row r="19922">
      <c r="P19922" s="42"/>
      <c r="AB19922" s="38"/>
    </row>
    <row r="19923">
      <c r="P19923" s="42"/>
      <c r="AB19923" s="38"/>
    </row>
    <row r="19924">
      <c r="P19924" s="42"/>
      <c r="AB19924" s="38"/>
    </row>
    <row r="19925">
      <c r="P19925" s="42"/>
      <c r="AB19925" s="38"/>
    </row>
    <row r="19926">
      <c r="P19926" s="42"/>
      <c r="AB19926" s="38"/>
    </row>
    <row r="19927">
      <c r="P19927" s="42"/>
      <c r="AB19927" s="38"/>
    </row>
    <row r="19928">
      <c r="P19928" s="42"/>
      <c r="AB19928" s="38"/>
    </row>
    <row r="19929">
      <c r="P19929" s="42"/>
      <c r="AB19929" s="38"/>
    </row>
    <row r="19930">
      <c r="P19930" s="42"/>
      <c r="AB19930" s="38"/>
    </row>
    <row r="19931">
      <c r="P19931" s="42"/>
      <c r="AB19931" s="38"/>
    </row>
    <row r="19932">
      <c r="P19932" s="42"/>
      <c r="AB19932" s="38"/>
    </row>
    <row r="19933">
      <c r="P19933" s="42"/>
      <c r="AB19933" s="38"/>
    </row>
    <row r="19934">
      <c r="P19934" s="42"/>
      <c r="AB19934" s="38"/>
    </row>
    <row r="19935">
      <c r="P19935" s="42"/>
      <c r="AB19935" s="38"/>
    </row>
    <row r="19936">
      <c r="P19936" s="42"/>
      <c r="AB19936" s="38"/>
    </row>
    <row r="19937">
      <c r="P19937" s="42"/>
      <c r="AB19937" s="38"/>
    </row>
    <row r="19938">
      <c r="P19938" s="42"/>
      <c r="AB19938" s="38"/>
    </row>
    <row r="19939">
      <c r="P19939" s="42"/>
      <c r="AB19939" s="38"/>
    </row>
    <row r="19940">
      <c r="P19940" s="42"/>
      <c r="AB19940" s="38"/>
    </row>
    <row r="19941">
      <c r="P19941" s="42"/>
      <c r="AB19941" s="38"/>
    </row>
    <row r="19942">
      <c r="P19942" s="42"/>
      <c r="AB19942" s="38"/>
    </row>
    <row r="19943">
      <c r="P19943" s="42"/>
      <c r="AB19943" s="38"/>
    </row>
    <row r="19944">
      <c r="P19944" s="42"/>
      <c r="AB19944" s="38"/>
    </row>
    <row r="19945">
      <c r="P19945" s="42"/>
      <c r="AB19945" s="38"/>
    </row>
    <row r="19946">
      <c r="P19946" s="42"/>
      <c r="AB19946" s="38"/>
    </row>
    <row r="19947">
      <c r="P19947" s="42"/>
      <c r="AB19947" s="38"/>
    </row>
    <row r="19948">
      <c r="P19948" s="42"/>
      <c r="AB19948" s="38"/>
    </row>
    <row r="19949">
      <c r="P19949" s="42"/>
      <c r="AB19949" s="38"/>
    </row>
    <row r="19950">
      <c r="P19950" s="42"/>
      <c r="AB19950" s="38"/>
    </row>
    <row r="19951">
      <c r="P19951" s="42"/>
      <c r="AB19951" s="38"/>
    </row>
    <row r="19952">
      <c r="P19952" s="42"/>
      <c r="AB19952" s="38"/>
    </row>
    <row r="19953">
      <c r="P19953" s="42"/>
      <c r="AB19953" s="38"/>
    </row>
    <row r="19954">
      <c r="P19954" s="42"/>
      <c r="AB19954" s="38"/>
    </row>
    <row r="19955">
      <c r="P19955" s="42"/>
      <c r="AB19955" s="38"/>
    </row>
    <row r="19956">
      <c r="P19956" s="42"/>
      <c r="AB19956" s="38"/>
    </row>
    <row r="19957">
      <c r="P19957" s="42"/>
      <c r="AB19957" s="38"/>
    </row>
    <row r="19958">
      <c r="P19958" s="42"/>
      <c r="AB19958" s="38"/>
    </row>
    <row r="19959">
      <c r="P19959" s="42"/>
      <c r="AB19959" s="38"/>
    </row>
    <row r="19960">
      <c r="P19960" s="42"/>
      <c r="AB19960" s="38"/>
    </row>
    <row r="19961">
      <c r="P19961" s="42"/>
      <c r="AB19961" s="38"/>
    </row>
    <row r="19962">
      <c r="P19962" s="42"/>
      <c r="AB19962" s="38"/>
    </row>
    <row r="19963">
      <c r="P19963" s="42"/>
      <c r="AB19963" s="38"/>
    </row>
    <row r="19964">
      <c r="P19964" s="42"/>
      <c r="AB19964" s="38"/>
    </row>
    <row r="19965">
      <c r="P19965" s="42"/>
      <c r="AB19965" s="38"/>
    </row>
    <row r="19966">
      <c r="P19966" s="42"/>
      <c r="AB19966" s="38"/>
    </row>
    <row r="19967">
      <c r="P19967" s="42"/>
      <c r="AB19967" s="38"/>
    </row>
    <row r="19968">
      <c r="P19968" s="42"/>
      <c r="AB19968" s="38"/>
    </row>
    <row r="19969">
      <c r="P19969" s="42"/>
      <c r="AB19969" s="38"/>
    </row>
    <row r="19970">
      <c r="P19970" s="42"/>
      <c r="AB19970" s="38"/>
    </row>
    <row r="19971">
      <c r="P19971" s="42"/>
      <c r="AB19971" s="38"/>
    </row>
    <row r="19972">
      <c r="P19972" s="42"/>
      <c r="AB19972" s="38"/>
    </row>
    <row r="19973">
      <c r="P19973" s="42"/>
      <c r="AB19973" s="38"/>
    </row>
    <row r="19974">
      <c r="P19974" s="42"/>
      <c r="AB19974" s="38"/>
    </row>
    <row r="19975">
      <c r="P19975" s="42"/>
      <c r="AB19975" s="38"/>
    </row>
    <row r="19976">
      <c r="P19976" s="42"/>
      <c r="AB19976" s="38"/>
    </row>
    <row r="19977">
      <c r="P19977" s="42"/>
      <c r="AB19977" s="38"/>
    </row>
    <row r="19978">
      <c r="P19978" s="42"/>
      <c r="AB19978" s="38"/>
    </row>
    <row r="19979">
      <c r="P19979" s="42"/>
      <c r="AB19979" s="38"/>
    </row>
    <row r="19980">
      <c r="P19980" s="42"/>
      <c r="AB19980" s="38"/>
    </row>
    <row r="19981">
      <c r="P19981" s="42"/>
      <c r="AB19981" s="38"/>
    </row>
    <row r="19982">
      <c r="P19982" s="42"/>
      <c r="AB19982" s="38"/>
    </row>
    <row r="19983">
      <c r="P19983" s="42"/>
      <c r="AB19983" s="38"/>
    </row>
    <row r="19984">
      <c r="P19984" s="42"/>
      <c r="AB19984" s="38"/>
    </row>
    <row r="19985">
      <c r="P19985" s="42"/>
      <c r="AB19985" s="38"/>
    </row>
    <row r="19986">
      <c r="P19986" s="42"/>
      <c r="AB19986" s="38"/>
    </row>
    <row r="19987">
      <c r="P19987" s="42"/>
      <c r="AB19987" s="38"/>
    </row>
    <row r="19988">
      <c r="P19988" s="42"/>
      <c r="AB19988" s="38"/>
    </row>
    <row r="19989">
      <c r="P19989" s="42"/>
      <c r="AB19989" s="38"/>
    </row>
    <row r="19990">
      <c r="P19990" s="42"/>
      <c r="AB19990" s="38"/>
    </row>
    <row r="19991">
      <c r="P19991" s="42"/>
      <c r="AB19991" s="38"/>
    </row>
    <row r="19992">
      <c r="P19992" s="42"/>
      <c r="AB19992" s="38"/>
    </row>
    <row r="19993">
      <c r="P19993" s="42"/>
      <c r="AB19993" s="38"/>
    </row>
    <row r="19994">
      <c r="P19994" s="42"/>
      <c r="AB19994" s="38"/>
    </row>
    <row r="19995">
      <c r="P19995" s="42"/>
      <c r="AB19995" s="38"/>
    </row>
    <row r="19996">
      <c r="P19996" s="42"/>
      <c r="AB19996" s="38"/>
    </row>
    <row r="19997">
      <c r="P19997" s="42"/>
      <c r="AB19997" s="38"/>
    </row>
    <row r="19998">
      <c r="P19998" s="42"/>
      <c r="AB19998" s="38"/>
    </row>
    <row r="19999">
      <c r="P19999" s="42"/>
      <c r="AB19999" s="38"/>
    </row>
    <row r="20000">
      <c r="P20000" s="42"/>
      <c r="AB20000" s="38"/>
    </row>
    <row r="20001">
      <c r="P20001" s="42"/>
      <c r="AB20001" s="38"/>
    </row>
    <row r="20002">
      <c r="P20002" s="42"/>
      <c r="AB20002" s="38"/>
    </row>
    <row r="20003">
      <c r="P20003" s="42"/>
      <c r="AB20003" s="38"/>
    </row>
    <row r="20004">
      <c r="P20004" s="42"/>
      <c r="AB20004" s="38"/>
    </row>
    <row r="20005">
      <c r="P20005" s="42"/>
      <c r="AB20005" s="38"/>
    </row>
    <row r="20006">
      <c r="P20006" s="42"/>
      <c r="AB20006" s="38"/>
    </row>
    <row r="20007">
      <c r="P20007" s="42"/>
      <c r="AB20007" s="38"/>
    </row>
    <row r="20008">
      <c r="P20008" s="42"/>
      <c r="AB20008" s="38"/>
    </row>
    <row r="20009">
      <c r="P20009" s="42"/>
      <c r="AB20009" s="38"/>
    </row>
    <row r="20010">
      <c r="P20010" s="42"/>
      <c r="AB20010" s="38"/>
    </row>
    <row r="20011">
      <c r="P20011" s="42"/>
      <c r="AB20011" s="38"/>
    </row>
    <row r="20012">
      <c r="P20012" s="42"/>
      <c r="AB20012" s="38"/>
    </row>
    <row r="20013">
      <c r="P20013" s="42"/>
      <c r="AB20013" s="38"/>
    </row>
    <row r="20014">
      <c r="P20014" s="42"/>
      <c r="AB20014" s="38"/>
    </row>
    <row r="20015">
      <c r="P20015" s="42"/>
      <c r="AB20015" s="38"/>
    </row>
    <row r="20016">
      <c r="P20016" s="42"/>
      <c r="AB20016" s="38"/>
    </row>
    <row r="20017">
      <c r="P20017" s="42"/>
      <c r="AB20017" s="38"/>
    </row>
    <row r="20018">
      <c r="P20018" s="42"/>
      <c r="AB20018" s="38"/>
    </row>
    <row r="20019">
      <c r="P20019" s="42"/>
      <c r="AB20019" s="38"/>
    </row>
    <row r="20020">
      <c r="P20020" s="42"/>
      <c r="AB20020" s="38"/>
    </row>
    <row r="20021">
      <c r="P20021" s="42"/>
      <c r="AB20021" s="38"/>
    </row>
    <row r="20022">
      <c r="P20022" s="42"/>
      <c r="AB20022" s="38"/>
    </row>
    <row r="20023">
      <c r="P20023" s="42"/>
      <c r="AB20023" s="38"/>
    </row>
    <row r="20024">
      <c r="P20024" s="42"/>
      <c r="AB20024" s="38"/>
    </row>
    <row r="20025">
      <c r="P20025" s="42"/>
      <c r="AB20025" s="38"/>
    </row>
    <row r="20026">
      <c r="P20026" s="42"/>
      <c r="AB20026" s="38"/>
    </row>
    <row r="20027">
      <c r="P20027" s="42"/>
      <c r="AB20027" s="38"/>
    </row>
    <row r="20028">
      <c r="P20028" s="42"/>
      <c r="AB20028" s="38"/>
    </row>
    <row r="20029">
      <c r="P20029" s="42"/>
      <c r="AB20029" s="38"/>
    </row>
    <row r="20030">
      <c r="P20030" s="42"/>
      <c r="AB20030" s="38"/>
    </row>
    <row r="20031">
      <c r="P20031" s="42"/>
      <c r="AB20031" s="38"/>
    </row>
    <row r="20032">
      <c r="P20032" s="42"/>
      <c r="AB20032" s="38"/>
    </row>
    <row r="20033">
      <c r="P20033" s="42"/>
      <c r="AB20033" s="38"/>
    </row>
    <row r="20034">
      <c r="P20034" s="42"/>
      <c r="AB20034" s="38"/>
    </row>
    <row r="20035">
      <c r="P20035" s="42"/>
      <c r="AB20035" s="38"/>
    </row>
    <row r="20036">
      <c r="P20036" s="42"/>
      <c r="AB20036" s="38"/>
    </row>
    <row r="20037">
      <c r="P20037" s="42"/>
      <c r="AB20037" s="38"/>
    </row>
    <row r="20038">
      <c r="P20038" s="42"/>
      <c r="AB20038" s="38"/>
    </row>
    <row r="20039">
      <c r="P20039" s="42"/>
      <c r="AB20039" s="38"/>
    </row>
    <row r="20040">
      <c r="P20040" s="42"/>
      <c r="AB20040" s="38"/>
    </row>
    <row r="20041">
      <c r="P20041" s="42"/>
      <c r="AB20041" s="38"/>
    </row>
    <row r="20042">
      <c r="P20042" s="42"/>
      <c r="AB20042" s="38"/>
    </row>
    <row r="20043">
      <c r="P20043" s="42"/>
      <c r="AB20043" s="38"/>
    </row>
    <row r="20044">
      <c r="P20044" s="42"/>
      <c r="AB20044" s="38"/>
    </row>
    <row r="20045">
      <c r="P20045" s="42"/>
      <c r="AB20045" s="38"/>
    </row>
    <row r="20046">
      <c r="P20046" s="42"/>
      <c r="AB20046" s="38"/>
    </row>
    <row r="20047">
      <c r="P20047" s="42"/>
      <c r="AB20047" s="38"/>
    </row>
    <row r="20048">
      <c r="P20048" s="42"/>
      <c r="AB20048" s="38"/>
    </row>
    <row r="20049">
      <c r="P20049" s="42"/>
      <c r="AB20049" s="38"/>
    </row>
    <row r="20050">
      <c r="P20050" s="42"/>
      <c r="AB20050" s="38"/>
    </row>
    <row r="20051">
      <c r="P20051" s="42"/>
      <c r="AB20051" s="38"/>
    </row>
    <row r="20052">
      <c r="P20052" s="42"/>
      <c r="AB20052" s="38"/>
    </row>
    <row r="20053">
      <c r="P20053" s="42"/>
      <c r="AB20053" s="38"/>
    </row>
    <row r="20054">
      <c r="P20054" s="42"/>
      <c r="AB20054" s="38"/>
    </row>
    <row r="20055">
      <c r="P20055" s="42"/>
      <c r="AB20055" s="38"/>
    </row>
    <row r="20056">
      <c r="P20056" s="42"/>
      <c r="AB20056" s="38"/>
    </row>
    <row r="20057">
      <c r="P20057" s="42"/>
      <c r="AB20057" s="38"/>
    </row>
    <row r="20058">
      <c r="P20058" s="42"/>
      <c r="AB20058" s="38"/>
    </row>
    <row r="20059">
      <c r="P20059" s="42"/>
      <c r="AB20059" s="38"/>
    </row>
    <row r="20060">
      <c r="P20060" s="42"/>
      <c r="AB20060" s="38"/>
    </row>
    <row r="20061">
      <c r="P20061" s="42"/>
      <c r="AB20061" s="38"/>
    </row>
    <row r="20062">
      <c r="P20062" s="42"/>
      <c r="AB20062" s="38"/>
    </row>
    <row r="20063">
      <c r="P20063" s="42"/>
      <c r="AB20063" s="38"/>
    </row>
    <row r="20064">
      <c r="P20064" s="42"/>
      <c r="AB20064" s="38"/>
    </row>
    <row r="20065">
      <c r="P20065" s="42"/>
      <c r="AB20065" s="38"/>
    </row>
    <row r="20066">
      <c r="P20066" s="42"/>
      <c r="AB20066" s="38"/>
    </row>
    <row r="20067">
      <c r="P20067" s="42"/>
      <c r="AB20067" s="38"/>
    </row>
    <row r="20068">
      <c r="P20068" s="42"/>
      <c r="AB20068" s="38"/>
    </row>
    <row r="20069">
      <c r="P20069" s="42"/>
      <c r="AB20069" s="38"/>
    </row>
    <row r="20070">
      <c r="P20070" s="42"/>
      <c r="AB20070" s="38"/>
    </row>
    <row r="20071">
      <c r="P20071" s="42"/>
      <c r="AB20071" s="38"/>
    </row>
    <row r="20072">
      <c r="P20072" s="42"/>
      <c r="AB20072" s="38"/>
    </row>
    <row r="20073">
      <c r="P20073" s="42"/>
      <c r="AB20073" s="38"/>
    </row>
    <row r="20074">
      <c r="P20074" s="42"/>
      <c r="AB20074" s="38"/>
    </row>
    <row r="20075">
      <c r="P20075" s="42"/>
      <c r="AB20075" s="38"/>
    </row>
    <row r="20076">
      <c r="P20076" s="42"/>
      <c r="AB20076" s="38"/>
    </row>
    <row r="20077">
      <c r="P20077" s="42"/>
      <c r="AB20077" s="38"/>
    </row>
    <row r="20078">
      <c r="P20078" s="42"/>
      <c r="AB20078" s="38"/>
    </row>
    <row r="20079">
      <c r="P20079" s="42"/>
      <c r="AB20079" s="38"/>
    </row>
    <row r="20080">
      <c r="P20080" s="42"/>
      <c r="AB20080" s="38"/>
    </row>
    <row r="20081">
      <c r="P20081" s="42"/>
      <c r="AB20081" s="38"/>
    </row>
    <row r="20082">
      <c r="P20082" s="42"/>
      <c r="AB20082" s="38"/>
    </row>
    <row r="20083">
      <c r="P20083" s="42"/>
      <c r="AB20083" s="38"/>
    </row>
    <row r="20084">
      <c r="P20084" s="42"/>
      <c r="AB20084" s="38"/>
    </row>
    <row r="20085">
      <c r="P20085" s="42"/>
      <c r="AB20085" s="38"/>
    </row>
    <row r="20086">
      <c r="P20086" s="42"/>
      <c r="AB20086" s="38"/>
    </row>
    <row r="20087">
      <c r="P20087" s="42"/>
      <c r="AB20087" s="38"/>
    </row>
    <row r="20088">
      <c r="P20088" s="42"/>
      <c r="AB20088" s="38"/>
    </row>
    <row r="20089">
      <c r="P20089" s="42"/>
      <c r="AB20089" s="38"/>
    </row>
    <row r="20090">
      <c r="P20090" s="42"/>
      <c r="AB20090" s="38"/>
    </row>
    <row r="20091">
      <c r="P20091" s="42"/>
      <c r="AB20091" s="38"/>
    </row>
    <row r="20092">
      <c r="P20092" s="42"/>
      <c r="AB20092" s="38"/>
    </row>
    <row r="20093">
      <c r="P20093" s="42"/>
      <c r="AB20093" s="38"/>
    </row>
    <row r="20094">
      <c r="P20094" s="42"/>
      <c r="AB20094" s="38"/>
    </row>
    <row r="20095">
      <c r="P20095" s="42"/>
      <c r="AB20095" s="38"/>
    </row>
    <row r="20096">
      <c r="P20096" s="42"/>
      <c r="AB20096" s="38"/>
    </row>
    <row r="20097">
      <c r="P20097" s="42"/>
      <c r="AB20097" s="38"/>
    </row>
    <row r="20098">
      <c r="P20098" s="42"/>
      <c r="AB20098" s="38"/>
    </row>
    <row r="20099">
      <c r="P20099" s="42"/>
      <c r="AB20099" s="38"/>
    </row>
    <row r="20100">
      <c r="P20100" s="42"/>
      <c r="AB20100" s="38"/>
    </row>
    <row r="20101">
      <c r="P20101" s="42"/>
      <c r="AB20101" s="38"/>
    </row>
    <row r="20102">
      <c r="P20102" s="42"/>
      <c r="AB20102" s="38"/>
    </row>
    <row r="20103">
      <c r="P20103" s="42"/>
      <c r="AB20103" s="38"/>
    </row>
    <row r="20104">
      <c r="P20104" s="42"/>
      <c r="AB20104" s="38"/>
    </row>
    <row r="20105">
      <c r="P20105" s="42"/>
      <c r="AB20105" s="38"/>
    </row>
    <row r="20106">
      <c r="P20106" s="42"/>
      <c r="AB20106" s="38"/>
    </row>
    <row r="20107">
      <c r="P20107" s="42"/>
      <c r="AB20107" s="38"/>
    </row>
    <row r="20108">
      <c r="P20108" s="42"/>
      <c r="AB20108" s="38"/>
    </row>
    <row r="20109">
      <c r="P20109" s="42"/>
      <c r="AB20109" s="38"/>
    </row>
    <row r="20110">
      <c r="P20110" s="42"/>
      <c r="AB20110" s="38"/>
    </row>
    <row r="20111">
      <c r="P20111" s="42"/>
      <c r="AB20111" s="38"/>
    </row>
    <row r="20112">
      <c r="P20112" s="42"/>
      <c r="AB20112" s="38"/>
    </row>
    <row r="20113">
      <c r="P20113" s="42"/>
      <c r="AB20113" s="38"/>
    </row>
    <row r="20114">
      <c r="P20114" s="42"/>
      <c r="AB20114" s="38"/>
    </row>
    <row r="20115">
      <c r="P20115" s="42"/>
      <c r="AB20115" s="38"/>
    </row>
    <row r="20116">
      <c r="P20116" s="42"/>
      <c r="AB20116" s="38"/>
    </row>
    <row r="20117">
      <c r="P20117" s="42"/>
      <c r="AB20117" s="38"/>
    </row>
    <row r="20118">
      <c r="P20118" s="42"/>
      <c r="AB20118" s="38"/>
    </row>
    <row r="20119">
      <c r="P20119" s="42"/>
      <c r="AB20119" s="38"/>
    </row>
    <row r="20120">
      <c r="P20120" s="42"/>
      <c r="AB20120" s="38"/>
    </row>
    <row r="20121">
      <c r="P20121" s="42"/>
      <c r="AB20121" s="38"/>
    </row>
    <row r="20122">
      <c r="P20122" s="42"/>
      <c r="AB20122" s="38"/>
    </row>
    <row r="20123">
      <c r="P20123" s="42"/>
      <c r="AB20123" s="38"/>
    </row>
    <row r="20124">
      <c r="P20124" s="42"/>
      <c r="AB20124" s="38"/>
    </row>
    <row r="20125">
      <c r="P20125" s="42"/>
      <c r="AB20125" s="38"/>
    </row>
    <row r="20126">
      <c r="P20126" s="42"/>
      <c r="AB20126" s="38"/>
    </row>
    <row r="20127">
      <c r="P20127" s="42"/>
      <c r="AB20127" s="38"/>
    </row>
    <row r="20128">
      <c r="P20128" s="42"/>
      <c r="AB20128" s="38"/>
    </row>
    <row r="20129">
      <c r="P20129" s="42"/>
      <c r="AB20129" s="38"/>
    </row>
    <row r="20130">
      <c r="P20130" s="42"/>
      <c r="AB20130" s="38"/>
    </row>
    <row r="20131">
      <c r="P20131" s="42"/>
      <c r="AB20131" s="38"/>
    </row>
    <row r="20132">
      <c r="P20132" s="42"/>
      <c r="AB20132" s="38"/>
    </row>
    <row r="20133">
      <c r="P20133" s="42"/>
      <c r="AB20133" s="38"/>
    </row>
    <row r="20134">
      <c r="P20134" s="42"/>
      <c r="AB20134" s="38"/>
    </row>
    <row r="20135">
      <c r="P20135" s="42"/>
      <c r="AB20135" s="38"/>
    </row>
    <row r="20136">
      <c r="P20136" s="42"/>
      <c r="AB20136" s="38"/>
    </row>
    <row r="20137">
      <c r="P20137" s="42"/>
      <c r="AB20137" s="38"/>
    </row>
    <row r="20138">
      <c r="P20138" s="42"/>
      <c r="AB20138" s="38"/>
    </row>
    <row r="20139">
      <c r="P20139" s="42"/>
      <c r="AB20139" s="38"/>
    </row>
    <row r="20140">
      <c r="P20140" s="42"/>
      <c r="AB20140" s="38"/>
    </row>
    <row r="20141">
      <c r="P20141" s="42"/>
      <c r="AB20141" s="38"/>
    </row>
    <row r="20142">
      <c r="P20142" s="42"/>
      <c r="AB20142" s="38"/>
    </row>
    <row r="20143">
      <c r="P20143" s="42"/>
      <c r="AB20143" s="38"/>
    </row>
    <row r="20144">
      <c r="P20144" s="42"/>
      <c r="AB20144" s="38"/>
    </row>
    <row r="20145">
      <c r="P20145" s="42"/>
      <c r="AB20145" s="38"/>
    </row>
    <row r="20146">
      <c r="P20146" s="42"/>
      <c r="AB20146" s="38"/>
    </row>
    <row r="20147">
      <c r="P20147" s="42"/>
      <c r="AB20147" s="38"/>
    </row>
    <row r="20148">
      <c r="P20148" s="42"/>
      <c r="AB20148" s="38"/>
    </row>
    <row r="20149">
      <c r="P20149" s="42"/>
      <c r="AB20149" s="38"/>
    </row>
    <row r="20150">
      <c r="P20150" s="42"/>
      <c r="AB20150" s="38"/>
    </row>
    <row r="20151">
      <c r="P20151" s="42"/>
      <c r="AB20151" s="38"/>
    </row>
    <row r="20152">
      <c r="P20152" s="42"/>
      <c r="AB20152" s="38"/>
    </row>
    <row r="20153">
      <c r="P20153" s="42"/>
      <c r="AB20153" s="38"/>
    </row>
    <row r="20154">
      <c r="P20154" s="42"/>
      <c r="AB20154" s="38"/>
    </row>
    <row r="20155">
      <c r="P20155" s="42"/>
      <c r="AB20155" s="38"/>
    </row>
    <row r="20156">
      <c r="P20156" s="42"/>
      <c r="AB20156" s="38"/>
    </row>
    <row r="20157">
      <c r="P20157" s="42"/>
      <c r="AB20157" s="38"/>
    </row>
    <row r="20158">
      <c r="P20158" s="42"/>
      <c r="AB20158" s="38"/>
    </row>
    <row r="20159">
      <c r="P20159" s="42"/>
      <c r="AB20159" s="38"/>
    </row>
    <row r="20160">
      <c r="P20160" s="42"/>
      <c r="AB20160" s="38"/>
    </row>
    <row r="20161">
      <c r="P20161" s="42"/>
      <c r="AB20161" s="38"/>
    </row>
    <row r="20162">
      <c r="P20162" s="42"/>
      <c r="AB20162" s="38"/>
    </row>
    <row r="20163">
      <c r="P20163" s="42"/>
      <c r="AB20163" s="38"/>
    </row>
    <row r="20164">
      <c r="P20164" s="42"/>
      <c r="AB20164" s="38"/>
    </row>
    <row r="20165">
      <c r="P20165" s="42"/>
      <c r="AB20165" s="38"/>
    </row>
    <row r="20166">
      <c r="P20166" s="42"/>
      <c r="AB20166" s="38"/>
    </row>
    <row r="20167">
      <c r="P20167" s="42"/>
      <c r="AB20167" s="38"/>
    </row>
    <row r="20168">
      <c r="P20168" s="42"/>
      <c r="AB20168" s="38"/>
    </row>
    <row r="20169">
      <c r="P20169" s="42"/>
      <c r="AB20169" s="38"/>
    </row>
    <row r="20170">
      <c r="P20170" s="42"/>
      <c r="AB20170" s="38"/>
    </row>
    <row r="20171">
      <c r="P20171" s="42"/>
      <c r="AB20171" s="38"/>
    </row>
    <row r="20172">
      <c r="P20172" s="42"/>
      <c r="AB20172" s="38"/>
    </row>
    <row r="20173">
      <c r="P20173" s="42"/>
      <c r="AB20173" s="38"/>
    </row>
    <row r="20174">
      <c r="P20174" s="42"/>
      <c r="AB20174" s="38"/>
    </row>
    <row r="20175">
      <c r="P20175" s="42"/>
      <c r="AB20175" s="38"/>
    </row>
    <row r="20176">
      <c r="P20176" s="42"/>
      <c r="AB20176" s="38"/>
    </row>
    <row r="20177">
      <c r="P20177" s="42"/>
      <c r="AB20177" s="38"/>
    </row>
    <row r="20178">
      <c r="P20178" s="42"/>
      <c r="AB20178" s="38"/>
    </row>
    <row r="20179">
      <c r="P20179" s="42"/>
      <c r="AB20179" s="38"/>
    </row>
    <row r="20180">
      <c r="P20180" s="42"/>
      <c r="AB20180" s="38"/>
    </row>
    <row r="20181">
      <c r="P20181" s="42"/>
      <c r="AB20181" s="38"/>
    </row>
    <row r="20182">
      <c r="P20182" s="42"/>
      <c r="AB20182" s="38"/>
    </row>
    <row r="20183">
      <c r="P20183" s="42"/>
      <c r="AB20183" s="38"/>
    </row>
    <row r="20184">
      <c r="P20184" s="42"/>
      <c r="AB20184" s="38"/>
    </row>
    <row r="20185">
      <c r="P20185" s="42"/>
      <c r="AB20185" s="38"/>
    </row>
    <row r="20186">
      <c r="P20186" s="42"/>
      <c r="AB20186" s="38"/>
    </row>
    <row r="20187">
      <c r="P20187" s="42"/>
      <c r="AB20187" s="38"/>
    </row>
    <row r="20188">
      <c r="P20188" s="42"/>
      <c r="AB20188" s="38"/>
    </row>
    <row r="20189">
      <c r="P20189" s="42"/>
      <c r="AB20189" s="38"/>
    </row>
    <row r="20190">
      <c r="P20190" s="42"/>
      <c r="AB20190" s="38"/>
    </row>
    <row r="20191">
      <c r="P20191" s="42"/>
      <c r="AB20191" s="38"/>
    </row>
    <row r="20192">
      <c r="P20192" s="42"/>
      <c r="AB20192" s="38"/>
    </row>
    <row r="20193">
      <c r="P20193" s="42"/>
      <c r="AB20193" s="38"/>
    </row>
    <row r="20194">
      <c r="P20194" s="42"/>
      <c r="AB20194" s="38"/>
    </row>
    <row r="20195">
      <c r="P20195" s="42"/>
      <c r="AB20195" s="38"/>
    </row>
    <row r="20196">
      <c r="P20196" s="42"/>
      <c r="AB20196" s="38"/>
    </row>
    <row r="20197">
      <c r="P20197" s="42"/>
      <c r="AB20197" s="38"/>
    </row>
    <row r="20198">
      <c r="P20198" s="42"/>
      <c r="AB20198" s="38"/>
    </row>
    <row r="20199">
      <c r="P20199" s="42"/>
      <c r="AB20199" s="38"/>
    </row>
    <row r="20200">
      <c r="P20200" s="42"/>
      <c r="AB20200" s="38"/>
    </row>
    <row r="20201">
      <c r="P20201" s="42"/>
      <c r="AB20201" s="38"/>
    </row>
    <row r="20202">
      <c r="P20202" s="42"/>
      <c r="AB20202" s="38"/>
    </row>
    <row r="20203">
      <c r="P20203" s="42"/>
      <c r="AB20203" s="38"/>
    </row>
    <row r="20204">
      <c r="P20204" s="42"/>
      <c r="AB20204" s="38"/>
    </row>
    <row r="20205">
      <c r="P20205" s="42"/>
      <c r="AB20205" s="38"/>
    </row>
    <row r="20206">
      <c r="P20206" s="42"/>
      <c r="AB20206" s="38"/>
    </row>
    <row r="20207">
      <c r="P20207" s="42"/>
      <c r="AB20207" s="38"/>
    </row>
    <row r="20208">
      <c r="P20208" s="42"/>
      <c r="AB20208" s="38"/>
    </row>
    <row r="20209">
      <c r="P20209" s="42"/>
      <c r="AB20209" s="38"/>
    </row>
    <row r="20210">
      <c r="P20210" s="42"/>
      <c r="AB20210" s="38"/>
    </row>
    <row r="20211">
      <c r="P20211" s="42"/>
      <c r="AB20211" s="38"/>
    </row>
    <row r="20212">
      <c r="P20212" s="42"/>
      <c r="AB20212" s="38"/>
    </row>
    <row r="20213">
      <c r="P20213" s="42"/>
      <c r="AB20213" s="38"/>
    </row>
    <row r="20214">
      <c r="P20214" s="42"/>
      <c r="AB20214" s="38"/>
    </row>
    <row r="20215">
      <c r="P20215" s="42"/>
      <c r="AB20215" s="38"/>
    </row>
    <row r="20216">
      <c r="P20216" s="42"/>
      <c r="AB20216" s="38"/>
    </row>
    <row r="20217">
      <c r="P20217" s="42"/>
      <c r="AB20217" s="38"/>
    </row>
    <row r="20218">
      <c r="P20218" s="42"/>
      <c r="AB20218" s="38"/>
    </row>
    <row r="20219">
      <c r="P20219" s="42"/>
      <c r="AB20219" s="38"/>
    </row>
    <row r="20220">
      <c r="P20220" s="42"/>
      <c r="AB20220" s="38"/>
    </row>
    <row r="20221">
      <c r="P20221" s="42"/>
      <c r="AB20221" s="38"/>
    </row>
    <row r="20222">
      <c r="P20222" s="42"/>
      <c r="AB20222" s="38"/>
    </row>
    <row r="20223">
      <c r="P20223" s="42"/>
      <c r="AB20223" s="38"/>
    </row>
    <row r="20224">
      <c r="P20224" s="42"/>
      <c r="AB20224" s="38"/>
    </row>
    <row r="20225">
      <c r="P20225" s="42"/>
      <c r="AB20225" s="38"/>
    </row>
    <row r="20226">
      <c r="P20226" s="42"/>
      <c r="AB20226" s="38"/>
    </row>
    <row r="20227">
      <c r="P20227" s="42"/>
      <c r="AB20227" s="38"/>
    </row>
    <row r="20228">
      <c r="P20228" s="42"/>
      <c r="AB20228" s="38"/>
    </row>
    <row r="20229">
      <c r="P20229" s="42"/>
      <c r="AB20229" s="38"/>
    </row>
    <row r="20230">
      <c r="P20230" s="42"/>
      <c r="AB20230" s="38"/>
    </row>
    <row r="20231">
      <c r="P20231" s="42"/>
      <c r="AB20231" s="38"/>
    </row>
    <row r="20232">
      <c r="P20232" s="42"/>
      <c r="AB20232" s="38"/>
    </row>
    <row r="20233">
      <c r="P20233" s="42"/>
      <c r="AB20233" s="38"/>
    </row>
    <row r="20234">
      <c r="P20234" s="42"/>
      <c r="AB20234" s="38"/>
    </row>
    <row r="20235">
      <c r="P20235" s="42"/>
      <c r="AB20235" s="38"/>
    </row>
    <row r="20236">
      <c r="P20236" s="42"/>
      <c r="AB20236" s="38"/>
    </row>
    <row r="20237">
      <c r="P20237" s="42"/>
      <c r="AB20237" s="38"/>
    </row>
    <row r="20238">
      <c r="P20238" s="42"/>
      <c r="AB20238" s="38"/>
    </row>
    <row r="20239">
      <c r="P20239" s="42"/>
      <c r="AB20239" s="38"/>
    </row>
    <row r="20240">
      <c r="P20240" s="42"/>
      <c r="AB20240" s="38"/>
    </row>
    <row r="20241">
      <c r="P20241" s="42"/>
      <c r="AB20241" s="38"/>
    </row>
    <row r="20242">
      <c r="P20242" s="42"/>
      <c r="AB20242" s="38"/>
    </row>
    <row r="20243">
      <c r="P20243" s="42"/>
      <c r="AB20243" s="38"/>
    </row>
    <row r="20244">
      <c r="P20244" s="42"/>
      <c r="AB20244" s="38"/>
    </row>
    <row r="20245">
      <c r="P20245" s="42"/>
      <c r="AB20245" s="38"/>
    </row>
    <row r="20246">
      <c r="P20246" s="42"/>
      <c r="AB20246" s="38"/>
    </row>
    <row r="20247">
      <c r="P20247" s="42"/>
      <c r="AB20247" s="38"/>
    </row>
    <row r="20248">
      <c r="P20248" s="42"/>
      <c r="AB20248" s="38"/>
    </row>
    <row r="20249">
      <c r="P20249" s="42"/>
      <c r="AB20249" s="38"/>
    </row>
    <row r="20250">
      <c r="P20250" s="42"/>
      <c r="AB20250" s="38"/>
    </row>
    <row r="20251">
      <c r="P20251" s="42"/>
      <c r="AB20251" s="38"/>
    </row>
    <row r="20252">
      <c r="P20252" s="42"/>
      <c r="AB20252" s="38"/>
    </row>
    <row r="20253">
      <c r="P20253" s="42"/>
      <c r="AB20253" s="38"/>
    </row>
    <row r="20254">
      <c r="P20254" s="42"/>
      <c r="AB20254" s="38"/>
    </row>
    <row r="20255">
      <c r="P20255" s="42"/>
      <c r="AB20255" s="38"/>
    </row>
    <row r="20256">
      <c r="P20256" s="42"/>
      <c r="AB20256" s="38"/>
    </row>
    <row r="20257">
      <c r="P20257" s="42"/>
      <c r="AB20257" s="38"/>
    </row>
    <row r="20258">
      <c r="P20258" s="42"/>
      <c r="AB20258" s="38"/>
    </row>
    <row r="20259">
      <c r="P20259" s="42"/>
      <c r="AB20259" s="38"/>
    </row>
    <row r="20260">
      <c r="P20260" s="42"/>
      <c r="AB20260" s="38"/>
    </row>
    <row r="20261">
      <c r="P20261" s="42"/>
      <c r="AB20261" s="38"/>
    </row>
    <row r="20262">
      <c r="P20262" s="42"/>
      <c r="AB20262" s="38"/>
    </row>
    <row r="20263">
      <c r="P20263" s="42"/>
      <c r="AB20263" s="38"/>
    </row>
    <row r="20264">
      <c r="P20264" s="42"/>
      <c r="AB20264" s="38"/>
    </row>
    <row r="20265">
      <c r="P20265" s="42"/>
      <c r="AB20265" s="38"/>
    </row>
    <row r="20266">
      <c r="P20266" s="42"/>
      <c r="AB20266" s="38"/>
    </row>
    <row r="20267">
      <c r="P20267" s="42"/>
      <c r="AB20267" s="38"/>
    </row>
    <row r="20268">
      <c r="P20268" s="42"/>
      <c r="AB20268" s="38"/>
    </row>
    <row r="20269">
      <c r="P20269" s="42"/>
      <c r="AB20269" s="38"/>
    </row>
    <row r="20270">
      <c r="P20270" s="42"/>
      <c r="AB20270" s="38"/>
    </row>
    <row r="20271">
      <c r="P20271" s="42"/>
      <c r="AB20271" s="38"/>
    </row>
    <row r="20272">
      <c r="P20272" s="42"/>
      <c r="AB20272" s="38"/>
    </row>
    <row r="20273">
      <c r="P20273" s="42"/>
      <c r="AB20273" s="38"/>
    </row>
    <row r="20274">
      <c r="P20274" s="42"/>
      <c r="AB20274" s="38"/>
    </row>
    <row r="20275">
      <c r="P20275" s="42"/>
      <c r="AB20275" s="38"/>
    </row>
    <row r="20276">
      <c r="P20276" s="42"/>
      <c r="AB20276" s="38"/>
    </row>
    <row r="20277">
      <c r="P20277" s="42"/>
      <c r="AB20277" s="38"/>
    </row>
    <row r="20278">
      <c r="P20278" s="42"/>
      <c r="AB20278" s="38"/>
    </row>
    <row r="20279">
      <c r="P20279" s="42"/>
      <c r="AB20279" s="38"/>
    </row>
    <row r="20280">
      <c r="P20280" s="42"/>
      <c r="AB20280" s="38"/>
    </row>
    <row r="20281">
      <c r="P20281" s="42"/>
      <c r="AB20281" s="38"/>
    </row>
    <row r="20282">
      <c r="P20282" s="42"/>
      <c r="AB20282" s="38"/>
    </row>
    <row r="20283">
      <c r="P20283" s="42"/>
      <c r="AB20283" s="38"/>
    </row>
    <row r="20284">
      <c r="P20284" s="42"/>
      <c r="AB20284" s="38"/>
    </row>
    <row r="20285">
      <c r="P20285" s="42"/>
      <c r="AB20285" s="38"/>
    </row>
    <row r="20286">
      <c r="P20286" s="42"/>
      <c r="AB20286" s="38"/>
    </row>
    <row r="20287">
      <c r="P20287" s="42"/>
      <c r="AB20287" s="38"/>
    </row>
    <row r="20288">
      <c r="P20288" s="42"/>
      <c r="AB20288" s="38"/>
    </row>
    <row r="20289">
      <c r="P20289" s="42"/>
      <c r="AB20289" s="38"/>
    </row>
    <row r="20290">
      <c r="P20290" s="42"/>
      <c r="AB20290" s="38"/>
    </row>
    <row r="20291">
      <c r="P20291" s="42"/>
      <c r="AB20291" s="38"/>
    </row>
    <row r="20292">
      <c r="P20292" s="42"/>
      <c r="AB20292" s="38"/>
    </row>
    <row r="20293">
      <c r="P20293" s="42"/>
      <c r="AB20293" s="38"/>
    </row>
    <row r="20294">
      <c r="P20294" s="42"/>
      <c r="AB20294" s="38"/>
    </row>
    <row r="20295">
      <c r="P20295" s="42"/>
      <c r="AB20295" s="38"/>
    </row>
    <row r="20296">
      <c r="P20296" s="42"/>
      <c r="AB20296" s="38"/>
    </row>
    <row r="20297">
      <c r="P20297" s="42"/>
      <c r="AB20297" s="38"/>
    </row>
    <row r="20298">
      <c r="P20298" s="42"/>
      <c r="AB20298" s="38"/>
    </row>
    <row r="20299">
      <c r="P20299" s="42"/>
      <c r="AB20299" s="38"/>
    </row>
    <row r="20300">
      <c r="P20300" s="42"/>
      <c r="AB20300" s="38"/>
    </row>
    <row r="20301">
      <c r="P20301" s="42"/>
      <c r="AB20301" s="38"/>
    </row>
    <row r="20302">
      <c r="P20302" s="42"/>
      <c r="AB20302" s="38"/>
    </row>
    <row r="20303">
      <c r="P20303" s="42"/>
      <c r="AB20303" s="38"/>
    </row>
    <row r="20304">
      <c r="P20304" s="42"/>
      <c r="AB20304" s="38"/>
    </row>
    <row r="20305">
      <c r="P20305" s="42"/>
      <c r="AB20305" s="38"/>
    </row>
    <row r="20306">
      <c r="P20306" s="42"/>
      <c r="AB20306" s="38"/>
    </row>
    <row r="20307">
      <c r="P20307" s="42"/>
      <c r="AB20307" s="38"/>
    </row>
    <row r="20308">
      <c r="P20308" s="42"/>
      <c r="AB20308" s="38"/>
    </row>
    <row r="20309">
      <c r="P20309" s="42"/>
      <c r="AB20309" s="38"/>
    </row>
    <row r="20310">
      <c r="P20310" s="42"/>
      <c r="AB20310" s="38"/>
    </row>
    <row r="20311">
      <c r="P20311" s="42"/>
      <c r="AB20311" s="38"/>
    </row>
    <row r="20312">
      <c r="P20312" s="42"/>
      <c r="AB20312" s="38"/>
    </row>
    <row r="20313">
      <c r="P20313" s="42"/>
      <c r="AB20313" s="38"/>
    </row>
    <row r="20314">
      <c r="P20314" s="42"/>
      <c r="AB20314" s="38"/>
    </row>
    <row r="20315">
      <c r="P20315" s="42"/>
      <c r="AB20315" s="38"/>
    </row>
    <row r="20316">
      <c r="P20316" s="42"/>
      <c r="AB20316" s="38"/>
    </row>
    <row r="20317">
      <c r="P20317" s="42"/>
      <c r="AB20317" s="38"/>
    </row>
    <row r="20318">
      <c r="P20318" s="42"/>
      <c r="AB20318" s="38"/>
    </row>
    <row r="20319">
      <c r="P20319" s="42"/>
      <c r="AB20319" s="38"/>
    </row>
    <row r="20320">
      <c r="P20320" s="42"/>
      <c r="AB20320" s="38"/>
    </row>
    <row r="20321">
      <c r="P20321" s="42"/>
      <c r="AB20321" s="38"/>
    </row>
    <row r="20322">
      <c r="P20322" s="42"/>
      <c r="AB20322" s="38"/>
    </row>
    <row r="20323">
      <c r="P20323" s="42"/>
      <c r="AB20323" s="38"/>
    </row>
    <row r="20324">
      <c r="P20324" s="42"/>
      <c r="AB20324" s="38"/>
    </row>
    <row r="20325">
      <c r="P20325" s="42"/>
      <c r="AB20325" s="38"/>
    </row>
    <row r="20326">
      <c r="P20326" s="42"/>
      <c r="AB20326" s="38"/>
    </row>
    <row r="20327">
      <c r="P20327" s="42"/>
      <c r="AB20327" s="38"/>
    </row>
    <row r="20328">
      <c r="P20328" s="42"/>
      <c r="AB20328" s="38"/>
    </row>
    <row r="20329">
      <c r="P20329" s="42"/>
      <c r="AB20329" s="38"/>
    </row>
    <row r="20330">
      <c r="P20330" s="42"/>
      <c r="AB20330" s="38"/>
    </row>
    <row r="20331">
      <c r="P20331" s="42"/>
      <c r="AB20331" s="38"/>
    </row>
    <row r="20332">
      <c r="P20332" s="42"/>
      <c r="AB20332" s="38"/>
    </row>
    <row r="20333">
      <c r="P20333" s="42"/>
      <c r="AB20333" s="38"/>
    </row>
    <row r="20334">
      <c r="P20334" s="42"/>
      <c r="AB20334" s="38"/>
    </row>
    <row r="20335">
      <c r="P20335" s="42"/>
      <c r="AB20335" s="38"/>
    </row>
    <row r="20336">
      <c r="P20336" s="42"/>
      <c r="AB20336" s="38"/>
    </row>
    <row r="20337">
      <c r="P20337" s="42"/>
      <c r="AB20337" s="38"/>
    </row>
    <row r="20338">
      <c r="P20338" s="42"/>
      <c r="AB20338" s="38"/>
    </row>
    <row r="20339">
      <c r="P20339" s="42"/>
      <c r="AB20339" s="38"/>
    </row>
    <row r="20340">
      <c r="P20340" s="42"/>
      <c r="AB20340" s="38"/>
    </row>
    <row r="20341">
      <c r="P20341" s="42"/>
      <c r="AB20341" s="38"/>
    </row>
    <row r="20342">
      <c r="P20342" s="42"/>
      <c r="AB20342" s="38"/>
    </row>
    <row r="20343">
      <c r="P20343" s="42"/>
      <c r="AB20343" s="38"/>
    </row>
    <row r="20344">
      <c r="P20344" s="42"/>
      <c r="AB20344" s="38"/>
    </row>
    <row r="20345">
      <c r="P20345" s="42"/>
      <c r="AB20345" s="38"/>
    </row>
    <row r="20346">
      <c r="P20346" s="42"/>
      <c r="AB20346" s="38"/>
    </row>
    <row r="20347">
      <c r="P20347" s="42"/>
      <c r="AB20347" s="38"/>
    </row>
    <row r="20348">
      <c r="P20348" s="42"/>
      <c r="AB20348" s="38"/>
    </row>
    <row r="20349">
      <c r="P20349" s="42"/>
      <c r="AB20349" s="38"/>
    </row>
    <row r="20350">
      <c r="P20350" s="42"/>
      <c r="AB20350" s="38"/>
    </row>
    <row r="20351">
      <c r="P20351" s="42"/>
      <c r="AB20351" s="38"/>
    </row>
    <row r="20352">
      <c r="P20352" s="42"/>
      <c r="AB20352" s="38"/>
    </row>
    <row r="20353">
      <c r="P20353" s="42"/>
      <c r="AB20353" s="38"/>
    </row>
    <row r="20354">
      <c r="P20354" s="42"/>
      <c r="AB20354" s="38"/>
    </row>
    <row r="20355">
      <c r="P20355" s="42"/>
      <c r="AB20355" s="38"/>
    </row>
    <row r="20356">
      <c r="P20356" s="42"/>
      <c r="AB20356" s="38"/>
    </row>
    <row r="20357">
      <c r="P20357" s="42"/>
      <c r="AB20357" s="38"/>
    </row>
    <row r="20358">
      <c r="P20358" s="42"/>
      <c r="AB20358" s="38"/>
    </row>
    <row r="20359">
      <c r="P20359" s="42"/>
      <c r="AB20359" s="38"/>
    </row>
    <row r="20360">
      <c r="P20360" s="42"/>
      <c r="AB20360" s="38"/>
    </row>
    <row r="20361">
      <c r="P20361" s="42"/>
      <c r="AB20361" s="38"/>
    </row>
    <row r="20362">
      <c r="P20362" s="42"/>
      <c r="AB20362" s="38"/>
    </row>
    <row r="20363">
      <c r="P20363" s="42"/>
      <c r="AB20363" s="38"/>
    </row>
    <row r="20364">
      <c r="P20364" s="42"/>
      <c r="AB20364" s="38"/>
    </row>
    <row r="20365">
      <c r="P20365" s="42"/>
      <c r="AB20365" s="38"/>
    </row>
    <row r="20366">
      <c r="P20366" s="42"/>
      <c r="AB20366" s="38"/>
    </row>
    <row r="20367">
      <c r="P20367" s="42"/>
      <c r="AB20367" s="38"/>
    </row>
    <row r="20368">
      <c r="P20368" s="42"/>
      <c r="AB20368" s="38"/>
    </row>
    <row r="20369">
      <c r="P20369" s="42"/>
      <c r="AB20369" s="38"/>
    </row>
    <row r="20370">
      <c r="P20370" s="42"/>
      <c r="AB20370" s="38"/>
    </row>
    <row r="20371">
      <c r="P20371" s="42"/>
      <c r="AB20371" s="38"/>
    </row>
    <row r="20372">
      <c r="P20372" s="42"/>
      <c r="AB20372" s="38"/>
    </row>
    <row r="20373">
      <c r="P20373" s="42"/>
      <c r="AB20373" s="38"/>
    </row>
    <row r="20374">
      <c r="P20374" s="42"/>
      <c r="AB20374" s="38"/>
    </row>
    <row r="20375">
      <c r="P20375" s="42"/>
      <c r="AB20375" s="38"/>
    </row>
    <row r="20376">
      <c r="P20376" s="42"/>
      <c r="AB20376" s="38"/>
    </row>
    <row r="20377">
      <c r="P20377" s="42"/>
      <c r="AB20377" s="38"/>
    </row>
    <row r="20378">
      <c r="P20378" s="42"/>
      <c r="AB20378" s="38"/>
    </row>
    <row r="20379">
      <c r="P20379" s="42"/>
      <c r="AB20379" s="38"/>
    </row>
    <row r="20380">
      <c r="P20380" s="42"/>
      <c r="AB20380" s="38"/>
    </row>
    <row r="20381">
      <c r="P20381" s="42"/>
      <c r="AB20381" s="38"/>
    </row>
    <row r="20382">
      <c r="P20382" s="42"/>
      <c r="AB20382" s="38"/>
    </row>
    <row r="20383">
      <c r="P20383" s="42"/>
      <c r="AB20383" s="38"/>
    </row>
    <row r="20384">
      <c r="P20384" s="42"/>
      <c r="AB20384" s="38"/>
    </row>
    <row r="20385">
      <c r="P20385" s="42"/>
      <c r="AB20385" s="38"/>
    </row>
    <row r="20386">
      <c r="P20386" s="42"/>
      <c r="AB20386" s="38"/>
    </row>
    <row r="20387">
      <c r="P20387" s="42"/>
      <c r="AB20387" s="38"/>
    </row>
    <row r="20388">
      <c r="P20388" s="42"/>
      <c r="AB20388" s="38"/>
    </row>
    <row r="20389">
      <c r="P20389" s="42"/>
      <c r="AB20389" s="38"/>
    </row>
    <row r="20390">
      <c r="P20390" s="42"/>
      <c r="AB20390" s="38"/>
    </row>
    <row r="20391">
      <c r="P20391" s="42"/>
      <c r="AB20391" s="38"/>
    </row>
    <row r="20392">
      <c r="P20392" s="42"/>
      <c r="AB20392" s="38"/>
    </row>
    <row r="20393">
      <c r="P20393" s="42"/>
      <c r="AB20393" s="38"/>
    </row>
    <row r="20394">
      <c r="P20394" s="42"/>
      <c r="AB20394" s="38"/>
    </row>
    <row r="20395">
      <c r="P20395" s="42"/>
      <c r="AB20395" s="38"/>
    </row>
    <row r="20396">
      <c r="P20396" s="42"/>
      <c r="AB20396" s="38"/>
    </row>
    <row r="20397">
      <c r="P20397" s="42"/>
      <c r="AB20397" s="38"/>
    </row>
    <row r="20398">
      <c r="P20398" s="42"/>
      <c r="AB20398" s="38"/>
    </row>
    <row r="20399">
      <c r="P20399" s="42"/>
      <c r="AB20399" s="38"/>
    </row>
    <row r="20400">
      <c r="P20400" s="42"/>
      <c r="AB20400" s="38"/>
    </row>
    <row r="20401">
      <c r="P20401" s="42"/>
      <c r="AB20401" s="38"/>
    </row>
    <row r="20402">
      <c r="P20402" s="42"/>
      <c r="AB20402" s="38"/>
    </row>
    <row r="20403">
      <c r="P20403" s="42"/>
      <c r="AB20403" s="38"/>
    </row>
    <row r="20404">
      <c r="P20404" s="42"/>
      <c r="AB20404" s="38"/>
    </row>
    <row r="20405">
      <c r="P20405" s="42"/>
      <c r="AB20405" s="38"/>
    </row>
    <row r="20406">
      <c r="P20406" s="42"/>
      <c r="AB20406" s="38"/>
    </row>
    <row r="20407">
      <c r="P20407" s="42"/>
      <c r="AB20407" s="38"/>
    </row>
    <row r="20408">
      <c r="P20408" s="42"/>
      <c r="AB20408" s="38"/>
    </row>
    <row r="20409">
      <c r="P20409" s="42"/>
      <c r="AB20409" s="38"/>
    </row>
    <row r="20410">
      <c r="P20410" s="42"/>
      <c r="AB20410" s="38"/>
    </row>
    <row r="20411">
      <c r="P20411" s="42"/>
      <c r="AB20411" s="38"/>
    </row>
    <row r="20412">
      <c r="P20412" s="42"/>
      <c r="AB20412" s="38"/>
    </row>
    <row r="20413">
      <c r="P20413" s="42"/>
      <c r="AB20413" s="38"/>
    </row>
    <row r="20414">
      <c r="P20414" s="42"/>
      <c r="AB20414" s="38"/>
    </row>
    <row r="20415">
      <c r="P20415" s="42"/>
      <c r="AB20415" s="38"/>
    </row>
    <row r="20416">
      <c r="P20416" s="42"/>
      <c r="AB20416" s="38"/>
    </row>
    <row r="20417">
      <c r="P20417" s="42"/>
      <c r="AB20417" s="38"/>
    </row>
    <row r="20418">
      <c r="P20418" s="42"/>
      <c r="AB20418" s="38"/>
    </row>
    <row r="20419">
      <c r="P20419" s="42"/>
      <c r="AB20419" s="38"/>
    </row>
    <row r="20420">
      <c r="P20420" s="42"/>
      <c r="AB20420" s="38"/>
    </row>
    <row r="20421">
      <c r="P20421" s="42"/>
      <c r="AB20421" s="38"/>
    </row>
    <row r="20422">
      <c r="P20422" s="42"/>
      <c r="AB20422" s="38"/>
    </row>
    <row r="20423">
      <c r="P20423" s="42"/>
      <c r="AB20423" s="38"/>
    </row>
    <row r="20424">
      <c r="P20424" s="42"/>
      <c r="AB20424" s="38"/>
    </row>
    <row r="20425">
      <c r="P20425" s="42"/>
      <c r="AB20425" s="38"/>
    </row>
    <row r="20426">
      <c r="P20426" s="42"/>
      <c r="AB20426" s="38"/>
    </row>
    <row r="20427">
      <c r="P20427" s="42"/>
      <c r="AB20427" s="38"/>
    </row>
    <row r="20428">
      <c r="P20428" s="42"/>
      <c r="AB20428" s="38"/>
    </row>
    <row r="20429">
      <c r="P20429" s="42"/>
      <c r="AB20429" s="38"/>
    </row>
    <row r="20430">
      <c r="P20430" s="42"/>
      <c r="AB20430" s="38"/>
    </row>
    <row r="20431">
      <c r="P20431" s="42"/>
      <c r="AB20431" s="38"/>
    </row>
    <row r="20432">
      <c r="P20432" s="42"/>
      <c r="AB20432" s="38"/>
    </row>
    <row r="20433">
      <c r="P20433" s="42"/>
      <c r="AB20433" s="38"/>
    </row>
    <row r="20434">
      <c r="P20434" s="42"/>
      <c r="AB20434" s="38"/>
    </row>
    <row r="20435">
      <c r="P20435" s="42"/>
      <c r="AB20435" s="38"/>
    </row>
    <row r="20436">
      <c r="P20436" s="42"/>
      <c r="AB20436" s="38"/>
    </row>
    <row r="20437">
      <c r="P20437" s="42"/>
      <c r="AB20437" s="38"/>
    </row>
    <row r="20438">
      <c r="P20438" s="42"/>
      <c r="AB20438" s="38"/>
    </row>
    <row r="20439">
      <c r="P20439" s="42"/>
      <c r="AB20439" s="38"/>
    </row>
    <row r="20440">
      <c r="P20440" s="42"/>
      <c r="AB20440" s="38"/>
    </row>
    <row r="20441">
      <c r="P20441" s="42"/>
      <c r="AB20441" s="38"/>
    </row>
    <row r="20442">
      <c r="P20442" s="42"/>
      <c r="AB20442" s="38"/>
    </row>
    <row r="20443">
      <c r="P20443" s="42"/>
      <c r="AB20443" s="38"/>
    </row>
    <row r="20444">
      <c r="P20444" s="42"/>
      <c r="AB20444" s="38"/>
    </row>
    <row r="20445">
      <c r="P20445" s="42"/>
      <c r="AB20445" s="38"/>
    </row>
    <row r="20446">
      <c r="P20446" s="42"/>
      <c r="AB20446" s="38"/>
    </row>
    <row r="20447">
      <c r="P20447" s="42"/>
      <c r="AB20447" s="38"/>
    </row>
    <row r="20448">
      <c r="P20448" s="42"/>
      <c r="AB20448" s="38"/>
    </row>
    <row r="20449">
      <c r="P20449" s="42"/>
      <c r="AB20449" s="38"/>
    </row>
    <row r="20450">
      <c r="P20450" s="42"/>
      <c r="AB20450" s="38"/>
    </row>
    <row r="20451">
      <c r="P20451" s="42"/>
      <c r="AB20451" s="38"/>
    </row>
    <row r="20452">
      <c r="P20452" s="42"/>
      <c r="AB20452" s="38"/>
    </row>
    <row r="20453">
      <c r="P20453" s="42"/>
      <c r="AB20453" s="38"/>
    </row>
    <row r="20454">
      <c r="P20454" s="42"/>
      <c r="AB20454" s="38"/>
    </row>
    <row r="20455">
      <c r="P20455" s="42"/>
      <c r="AB20455" s="38"/>
    </row>
    <row r="20456">
      <c r="P20456" s="42"/>
      <c r="AB20456" s="38"/>
    </row>
    <row r="20457">
      <c r="P20457" s="42"/>
      <c r="AB20457" s="38"/>
    </row>
    <row r="20458">
      <c r="P20458" s="42"/>
      <c r="AB20458" s="38"/>
    </row>
    <row r="20459">
      <c r="P20459" s="42"/>
      <c r="AB20459" s="38"/>
    </row>
    <row r="20460">
      <c r="P20460" s="42"/>
      <c r="AB20460" s="38"/>
    </row>
    <row r="20461">
      <c r="P20461" s="42"/>
      <c r="AB20461" s="38"/>
    </row>
    <row r="20462">
      <c r="P20462" s="42"/>
      <c r="AB20462" s="38"/>
    </row>
    <row r="20463">
      <c r="P20463" s="42"/>
      <c r="AB20463" s="38"/>
    </row>
    <row r="20464">
      <c r="P20464" s="42"/>
      <c r="AB20464" s="38"/>
    </row>
    <row r="20465">
      <c r="P20465" s="42"/>
      <c r="AB20465" s="38"/>
    </row>
    <row r="20466">
      <c r="P20466" s="42"/>
      <c r="AB20466" s="38"/>
    </row>
    <row r="20467">
      <c r="P20467" s="42"/>
      <c r="AB20467" s="38"/>
    </row>
    <row r="20468">
      <c r="P20468" s="42"/>
      <c r="AB20468" s="38"/>
    </row>
    <row r="20469">
      <c r="P20469" s="42"/>
      <c r="AB20469" s="38"/>
    </row>
    <row r="20470">
      <c r="P20470" s="42"/>
      <c r="AB20470" s="38"/>
    </row>
    <row r="20471">
      <c r="P20471" s="42"/>
      <c r="AB20471" s="38"/>
    </row>
    <row r="20472">
      <c r="P20472" s="42"/>
      <c r="AB20472" s="38"/>
    </row>
    <row r="20473">
      <c r="P20473" s="42"/>
      <c r="AB20473" s="38"/>
    </row>
    <row r="20474">
      <c r="P20474" s="42"/>
      <c r="AB20474" s="38"/>
    </row>
    <row r="20475">
      <c r="P20475" s="42"/>
      <c r="AB20475" s="38"/>
    </row>
    <row r="20476">
      <c r="P20476" s="42"/>
      <c r="AB20476" s="38"/>
    </row>
    <row r="20477">
      <c r="P20477" s="42"/>
      <c r="AB20477" s="38"/>
    </row>
    <row r="20478">
      <c r="P20478" s="42"/>
      <c r="AB20478" s="38"/>
    </row>
    <row r="20479">
      <c r="P20479" s="42"/>
      <c r="AB20479" s="38"/>
    </row>
    <row r="20480">
      <c r="P20480" s="42"/>
      <c r="AB20480" s="38"/>
    </row>
    <row r="20481">
      <c r="P20481" s="42"/>
      <c r="AB20481" s="38"/>
    </row>
    <row r="20482">
      <c r="P20482" s="42"/>
      <c r="AB20482" s="38"/>
    </row>
    <row r="20483">
      <c r="P20483" s="42"/>
      <c r="AB20483" s="38"/>
    </row>
    <row r="20484">
      <c r="P20484" s="42"/>
      <c r="AB20484" s="38"/>
    </row>
    <row r="20485">
      <c r="P20485" s="42"/>
      <c r="AB20485" s="38"/>
    </row>
    <row r="20486">
      <c r="P20486" s="42"/>
      <c r="AB20486" s="38"/>
    </row>
    <row r="20487">
      <c r="P20487" s="42"/>
      <c r="AB20487" s="38"/>
    </row>
    <row r="20488">
      <c r="P20488" s="42"/>
      <c r="AB20488" s="38"/>
    </row>
    <row r="20489">
      <c r="P20489" s="42"/>
      <c r="AB20489" s="38"/>
    </row>
    <row r="20490">
      <c r="P20490" s="42"/>
      <c r="AB20490" s="38"/>
    </row>
    <row r="20491">
      <c r="P20491" s="42"/>
      <c r="AB20491" s="38"/>
    </row>
    <row r="20492">
      <c r="P20492" s="42"/>
      <c r="AB20492" s="38"/>
    </row>
    <row r="20493">
      <c r="P20493" s="42"/>
      <c r="AB20493" s="38"/>
    </row>
    <row r="20494">
      <c r="P20494" s="42"/>
      <c r="AB20494" s="38"/>
    </row>
    <row r="20495">
      <c r="P20495" s="42"/>
      <c r="AB20495" s="38"/>
    </row>
    <row r="20496">
      <c r="P20496" s="42"/>
      <c r="AB20496" s="38"/>
    </row>
    <row r="20497">
      <c r="P20497" s="42"/>
      <c r="AB20497" s="38"/>
    </row>
    <row r="20498">
      <c r="P20498" s="42"/>
      <c r="AB20498" s="38"/>
    </row>
    <row r="20499">
      <c r="P20499" s="42"/>
      <c r="AB20499" s="38"/>
    </row>
    <row r="20500">
      <c r="P20500" s="42"/>
      <c r="AB20500" s="38"/>
    </row>
    <row r="20501">
      <c r="P20501" s="42"/>
      <c r="AB20501" s="38"/>
    </row>
    <row r="20502">
      <c r="P20502" s="42"/>
      <c r="AB20502" s="38"/>
    </row>
    <row r="20503">
      <c r="P20503" s="42"/>
      <c r="AB20503" s="38"/>
    </row>
    <row r="20504">
      <c r="P20504" s="42"/>
      <c r="AB20504" s="38"/>
    </row>
    <row r="20505">
      <c r="P20505" s="42"/>
      <c r="AB20505" s="38"/>
    </row>
    <row r="20506">
      <c r="P20506" s="42"/>
      <c r="AB20506" s="38"/>
    </row>
    <row r="20507">
      <c r="P20507" s="42"/>
      <c r="AB20507" s="38"/>
    </row>
    <row r="20508">
      <c r="P20508" s="42"/>
      <c r="AB20508" s="38"/>
    </row>
    <row r="20509">
      <c r="P20509" s="42"/>
      <c r="AB20509" s="38"/>
    </row>
    <row r="20510">
      <c r="P20510" s="42"/>
      <c r="AB20510" s="38"/>
    </row>
    <row r="20511">
      <c r="P20511" s="42"/>
      <c r="AB20511" s="38"/>
    </row>
    <row r="20512">
      <c r="P20512" s="42"/>
      <c r="AB20512" s="38"/>
    </row>
    <row r="20513">
      <c r="P20513" s="42"/>
      <c r="AB20513" s="38"/>
    </row>
    <row r="20514">
      <c r="P20514" s="42"/>
      <c r="AB20514" s="38"/>
    </row>
    <row r="20515">
      <c r="P20515" s="42"/>
      <c r="AB20515" s="38"/>
    </row>
    <row r="20516">
      <c r="P20516" s="42"/>
      <c r="AB20516" s="38"/>
    </row>
    <row r="20517">
      <c r="P20517" s="42"/>
      <c r="AB20517" s="38"/>
    </row>
    <row r="20518">
      <c r="P20518" s="42"/>
      <c r="AB20518" s="38"/>
    </row>
    <row r="20519">
      <c r="P20519" s="42"/>
      <c r="AB20519" s="38"/>
    </row>
    <row r="20520">
      <c r="P20520" s="42"/>
      <c r="AB20520" s="38"/>
    </row>
    <row r="20521">
      <c r="P20521" s="42"/>
      <c r="AB20521" s="38"/>
    </row>
    <row r="20522">
      <c r="P20522" s="42"/>
      <c r="AB20522" s="38"/>
    </row>
    <row r="20523">
      <c r="P20523" s="42"/>
      <c r="AB20523" s="38"/>
    </row>
    <row r="20524">
      <c r="P20524" s="42"/>
      <c r="AB20524" s="38"/>
    </row>
    <row r="20525">
      <c r="P20525" s="42"/>
      <c r="AB20525" s="38"/>
    </row>
    <row r="20526">
      <c r="P20526" s="42"/>
      <c r="AB20526" s="38"/>
    </row>
    <row r="20527">
      <c r="P20527" s="42"/>
      <c r="AB20527" s="38"/>
    </row>
    <row r="20528">
      <c r="P20528" s="42"/>
      <c r="AB20528" s="38"/>
    </row>
    <row r="20529">
      <c r="P20529" s="42"/>
      <c r="AB20529" s="38"/>
    </row>
    <row r="20530">
      <c r="P20530" s="42"/>
      <c r="AB20530" s="38"/>
    </row>
    <row r="20531">
      <c r="P20531" s="42"/>
      <c r="AB20531" s="38"/>
    </row>
    <row r="20532">
      <c r="P20532" s="42"/>
      <c r="AB20532" s="38"/>
    </row>
    <row r="20533">
      <c r="P20533" s="42"/>
      <c r="AB20533" s="38"/>
    </row>
    <row r="20534">
      <c r="P20534" s="42"/>
      <c r="AB20534" s="38"/>
    </row>
    <row r="20535">
      <c r="P20535" s="42"/>
      <c r="AB20535" s="38"/>
    </row>
    <row r="20536">
      <c r="P20536" s="42"/>
      <c r="AB20536" s="38"/>
    </row>
    <row r="20537">
      <c r="P20537" s="42"/>
      <c r="AB20537" s="38"/>
    </row>
    <row r="20538">
      <c r="P20538" s="42"/>
      <c r="AB20538" s="38"/>
    </row>
    <row r="20539">
      <c r="P20539" s="42"/>
      <c r="AB20539" s="38"/>
    </row>
    <row r="20540">
      <c r="P20540" s="42"/>
      <c r="AB20540" s="38"/>
    </row>
    <row r="20541">
      <c r="P20541" s="42"/>
      <c r="AB20541" s="38"/>
    </row>
    <row r="20542">
      <c r="P20542" s="42"/>
      <c r="AB20542" s="38"/>
    </row>
    <row r="20543">
      <c r="P20543" s="42"/>
      <c r="AB20543" s="38"/>
    </row>
    <row r="20544">
      <c r="P20544" s="42"/>
      <c r="AB20544" s="38"/>
    </row>
    <row r="20545">
      <c r="P20545" s="42"/>
      <c r="AB20545" s="38"/>
    </row>
    <row r="20546">
      <c r="P20546" s="42"/>
      <c r="AB20546" s="38"/>
    </row>
    <row r="20547">
      <c r="P20547" s="42"/>
      <c r="AB20547" s="38"/>
    </row>
    <row r="20548">
      <c r="P20548" s="42"/>
      <c r="AB20548" s="38"/>
    </row>
    <row r="20549">
      <c r="P20549" s="42"/>
      <c r="AB20549" s="38"/>
    </row>
    <row r="20550">
      <c r="P20550" s="42"/>
      <c r="AB20550" s="38"/>
    </row>
    <row r="20551">
      <c r="P20551" s="42"/>
      <c r="AB20551" s="38"/>
    </row>
    <row r="20552">
      <c r="P20552" s="42"/>
      <c r="AB20552" s="38"/>
    </row>
    <row r="20553">
      <c r="P20553" s="42"/>
      <c r="AB20553" s="38"/>
    </row>
    <row r="20554">
      <c r="P20554" s="42"/>
      <c r="AB20554" s="38"/>
    </row>
    <row r="20555">
      <c r="P20555" s="42"/>
      <c r="AB20555" s="38"/>
    </row>
    <row r="20556">
      <c r="P20556" s="42"/>
      <c r="AB20556" s="38"/>
    </row>
    <row r="20557">
      <c r="P20557" s="42"/>
      <c r="AB20557" s="38"/>
    </row>
    <row r="20558">
      <c r="P20558" s="42"/>
      <c r="AB20558" s="38"/>
    </row>
    <row r="20559">
      <c r="P20559" s="42"/>
      <c r="AB20559" s="38"/>
    </row>
    <row r="20560">
      <c r="P20560" s="42"/>
      <c r="AB20560" s="38"/>
    </row>
    <row r="20561">
      <c r="P20561" s="42"/>
      <c r="AB20561" s="38"/>
    </row>
    <row r="20562">
      <c r="P20562" s="42"/>
      <c r="AB20562" s="38"/>
    </row>
    <row r="20563">
      <c r="P20563" s="42"/>
      <c r="AB20563" s="38"/>
    </row>
    <row r="20564">
      <c r="P20564" s="42"/>
      <c r="AB20564" s="38"/>
    </row>
    <row r="20565">
      <c r="P20565" s="42"/>
      <c r="AB20565" s="38"/>
    </row>
    <row r="20566">
      <c r="P20566" s="42"/>
      <c r="AB20566" s="38"/>
    </row>
    <row r="20567">
      <c r="P20567" s="42"/>
      <c r="AB20567" s="38"/>
    </row>
    <row r="20568">
      <c r="P20568" s="42"/>
      <c r="AB20568" s="38"/>
    </row>
    <row r="20569">
      <c r="P20569" s="42"/>
      <c r="AB20569" s="38"/>
    </row>
    <row r="20570">
      <c r="P20570" s="42"/>
      <c r="AB20570" s="38"/>
    </row>
    <row r="20571">
      <c r="P20571" s="42"/>
      <c r="AB20571" s="38"/>
    </row>
    <row r="20572">
      <c r="P20572" s="42"/>
      <c r="AB20572" s="38"/>
    </row>
    <row r="20573">
      <c r="P20573" s="42"/>
      <c r="AB20573" s="38"/>
    </row>
    <row r="20574">
      <c r="P20574" s="42"/>
      <c r="AB20574" s="38"/>
    </row>
    <row r="20575">
      <c r="P20575" s="42"/>
      <c r="AB20575" s="38"/>
    </row>
    <row r="20576">
      <c r="P20576" s="42"/>
      <c r="AB20576" s="38"/>
    </row>
    <row r="20577">
      <c r="P20577" s="42"/>
      <c r="AB20577" s="38"/>
    </row>
    <row r="20578">
      <c r="P20578" s="42"/>
      <c r="AB20578" s="38"/>
    </row>
    <row r="20579">
      <c r="P20579" s="42"/>
      <c r="AB20579" s="38"/>
    </row>
    <row r="20580">
      <c r="P20580" s="42"/>
      <c r="AB20580" s="38"/>
    </row>
    <row r="20581">
      <c r="P20581" s="42"/>
      <c r="AB20581" s="38"/>
    </row>
    <row r="20582">
      <c r="P20582" s="42"/>
      <c r="AB20582" s="38"/>
    </row>
    <row r="20583">
      <c r="P20583" s="42"/>
      <c r="AB20583" s="38"/>
    </row>
    <row r="20584">
      <c r="P20584" s="42"/>
      <c r="AB20584" s="38"/>
    </row>
    <row r="20585">
      <c r="P20585" s="42"/>
      <c r="AB20585" s="38"/>
    </row>
    <row r="20586">
      <c r="P20586" s="42"/>
      <c r="AB20586" s="38"/>
    </row>
    <row r="20587">
      <c r="P20587" s="42"/>
      <c r="AB20587" s="38"/>
    </row>
    <row r="20588">
      <c r="P20588" s="42"/>
      <c r="AB20588" s="38"/>
    </row>
    <row r="20589">
      <c r="P20589" s="42"/>
      <c r="AB20589" s="38"/>
    </row>
    <row r="20590">
      <c r="P20590" s="42"/>
      <c r="AB20590" s="38"/>
    </row>
    <row r="20591">
      <c r="P20591" s="42"/>
      <c r="AB20591" s="38"/>
    </row>
    <row r="20592">
      <c r="P20592" s="42"/>
      <c r="AB20592" s="38"/>
    </row>
    <row r="20593">
      <c r="P20593" s="42"/>
      <c r="AB20593" s="38"/>
    </row>
    <row r="20594">
      <c r="P20594" s="42"/>
      <c r="AB20594" s="38"/>
    </row>
    <row r="20595">
      <c r="P20595" s="42"/>
      <c r="AB20595" s="38"/>
    </row>
    <row r="20596">
      <c r="P20596" s="42"/>
      <c r="AB20596" s="38"/>
    </row>
    <row r="20597">
      <c r="P20597" s="42"/>
      <c r="AB20597" s="38"/>
    </row>
    <row r="20598">
      <c r="P20598" s="42"/>
      <c r="AB20598" s="38"/>
    </row>
    <row r="20599">
      <c r="P20599" s="42"/>
      <c r="AB20599" s="38"/>
    </row>
    <row r="20600">
      <c r="P20600" s="42"/>
      <c r="AB20600" s="38"/>
    </row>
    <row r="20601">
      <c r="P20601" s="42"/>
      <c r="AB20601" s="38"/>
    </row>
    <row r="20602">
      <c r="P20602" s="42"/>
      <c r="AB20602" s="38"/>
    </row>
    <row r="20603">
      <c r="P20603" s="42"/>
      <c r="AB20603" s="38"/>
    </row>
    <row r="20604">
      <c r="P20604" s="42"/>
      <c r="AB20604" s="38"/>
    </row>
    <row r="20605">
      <c r="P20605" s="42"/>
      <c r="AB20605" s="38"/>
    </row>
    <row r="20606">
      <c r="P20606" s="42"/>
      <c r="AB20606" s="38"/>
    </row>
    <row r="20607">
      <c r="P20607" s="42"/>
      <c r="AB20607" s="38"/>
    </row>
    <row r="20608">
      <c r="P20608" s="42"/>
      <c r="AB20608" s="38"/>
    </row>
    <row r="20609">
      <c r="P20609" s="42"/>
      <c r="AB20609" s="38"/>
    </row>
    <row r="20610">
      <c r="P20610" s="42"/>
      <c r="AB20610" s="38"/>
    </row>
    <row r="20611">
      <c r="P20611" s="42"/>
      <c r="AB20611" s="38"/>
    </row>
    <row r="20612">
      <c r="P20612" s="42"/>
      <c r="AB20612" s="38"/>
    </row>
    <row r="20613">
      <c r="P20613" s="42"/>
      <c r="AB20613" s="38"/>
    </row>
    <row r="20614">
      <c r="P20614" s="42"/>
      <c r="AB20614" s="38"/>
    </row>
    <row r="20615">
      <c r="P20615" s="42"/>
      <c r="AB20615" s="38"/>
    </row>
    <row r="20616">
      <c r="P20616" s="42"/>
      <c r="AB20616" s="38"/>
    </row>
    <row r="20617">
      <c r="P20617" s="42"/>
      <c r="AB20617" s="38"/>
    </row>
    <row r="20618">
      <c r="P20618" s="42"/>
      <c r="AB20618" s="38"/>
    </row>
    <row r="20619">
      <c r="P20619" s="42"/>
      <c r="AB20619" s="38"/>
    </row>
    <row r="20620">
      <c r="P20620" s="42"/>
      <c r="AB20620" s="38"/>
    </row>
    <row r="20621">
      <c r="P20621" s="42"/>
      <c r="AB20621" s="38"/>
    </row>
    <row r="20622">
      <c r="P20622" s="42"/>
      <c r="AB20622" s="38"/>
    </row>
    <row r="20623">
      <c r="P20623" s="42"/>
      <c r="AB20623" s="38"/>
    </row>
    <row r="20624">
      <c r="P20624" s="42"/>
      <c r="AB20624" s="38"/>
    </row>
    <row r="20625">
      <c r="P20625" s="42"/>
      <c r="AB20625" s="38"/>
    </row>
    <row r="20626">
      <c r="P20626" s="42"/>
      <c r="AB20626" s="38"/>
    </row>
    <row r="20627">
      <c r="P20627" s="42"/>
      <c r="AB20627" s="38"/>
    </row>
    <row r="20628">
      <c r="P20628" s="42"/>
      <c r="AB20628" s="38"/>
    </row>
    <row r="20629">
      <c r="P20629" s="42"/>
      <c r="AB20629" s="38"/>
    </row>
    <row r="20630">
      <c r="P20630" s="42"/>
      <c r="AB20630" s="38"/>
    </row>
    <row r="20631">
      <c r="P20631" s="42"/>
      <c r="AB20631" s="38"/>
    </row>
    <row r="20632">
      <c r="P20632" s="42"/>
      <c r="AB20632" s="38"/>
    </row>
    <row r="20633">
      <c r="P20633" s="42"/>
      <c r="AB20633" s="38"/>
    </row>
    <row r="20634">
      <c r="P20634" s="42"/>
      <c r="AB20634" s="38"/>
    </row>
    <row r="20635">
      <c r="P20635" s="42"/>
      <c r="AB20635" s="38"/>
    </row>
    <row r="20636">
      <c r="P20636" s="42"/>
      <c r="AB20636" s="38"/>
    </row>
    <row r="20637">
      <c r="P20637" s="42"/>
      <c r="AB20637" s="38"/>
    </row>
    <row r="20638">
      <c r="P20638" s="42"/>
      <c r="AB20638" s="38"/>
    </row>
    <row r="20639">
      <c r="P20639" s="42"/>
      <c r="AB20639" s="38"/>
    </row>
    <row r="20640">
      <c r="P20640" s="42"/>
      <c r="AB20640" s="38"/>
    </row>
    <row r="20641">
      <c r="P20641" s="42"/>
      <c r="AB20641" s="38"/>
    </row>
    <row r="20642">
      <c r="P20642" s="42"/>
      <c r="AB20642" s="38"/>
    </row>
    <row r="20643">
      <c r="P20643" s="42"/>
      <c r="AB20643" s="38"/>
    </row>
    <row r="20644">
      <c r="P20644" s="42"/>
      <c r="AB20644" s="38"/>
    </row>
    <row r="20645">
      <c r="P20645" s="42"/>
      <c r="AB20645" s="38"/>
    </row>
    <row r="20646">
      <c r="P20646" s="42"/>
      <c r="AB20646" s="38"/>
    </row>
    <row r="20647">
      <c r="P20647" s="42"/>
      <c r="AB20647" s="38"/>
    </row>
    <row r="20648">
      <c r="P20648" s="42"/>
      <c r="AB20648" s="38"/>
    </row>
    <row r="20649">
      <c r="P20649" s="42"/>
      <c r="AB20649" s="38"/>
    </row>
    <row r="20650">
      <c r="P20650" s="42"/>
      <c r="AB20650" s="38"/>
    </row>
    <row r="20651">
      <c r="P20651" s="42"/>
      <c r="AB20651" s="38"/>
    </row>
    <row r="20652">
      <c r="P20652" s="42"/>
      <c r="AB20652" s="38"/>
    </row>
    <row r="20653">
      <c r="P20653" s="42"/>
      <c r="AB20653" s="38"/>
    </row>
    <row r="20654">
      <c r="P20654" s="42"/>
      <c r="AB20654" s="38"/>
    </row>
    <row r="20655">
      <c r="P20655" s="42"/>
      <c r="AB20655" s="38"/>
    </row>
    <row r="20656">
      <c r="P20656" s="42"/>
      <c r="AB20656" s="38"/>
    </row>
    <row r="20657">
      <c r="P20657" s="42"/>
      <c r="AB20657" s="38"/>
    </row>
    <row r="20658">
      <c r="P20658" s="42"/>
      <c r="AB20658" s="38"/>
    </row>
    <row r="20659">
      <c r="P20659" s="42"/>
      <c r="AB20659" s="38"/>
    </row>
    <row r="20660">
      <c r="P20660" s="42"/>
      <c r="AB20660" s="38"/>
    </row>
    <row r="20661">
      <c r="P20661" s="42"/>
      <c r="AB20661" s="38"/>
    </row>
    <row r="20662">
      <c r="P20662" s="42"/>
      <c r="AB20662" s="38"/>
    </row>
    <row r="20663">
      <c r="P20663" s="42"/>
      <c r="AB20663" s="38"/>
    </row>
    <row r="20664">
      <c r="P20664" s="42"/>
      <c r="AB20664" s="38"/>
    </row>
    <row r="20665">
      <c r="P20665" s="42"/>
      <c r="AB20665" s="38"/>
    </row>
    <row r="20666">
      <c r="P20666" s="42"/>
      <c r="AB20666" s="38"/>
    </row>
    <row r="20667">
      <c r="P20667" s="42"/>
      <c r="AB20667" s="38"/>
    </row>
    <row r="20668">
      <c r="P20668" s="42"/>
      <c r="AB20668" s="38"/>
    </row>
    <row r="20669">
      <c r="P20669" s="42"/>
      <c r="AB20669" s="38"/>
    </row>
    <row r="20670">
      <c r="P20670" s="42"/>
      <c r="AB20670" s="38"/>
    </row>
    <row r="20671">
      <c r="P20671" s="42"/>
      <c r="AB20671" s="38"/>
    </row>
    <row r="20672">
      <c r="P20672" s="42"/>
      <c r="AB20672" s="38"/>
    </row>
    <row r="20673">
      <c r="P20673" s="42"/>
      <c r="AB20673" s="38"/>
    </row>
    <row r="20674">
      <c r="P20674" s="42"/>
      <c r="AB20674" s="38"/>
    </row>
    <row r="20675">
      <c r="P20675" s="42"/>
      <c r="AB20675" s="38"/>
    </row>
    <row r="20676">
      <c r="P20676" s="42"/>
      <c r="AB20676" s="38"/>
    </row>
    <row r="20677">
      <c r="P20677" s="42"/>
      <c r="AB20677" s="38"/>
    </row>
    <row r="20678">
      <c r="P20678" s="42"/>
      <c r="AB20678" s="38"/>
    </row>
    <row r="20679">
      <c r="P20679" s="42"/>
      <c r="AB20679" s="38"/>
    </row>
    <row r="20680">
      <c r="P20680" s="42"/>
      <c r="AB20680" s="38"/>
    </row>
    <row r="20681">
      <c r="P20681" s="42"/>
      <c r="AB20681" s="38"/>
    </row>
    <row r="20682">
      <c r="P20682" s="42"/>
      <c r="AB20682" s="38"/>
    </row>
    <row r="20683">
      <c r="P20683" s="42"/>
      <c r="AB20683" s="38"/>
    </row>
    <row r="20684">
      <c r="P20684" s="42"/>
      <c r="AB20684" s="38"/>
    </row>
    <row r="20685">
      <c r="P20685" s="42"/>
      <c r="AB20685" s="38"/>
    </row>
    <row r="20686">
      <c r="P20686" s="42"/>
      <c r="AB20686" s="38"/>
    </row>
    <row r="20687">
      <c r="P20687" s="42"/>
      <c r="AB20687" s="38"/>
    </row>
    <row r="20688">
      <c r="P20688" s="42"/>
      <c r="AB20688" s="38"/>
    </row>
    <row r="20689">
      <c r="P20689" s="42"/>
      <c r="AB20689" s="38"/>
    </row>
    <row r="20690">
      <c r="P20690" s="42"/>
      <c r="AB20690" s="38"/>
    </row>
    <row r="20691">
      <c r="P20691" s="42"/>
      <c r="AB20691" s="38"/>
    </row>
    <row r="20692">
      <c r="P20692" s="42"/>
      <c r="AB20692" s="38"/>
    </row>
    <row r="20693">
      <c r="P20693" s="42"/>
      <c r="AB20693" s="38"/>
    </row>
    <row r="20694">
      <c r="P20694" s="42"/>
      <c r="AB20694" s="38"/>
    </row>
    <row r="20695">
      <c r="P20695" s="42"/>
      <c r="AB20695" s="38"/>
    </row>
    <row r="20696">
      <c r="P20696" s="42"/>
      <c r="AB20696" s="38"/>
    </row>
    <row r="20697">
      <c r="P20697" s="42"/>
      <c r="AB20697" s="38"/>
    </row>
    <row r="20698">
      <c r="P20698" s="42"/>
      <c r="AB20698" s="38"/>
    </row>
    <row r="20699">
      <c r="P20699" s="42"/>
      <c r="AB20699" s="38"/>
    </row>
    <row r="20700">
      <c r="P20700" s="42"/>
      <c r="AB20700" s="38"/>
    </row>
    <row r="20701">
      <c r="P20701" s="42"/>
      <c r="AB20701" s="38"/>
    </row>
    <row r="20702">
      <c r="P20702" s="42"/>
      <c r="AB20702" s="38"/>
    </row>
    <row r="20703">
      <c r="P20703" s="42"/>
      <c r="AB20703" s="38"/>
    </row>
    <row r="20704">
      <c r="P20704" s="42"/>
      <c r="AB20704" s="38"/>
    </row>
    <row r="20705">
      <c r="P20705" s="42"/>
      <c r="AB20705" s="38"/>
    </row>
    <row r="20706">
      <c r="P20706" s="42"/>
      <c r="AB20706" s="38"/>
    </row>
    <row r="20707">
      <c r="P20707" s="42"/>
      <c r="AB20707" s="38"/>
    </row>
    <row r="20708">
      <c r="P20708" s="42"/>
      <c r="AB20708" s="38"/>
    </row>
    <row r="20709">
      <c r="P20709" s="42"/>
      <c r="AB20709" s="38"/>
    </row>
    <row r="20710">
      <c r="P20710" s="42"/>
      <c r="AB20710" s="38"/>
    </row>
    <row r="20711">
      <c r="P20711" s="42"/>
      <c r="AB20711" s="38"/>
    </row>
    <row r="20712">
      <c r="P20712" s="42"/>
      <c r="AB20712" s="38"/>
    </row>
    <row r="20713">
      <c r="P20713" s="42"/>
      <c r="AB20713" s="38"/>
    </row>
    <row r="20714">
      <c r="P20714" s="42"/>
      <c r="AB20714" s="38"/>
    </row>
    <row r="20715">
      <c r="P20715" s="42"/>
      <c r="AB20715" s="38"/>
    </row>
    <row r="20716">
      <c r="P20716" s="42"/>
      <c r="AB20716" s="38"/>
    </row>
    <row r="20717">
      <c r="P20717" s="42"/>
      <c r="AB20717" s="38"/>
    </row>
    <row r="20718">
      <c r="P20718" s="42"/>
      <c r="AB20718" s="38"/>
    </row>
    <row r="20719">
      <c r="P20719" s="42"/>
      <c r="AB20719" s="38"/>
    </row>
    <row r="20720">
      <c r="P20720" s="42"/>
      <c r="AB20720" s="38"/>
    </row>
    <row r="20721">
      <c r="P20721" s="42"/>
      <c r="AB20721" s="38"/>
    </row>
    <row r="20722">
      <c r="P20722" s="42"/>
      <c r="AB20722" s="38"/>
    </row>
    <row r="20723">
      <c r="P20723" s="42"/>
      <c r="AB20723" s="38"/>
    </row>
    <row r="20724">
      <c r="P20724" s="42"/>
      <c r="AB20724" s="38"/>
    </row>
    <row r="20725">
      <c r="P20725" s="42"/>
      <c r="AB20725" s="38"/>
    </row>
    <row r="20726">
      <c r="P20726" s="42"/>
      <c r="AB20726" s="38"/>
    </row>
    <row r="20727">
      <c r="P20727" s="42"/>
      <c r="AB20727" s="38"/>
    </row>
    <row r="20728">
      <c r="P20728" s="42"/>
      <c r="AB20728" s="38"/>
    </row>
    <row r="20729">
      <c r="P20729" s="42"/>
      <c r="AB20729" s="38"/>
    </row>
    <row r="20730">
      <c r="P20730" s="42"/>
      <c r="AB20730" s="38"/>
    </row>
    <row r="20731">
      <c r="P20731" s="42"/>
      <c r="AB20731" s="38"/>
    </row>
    <row r="20732">
      <c r="P20732" s="42"/>
      <c r="AB20732" s="38"/>
    </row>
    <row r="20733">
      <c r="P20733" s="42"/>
      <c r="AB20733" s="38"/>
    </row>
    <row r="20734">
      <c r="P20734" s="42"/>
      <c r="AB20734" s="38"/>
    </row>
    <row r="20735">
      <c r="P20735" s="42"/>
      <c r="AB20735" s="38"/>
    </row>
    <row r="20736">
      <c r="P20736" s="42"/>
      <c r="AB20736" s="38"/>
    </row>
    <row r="20737">
      <c r="P20737" s="42"/>
      <c r="AB20737" s="38"/>
    </row>
    <row r="20738">
      <c r="P20738" s="42"/>
      <c r="AB20738" s="38"/>
    </row>
    <row r="20739">
      <c r="P20739" s="42"/>
      <c r="AB20739" s="38"/>
    </row>
    <row r="20740">
      <c r="P20740" s="42"/>
      <c r="AB20740" s="38"/>
    </row>
    <row r="20741">
      <c r="P20741" s="42"/>
      <c r="AB20741" s="38"/>
    </row>
    <row r="20742">
      <c r="P20742" s="42"/>
      <c r="AB20742" s="38"/>
    </row>
    <row r="20743">
      <c r="P20743" s="42"/>
      <c r="AB20743" s="38"/>
    </row>
    <row r="20744">
      <c r="P20744" s="42"/>
      <c r="AB20744" s="38"/>
    </row>
    <row r="20745">
      <c r="P20745" s="42"/>
      <c r="AB20745" s="38"/>
    </row>
    <row r="20746">
      <c r="P20746" s="42"/>
      <c r="AB20746" s="38"/>
    </row>
    <row r="20747">
      <c r="P20747" s="42"/>
      <c r="AB20747" s="38"/>
    </row>
    <row r="20748">
      <c r="P20748" s="42"/>
      <c r="AB20748" s="38"/>
    </row>
    <row r="20749">
      <c r="P20749" s="42"/>
      <c r="AB20749" s="38"/>
    </row>
    <row r="20750">
      <c r="P20750" s="42"/>
      <c r="AB20750" s="38"/>
    </row>
    <row r="20751">
      <c r="P20751" s="42"/>
      <c r="AB20751" s="38"/>
    </row>
    <row r="20752">
      <c r="P20752" s="42"/>
      <c r="AB20752" s="38"/>
    </row>
    <row r="20753">
      <c r="P20753" s="42"/>
      <c r="AB20753" s="38"/>
    </row>
    <row r="20754">
      <c r="P20754" s="42"/>
      <c r="AB20754" s="38"/>
    </row>
    <row r="20755">
      <c r="P20755" s="42"/>
      <c r="AB20755" s="38"/>
    </row>
    <row r="20756">
      <c r="P20756" s="42"/>
      <c r="AB20756" s="38"/>
    </row>
    <row r="20757">
      <c r="P20757" s="42"/>
      <c r="AB20757" s="38"/>
    </row>
    <row r="20758">
      <c r="P20758" s="42"/>
      <c r="AB20758" s="38"/>
    </row>
    <row r="20759">
      <c r="P20759" s="42"/>
      <c r="AB20759" s="38"/>
    </row>
    <row r="20760">
      <c r="P20760" s="42"/>
      <c r="AB20760" s="38"/>
    </row>
    <row r="20761">
      <c r="P20761" s="42"/>
      <c r="AB20761" s="38"/>
    </row>
    <row r="20762">
      <c r="P20762" s="42"/>
      <c r="AB20762" s="38"/>
    </row>
    <row r="20763">
      <c r="P20763" s="42"/>
      <c r="AB20763" s="38"/>
    </row>
    <row r="20764">
      <c r="P20764" s="42"/>
      <c r="AB20764" s="38"/>
    </row>
    <row r="20765">
      <c r="P20765" s="42"/>
      <c r="AB20765" s="38"/>
    </row>
    <row r="20766">
      <c r="P20766" s="42"/>
      <c r="AB20766" s="38"/>
    </row>
    <row r="20767">
      <c r="P20767" s="42"/>
      <c r="AB20767" s="38"/>
    </row>
    <row r="20768">
      <c r="P20768" s="42"/>
      <c r="AB20768" s="38"/>
    </row>
    <row r="20769">
      <c r="P20769" s="42"/>
      <c r="AB20769" s="38"/>
    </row>
    <row r="20770">
      <c r="P20770" s="42"/>
      <c r="AB20770" s="38"/>
    </row>
    <row r="20771">
      <c r="P20771" s="42"/>
      <c r="AB20771" s="38"/>
    </row>
    <row r="20772">
      <c r="P20772" s="42"/>
      <c r="AB20772" s="38"/>
    </row>
    <row r="20773">
      <c r="P20773" s="42"/>
      <c r="AB20773" s="38"/>
    </row>
    <row r="20774">
      <c r="P20774" s="42"/>
      <c r="AB20774" s="38"/>
    </row>
    <row r="20775">
      <c r="P20775" s="42"/>
      <c r="AB20775" s="38"/>
    </row>
    <row r="20776">
      <c r="P20776" s="42"/>
      <c r="AB20776" s="38"/>
    </row>
    <row r="20777">
      <c r="P20777" s="42"/>
      <c r="AB20777" s="38"/>
    </row>
    <row r="20778">
      <c r="P20778" s="42"/>
      <c r="AB20778" s="38"/>
    </row>
    <row r="20779">
      <c r="P20779" s="42"/>
      <c r="AB20779" s="38"/>
    </row>
    <row r="20780">
      <c r="P20780" s="42"/>
      <c r="AB20780" s="38"/>
    </row>
    <row r="20781">
      <c r="P20781" s="42"/>
      <c r="AB20781" s="38"/>
    </row>
    <row r="20782">
      <c r="P20782" s="42"/>
      <c r="AB20782" s="38"/>
    </row>
    <row r="20783">
      <c r="P20783" s="42"/>
      <c r="AB20783" s="38"/>
    </row>
    <row r="20784">
      <c r="P20784" s="42"/>
      <c r="AB20784" s="38"/>
    </row>
    <row r="20785">
      <c r="P20785" s="42"/>
      <c r="AB20785" s="38"/>
    </row>
    <row r="20786">
      <c r="P20786" s="42"/>
      <c r="AB20786" s="38"/>
    </row>
    <row r="20787">
      <c r="P20787" s="42"/>
      <c r="AB20787" s="38"/>
    </row>
    <row r="20788">
      <c r="P20788" s="42"/>
      <c r="AB20788" s="38"/>
    </row>
    <row r="20789">
      <c r="P20789" s="42"/>
      <c r="AB20789" s="38"/>
    </row>
    <row r="20790">
      <c r="P20790" s="42"/>
      <c r="AB20790" s="38"/>
    </row>
    <row r="20791">
      <c r="P20791" s="42"/>
      <c r="AB20791" s="38"/>
    </row>
    <row r="20792">
      <c r="P20792" s="42"/>
      <c r="AB20792" s="38"/>
    </row>
    <row r="20793">
      <c r="P20793" s="42"/>
      <c r="AB20793" s="38"/>
    </row>
    <row r="20794">
      <c r="P20794" s="42"/>
      <c r="AB20794" s="38"/>
    </row>
    <row r="20795">
      <c r="P20795" s="42"/>
      <c r="AB20795" s="38"/>
    </row>
    <row r="20796">
      <c r="P20796" s="42"/>
      <c r="AB20796" s="38"/>
    </row>
    <row r="20797">
      <c r="P20797" s="42"/>
      <c r="AB20797" s="38"/>
    </row>
    <row r="20798">
      <c r="P20798" s="42"/>
      <c r="AB20798" s="38"/>
    </row>
    <row r="20799">
      <c r="P20799" s="42"/>
      <c r="AB20799" s="38"/>
    </row>
    <row r="20800">
      <c r="P20800" s="42"/>
      <c r="AB20800" s="38"/>
    </row>
    <row r="20801">
      <c r="P20801" s="42"/>
      <c r="AB20801" s="38"/>
    </row>
    <row r="20802">
      <c r="P20802" s="42"/>
      <c r="AB20802" s="38"/>
    </row>
    <row r="20803">
      <c r="P20803" s="42"/>
      <c r="AB20803" s="38"/>
    </row>
    <row r="20804">
      <c r="P20804" s="42"/>
      <c r="AB20804" s="38"/>
    </row>
    <row r="20805">
      <c r="P20805" s="42"/>
      <c r="AB20805" s="38"/>
    </row>
    <row r="20806">
      <c r="P20806" s="42"/>
      <c r="AB20806" s="38"/>
    </row>
    <row r="20807">
      <c r="P20807" s="42"/>
      <c r="AB20807" s="38"/>
    </row>
    <row r="20808">
      <c r="P20808" s="42"/>
      <c r="AB20808" s="38"/>
    </row>
    <row r="20809">
      <c r="P20809" s="42"/>
      <c r="AB20809" s="38"/>
    </row>
    <row r="20810">
      <c r="P20810" s="42"/>
      <c r="AB20810" s="38"/>
    </row>
    <row r="20811">
      <c r="P20811" s="42"/>
      <c r="AB20811" s="38"/>
    </row>
    <row r="20812">
      <c r="P20812" s="42"/>
      <c r="AB20812" s="38"/>
    </row>
    <row r="20813">
      <c r="P20813" s="42"/>
      <c r="AB20813" s="38"/>
    </row>
    <row r="20814">
      <c r="P20814" s="42"/>
      <c r="AB20814" s="38"/>
    </row>
    <row r="20815">
      <c r="P20815" s="42"/>
      <c r="AB20815" s="38"/>
    </row>
    <row r="20816">
      <c r="P20816" s="42"/>
      <c r="AB20816" s="38"/>
    </row>
    <row r="20817">
      <c r="P20817" s="42"/>
      <c r="AB20817" s="38"/>
    </row>
    <row r="20818">
      <c r="P20818" s="42"/>
      <c r="AB20818" s="38"/>
    </row>
    <row r="20819">
      <c r="P20819" s="42"/>
      <c r="AB20819" s="38"/>
    </row>
    <row r="20820">
      <c r="P20820" s="42"/>
      <c r="AB20820" s="38"/>
    </row>
    <row r="20821">
      <c r="P20821" s="42"/>
      <c r="AB20821" s="38"/>
    </row>
    <row r="20822">
      <c r="P20822" s="42"/>
      <c r="AB20822" s="38"/>
    </row>
    <row r="20823">
      <c r="P20823" s="42"/>
      <c r="AB20823" s="38"/>
    </row>
    <row r="20824">
      <c r="P20824" s="42"/>
      <c r="AB20824" s="38"/>
    </row>
    <row r="20825">
      <c r="P20825" s="42"/>
      <c r="AB20825" s="38"/>
    </row>
    <row r="20826">
      <c r="P20826" s="42"/>
      <c r="AB20826" s="38"/>
    </row>
    <row r="20827">
      <c r="P20827" s="42"/>
      <c r="AB20827" s="38"/>
    </row>
    <row r="20828">
      <c r="P20828" s="42"/>
      <c r="AB20828" s="38"/>
    </row>
    <row r="20829">
      <c r="P20829" s="42"/>
      <c r="AB20829" s="38"/>
    </row>
    <row r="20830">
      <c r="P20830" s="42"/>
      <c r="AB20830" s="38"/>
    </row>
    <row r="20831">
      <c r="P20831" s="42"/>
      <c r="AB20831" s="38"/>
    </row>
    <row r="20832">
      <c r="P20832" s="42"/>
      <c r="AB20832" s="38"/>
    </row>
    <row r="20833">
      <c r="P20833" s="42"/>
      <c r="AB20833" s="38"/>
    </row>
    <row r="20834">
      <c r="P20834" s="42"/>
      <c r="AB20834" s="38"/>
    </row>
    <row r="20835">
      <c r="P20835" s="42"/>
      <c r="AB20835" s="38"/>
    </row>
    <row r="20836">
      <c r="P20836" s="42"/>
      <c r="AB20836" s="38"/>
    </row>
    <row r="20837">
      <c r="P20837" s="42"/>
      <c r="AB20837" s="38"/>
    </row>
    <row r="20838">
      <c r="P20838" s="42"/>
      <c r="AB20838" s="38"/>
    </row>
    <row r="20839">
      <c r="P20839" s="42"/>
      <c r="AB20839" s="38"/>
    </row>
    <row r="20840">
      <c r="P20840" s="42"/>
      <c r="AB20840" s="38"/>
    </row>
    <row r="20841">
      <c r="P20841" s="42"/>
      <c r="AB20841" s="38"/>
    </row>
    <row r="20842">
      <c r="P20842" s="42"/>
      <c r="AB20842" s="38"/>
    </row>
    <row r="20843">
      <c r="P20843" s="42"/>
      <c r="AB20843" s="38"/>
    </row>
    <row r="20844">
      <c r="P20844" s="42"/>
      <c r="AB20844" s="38"/>
    </row>
    <row r="20845">
      <c r="P20845" s="42"/>
      <c r="AB20845" s="38"/>
    </row>
    <row r="20846">
      <c r="P20846" s="42"/>
      <c r="AB20846" s="38"/>
    </row>
    <row r="20847">
      <c r="P20847" s="42"/>
      <c r="AB20847" s="38"/>
    </row>
    <row r="20848">
      <c r="P20848" s="42"/>
      <c r="AB20848" s="38"/>
    </row>
    <row r="20849">
      <c r="P20849" s="42"/>
      <c r="AB20849" s="38"/>
    </row>
    <row r="20850">
      <c r="P20850" s="42"/>
      <c r="AB20850" s="38"/>
    </row>
    <row r="20851">
      <c r="P20851" s="42"/>
      <c r="AB20851" s="38"/>
    </row>
    <row r="20852">
      <c r="P20852" s="42"/>
      <c r="AB20852" s="38"/>
    </row>
    <row r="20853">
      <c r="P20853" s="42"/>
      <c r="AB20853" s="38"/>
    </row>
    <row r="20854">
      <c r="P20854" s="42"/>
      <c r="AB20854" s="38"/>
    </row>
    <row r="20855">
      <c r="P20855" s="42"/>
      <c r="AB20855" s="38"/>
    </row>
    <row r="20856">
      <c r="P20856" s="42"/>
      <c r="AB20856" s="38"/>
    </row>
    <row r="20857">
      <c r="P20857" s="42"/>
      <c r="AB20857" s="38"/>
    </row>
    <row r="20858">
      <c r="P20858" s="42"/>
      <c r="AB20858" s="38"/>
    </row>
    <row r="20859">
      <c r="P20859" s="42"/>
      <c r="AB20859" s="38"/>
    </row>
    <row r="20860">
      <c r="P20860" s="42"/>
      <c r="AB20860" s="38"/>
    </row>
    <row r="20861">
      <c r="P20861" s="42"/>
      <c r="AB20861" s="38"/>
    </row>
    <row r="20862">
      <c r="P20862" s="42"/>
      <c r="AB20862" s="38"/>
    </row>
    <row r="20863">
      <c r="P20863" s="42"/>
      <c r="AB20863" s="38"/>
    </row>
    <row r="20864">
      <c r="P20864" s="42"/>
      <c r="AB20864" s="38"/>
    </row>
    <row r="20865">
      <c r="P20865" s="42"/>
      <c r="AB20865" s="38"/>
    </row>
    <row r="20866">
      <c r="P20866" s="42"/>
      <c r="AB20866" s="38"/>
    </row>
    <row r="20867">
      <c r="P20867" s="42"/>
      <c r="AB20867" s="38"/>
    </row>
    <row r="20868">
      <c r="P20868" s="42"/>
      <c r="AB20868" s="38"/>
    </row>
    <row r="20869">
      <c r="P20869" s="42"/>
      <c r="AB20869" s="38"/>
    </row>
    <row r="20870">
      <c r="P20870" s="42"/>
      <c r="AB20870" s="38"/>
    </row>
    <row r="20871">
      <c r="P20871" s="42"/>
      <c r="AB20871" s="38"/>
    </row>
    <row r="20872">
      <c r="P20872" s="42"/>
      <c r="AB20872" s="38"/>
    </row>
    <row r="20873">
      <c r="P20873" s="42"/>
      <c r="AB20873" s="38"/>
    </row>
    <row r="20874">
      <c r="P20874" s="42"/>
      <c r="AB20874" s="38"/>
    </row>
    <row r="20875">
      <c r="P20875" s="42"/>
      <c r="AB20875" s="38"/>
    </row>
    <row r="20876">
      <c r="P20876" s="42"/>
      <c r="AB20876" s="38"/>
    </row>
    <row r="20877">
      <c r="P20877" s="42"/>
      <c r="AB20877" s="38"/>
    </row>
    <row r="20878">
      <c r="P20878" s="42"/>
      <c r="AB20878" s="38"/>
    </row>
    <row r="20879">
      <c r="P20879" s="42"/>
      <c r="AB20879" s="38"/>
    </row>
    <row r="20880">
      <c r="P20880" s="42"/>
      <c r="AB20880" s="38"/>
    </row>
    <row r="20881">
      <c r="P20881" s="42"/>
      <c r="AB20881" s="38"/>
    </row>
    <row r="20882">
      <c r="P20882" s="42"/>
      <c r="AB20882" s="38"/>
    </row>
    <row r="20883">
      <c r="P20883" s="42"/>
      <c r="AB20883" s="38"/>
    </row>
    <row r="20884">
      <c r="P20884" s="42"/>
      <c r="AB20884" s="38"/>
    </row>
    <row r="20885">
      <c r="P20885" s="42"/>
      <c r="AB20885" s="38"/>
    </row>
    <row r="20886">
      <c r="P20886" s="42"/>
      <c r="AB20886" s="38"/>
    </row>
    <row r="20887">
      <c r="P20887" s="42"/>
      <c r="AB20887" s="38"/>
    </row>
    <row r="20888">
      <c r="P20888" s="42"/>
      <c r="AB20888" s="38"/>
    </row>
    <row r="20889">
      <c r="P20889" s="42"/>
      <c r="AB20889" s="38"/>
    </row>
    <row r="20890">
      <c r="P20890" s="42"/>
      <c r="AB20890" s="38"/>
    </row>
    <row r="20891">
      <c r="P20891" s="42"/>
      <c r="AB20891" s="38"/>
    </row>
    <row r="20892">
      <c r="P20892" s="42"/>
      <c r="AB20892" s="38"/>
    </row>
    <row r="20893">
      <c r="P20893" s="42"/>
      <c r="AB20893" s="38"/>
    </row>
    <row r="20894">
      <c r="P20894" s="42"/>
      <c r="AB20894" s="38"/>
    </row>
    <row r="20895">
      <c r="P20895" s="42"/>
      <c r="AB20895" s="38"/>
    </row>
    <row r="20896">
      <c r="P20896" s="42"/>
      <c r="AB20896" s="38"/>
    </row>
    <row r="20897">
      <c r="P20897" s="42"/>
      <c r="AB20897" s="38"/>
    </row>
    <row r="20898">
      <c r="P20898" s="42"/>
      <c r="AB20898" s="38"/>
    </row>
    <row r="20899">
      <c r="P20899" s="42"/>
      <c r="AB20899" s="38"/>
    </row>
    <row r="20900">
      <c r="P20900" s="42"/>
      <c r="AB20900" s="38"/>
    </row>
    <row r="20901">
      <c r="P20901" s="42"/>
      <c r="AB20901" s="38"/>
    </row>
    <row r="20902">
      <c r="P20902" s="42"/>
      <c r="AB20902" s="38"/>
    </row>
    <row r="20903">
      <c r="P20903" s="42"/>
      <c r="AB20903" s="38"/>
    </row>
    <row r="20904">
      <c r="P20904" s="42"/>
      <c r="AB20904" s="38"/>
    </row>
    <row r="20905">
      <c r="P20905" s="42"/>
      <c r="AB20905" s="38"/>
    </row>
    <row r="20906">
      <c r="P20906" s="42"/>
      <c r="AB20906" s="38"/>
    </row>
    <row r="20907">
      <c r="P20907" s="42"/>
      <c r="AB20907" s="38"/>
    </row>
    <row r="20908">
      <c r="P20908" s="42"/>
      <c r="AB20908" s="38"/>
    </row>
    <row r="20909">
      <c r="P20909" s="42"/>
      <c r="AB20909" s="38"/>
    </row>
    <row r="20910">
      <c r="P20910" s="42"/>
      <c r="AB20910" s="38"/>
    </row>
    <row r="20911">
      <c r="P20911" s="42"/>
      <c r="AB20911" s="38"/>
    </row>
    <row r="20912">
      <c r="P20912" s="42"/>
      <c r="AB20912" s="38"/>
    </row>
    <row r="20913">
      <c r="P20913" s="42"/>
      <c r="AB20913" s="38"/>
    </row>
    <row r="20914">
      <c r="P20914" s="42"/>
      <c r="AB20914" s="38"/>
    </row>
    <row r="20915">
      <c r="P20915" s="42"/>
      <c r="AB20915" s="38"/>
    </row>
    <row r="20916">
      <c r="P20916" s="42"/>
      <c r="AB20916" s="38"/>
    </row>
    <row r="20917">
      <c r="P20917" s="42"/>
      <c r="AB20917" s="38"/>
    </row>
    <row r="20918">
      <c r="P20918" s="42"/>
      <c r="AB20918" s="38"/>
    </row>
    <row r="20919">
      <c r="P20919" s="42"/>
      <c r="AB20919" s="38"/>
    </row>
    <row r="20920">
      <c r="P20920" s="42"/>
      <c r="AB20920" s="38"/>
    </row>
    <row r="20921">
      <c r="P20921" s="42"/>
      <c r="AB20921" s="38"/>
    </row>
    <row r="20922">
      <c r="P20922" s="42"/>
      <c r="AB20922" s="38"/>
    </row>
    <row r="20923">
      <c r="P20923" s="42"/>
      <c r="AB20923" s="38"/>
    </row>
    <row r="20924">
      <c r="P20924" s="42"/>
      <c r="AB20924" s="38"/>
    </row>
    <row r="20925">
      <c r="P20925" s="42"/>
      <c r="AB20925" s="38"/>
    </row>
    <row r="20926">
      <c r="P20926" s="42"/>
      <c r="AB20926" s="38"/>
    </row>
    <row r="20927">
      <c r="P20927" s="42"/>
      <c r="AB20927" s="38"/>
    </row>
    <row r="20928">
      <c r="P20928" s="42"/>
      <c r="AB20928" s="38"/>
    </row>
    <row r="20929">
      <c r="P20929" s="42"/>
      <c r="AB20929" s="38"/>
    </row>
    <row r="20930">
      <c r="P20930" s="42"/>
      <c r="AB20930" s="38"/>
    </row>
    <row r="20931">
      <c r="P20931" s="42"/>
      <c r="AB20931" s="38"/>
    </row>
    <row r="20932">
      <c r="P20932" s="42"/>
      <c r="AB20932" s="38"/>
    </row>
    <row r="20933">
      <c r="P20933" s="42"/>
      <c r="AB20933" s="38"/>
    </row>
    <row r="20934">
      <c r="P20934" s="42"/>
      <c r="AB20934" s="38"/>
    </row>
    <row r="20935">
      <c r="P20935" s="42"/>
      <c r="AB20935" s="38"/>
    </row>
    <row r="20936">
      <c r="P20936" s="42"/>
      <c r="AB20936" s="38"/>
    </row>
    <row r="20937">
      <c r="P20937" s="42"/>
      <c r="AB20937" s="38"/>
    </row>
    <row r="20938">
      <c r="P20938" s="42"/>
      <c r="AB20938" s="38"/>
    </row>
    <row r="20939">
      <c r="P20939" s="42"/>
      <c r="AB20939" s="38"/>
    </row>
    <row r="20940">
      <c r="P20940" s="42"/>
      <c r="AB20940" s="38"/>
    </row>
    <row r="20941">
      <c r="P20941" s="42"/>
      <c r="AB20941" s="38"/>
    </row>
    <row r="20942">
      <c r="P20942" s="42"/>
      <c r="AB20942" s="38"/>
    </row>
    <row r="20943">
      <c r="P20943" s="42"/>
      <c r="AB20943" s="38"/>
    </row>
    <row r="20944">
      <c r="P20944" s="42"/>
      <c r="AB20944" s="38"/>
    </row>
    <row r="20945">
      <c r="P20945" s="42"/>
      <c r="AB20945" s="38"/>
    </row>
    <row r="20946">
      <c r="P20946" s="42"/>
      <c r="AB20946" s="38"/>
    </row>
    <row r="20947">
      <c r="P20947" s="42"/>
      <c r="AB20947" s="38"/>
    </row>
    <row r="20948">
      <c r="P20948" s="42"/>
      <c r="AB20948" s="38"/>
    </row>
    <row r="20949">
      <c r="P20949" s="42"/>
      <c r="AB20949" s="38"/>
    </row>
    <row r="20950">
      <c r="P20950" s="42"/>
      <c r="AB20950" s="38"/>
    </row>
    <row r="20951">
      <c r="P20951" s="42"/>
      <c r="AB20951" s="38"/>
    </row>
    <row r="20952">
      <c r="P20952" s="42"/>
      <c r="AB20952" s="38"/>
    </row>
    <row r="20953">
      <c r="P20953" s="42"/>
      <c r="AB20953" s="38"/>
    </row>
    <row r="20954">
      <c r="P20954" s="42"/>
      <c r="AB20954" s="38"/>
    </row>
    <row r="20955">
      <c r="P20955" s="42"/>
      <c r="AB20955" s="38"/>
    </row>
    <row r="20956">
      <c r="P20956" s="42"/>
      <c r="AB20956" s="38"/>
    </row>
    <row r="20957">
      <c r="P20957" s="42"/>
      <c r="AB20957" s="38"/>
    </row>
    <row r="20958">
      <c r="P20958" s="42"/>
      <c r="AB20958" s="38"/>
    </row>
    <row r="20959">
      <c r="P20959" s="42"/>
      <c r="AB20959" s="38"/>
    </row>
    <row r="20960">
      <c r="P20960" s="42"/>
      <c r="AB20960" s="38"/>
    </row>
    <row r="20961">
      <c r="P20961" s="42"/>
      <c r="AB20961" s="38"/>
    </row>
    <row r="20962">
      <c r="P20962" s="42"/>
      <c r="AB20962" s="38"/>
    </row>
    <row r="20963">
      <c r="P20963" s="42"/>
      <c r="AB20963" s="38"/>
    </row>
    <row r="20964">
      <c r="P20964" s="42"/>
      <c r="AB20964" s="38"/>
    </row>
    <row r="20965">
      <c r="P20965" s="42"/>
      <c r="AB20965" s="38"/>
    </row>
    <row r="20966">
      <c r="P20966" s="42"/>
      <c r="AB20966" s="38"/>
    </row>
    <row r="20967">
      <c r="P20967" s="42"/>
      <c r="AB20967" s="38"/>
    </row>
    <row r="20968">
      <c r="P20968" s="42"/>
      <c r="AB20968" s="38"/>
    </row>
    <row r="20969">
      <c r="P20969" s="42"/>
      <c r="AB20969" s="38"/>
    </row>
    <row r="20970">
      <c r="P20970" s="42"/>
      <c r="AB20970" s="38"/>
    </row>
    <row r="20971">
      <c r="P20971" s="42"/>
      <c r="AB20971" s="38"/>
    </row>
    <row r="20972">
      <c r="P20972" s="42"/>
      <c r="AB20972" s="38"/>
    </row>
    <row r="20973">
      <c r="P20973" s="42"/>
      <c r="AB20973" s="38"/>
    </row>
    <row r="20974">
      <c r="P20974" s="42"/>
      <c r="AB20974" s="38"/>
    </row>
    <row r="20975">
      <c r="P20975" s="42"/>
      <c r="AB20975" s="38"/>
    </row>
    <row r="20976">
      <c r="P20976" s="42"/>
      <c r="AB20976" s="38"/>
    </row>
    <row r="20977">
      <c r="P20977" s="42"/>
      <c r="AB20977" s="38"/>
    </row>
    <row r="20978">
      <c r="P20978" s="42"/>
      <c r="AB20978" s="38"/>
    </row>
    <row r="20979">
      <c r="P20979" s="42"/>
      <c r="AB20979" s="38"/>
    </row>
    <row r="20980">
      <c r="P20980" s="42"/>
      <c r="AB20980" s="38"/>
    </row>
    <row r="20981">
      <c r="P20981" s="42"/>
      <c r="AB20981" s="38"/>
    </row>
    <row r="20982">
      <c r="P20982" s="42"/>
      <c r="AB20982" s="38"/>
    </row>
    <row r="20983">
      <c r="P20983" s="42"/>
      <c r="AB20983" s="38"/>
    </row>
    <row r="20984">
      <c r="P20984" s="42"/>
      <c r="AB20984" s="38"/>
    </row>
    <row r="20985">
      <c r="P20985" s="42"/>
      <c r="AB20985" s="38"/>
    </row>
    <row r="20986">
      <c r="P20986" s="42"/>
      <c r="AB20986" s="38"/>
    </row>
    <row r="20987">
      <c r="P20987" s="42"/>
      <c r="AB20987" s="38"/>
    </row>
    <row r="20988">
      <c r="P20988" s="42"/>
      <c r="AB20988" s="38"/>
    </row>
    <row r="20989">
      <c r="P20989" s="42"/>
      <c r="AB20989" s="38"/>
    </row>
    <row r="20990">
      <c r="P20990" s="42"/>
      <c r="AB20990" s="38"/>
    </row>
    <row r="20991">
      <c r="P20991" s="42"/>
      <c r="AB20991" s="38"/>
    </row>
    <row r="20992">
      <c r="P20992" s="42"/>
      <c r="AB20992" s="38"/>
    </row>
    <row r="20993">
      <c r="P20993" s="42"/>
      <c r="AB20993" s="38"/>
    </row>
    <row r="20994">
      <c r="P20994" s="42"/>
      <c r="AB20994" s="38"/>
    </row>
    <row r="20995">
      <c r="P20995" s="42"/>
      <c r="AB20995" s="38"/>
    </row>
    <row r="20996">
      <c r="P20996" s="42"/>
      <c r="AB20996" s="38"/>
    </row>
    <row r="20997">
      <c r="P20997" s="42"/>
      <c r="AB20997" s="38"/>
    </row>
    <row r="20998">
      <c r="P20998" s="42"/>
      <c r="AB20998" s="38"/>
    </row>
    <row r="20999">
      <c r="P20999" s="42"/>
      <c r="AB20999" s="38"/>
    </row>
    <row r="21000">
      <c r="P21000" s="42"/>
      <c r="AB21000" s="38"/>
    </row>
    <row r="21001">
      <c r="P21001" s="42"/>
      <c r="AB21001" s="38"/>
    </row>
    <row r="21002">
      <c r="P21002" s="42"/>
      <c r="AB21002" s="38"/>
    </row>
    <row r="21003">
      <c r="P21003" s="42"/>
      <c r="AB21003" s="38"/>
    </row>
    <row r="21004">
      <c r="P21004" s="42"/>
      <c r="AB21004" s="38"/>
    </row>
    <row r="21005">
      <c r="P21005" s="42"/>
      <c r="AB21005" s="38"/>
    </row>
    <row r="21006">
      <c r="P21006" s="42"/>
      <c r="AB21006" s="38"/>
    </row>
    <row r="21007">
      <c r="P21007" s="42"/>
      <c r="AB21007" s="38"/>
    </row>
    <row r="21008">
      <c r="P21008" s="42"/>
      <c r="AB21008" s="38"/>
    </row>
    <row r="21009">
      <c r="P21009" s="42"/>
      <c r="AB21009" s="38"/>
    </row>
    <row r="21010">
      <c r="P21010" s="42"/>
      <c r="AB21010" s="38"/>
    </row>
    <row r="21011">
      <c r="P21011" s="42"/>
      <c r="AB21011" s="38"/>
    </row>
    <row r="21012">
      <c r="P21012" s="42"/>
      <c r="AB21012" s="38"/>
    </row>
    <row r="21013">
      <c r="P21013" s="42"/>
      <c r="AB21013" s="38"/>
    </row>
    <row r="21014">
      <c r="P21014" s="42"/>
      <c r="AB21014" s="38"/>
    </row>
    <row r="21015">
      <c r="P21015" s="42"/>
      <c r="AB21015" s="38"/>
    </row>
    <row r="21016">
      <c r="P21016" s="42"/>
      <c r="AB21016" s="38"/>
    </row>
    <row r="21017">
      <c r="P21017" s="42"/>
      <c r="AB21017" s="38"/>
    </row>
    <row r="21018">
      <c r="P21018" s="42"/>
      <c r="AB21018" s="38"/>
    </row>
    <row r="21019">
      <c r="P21019" s="42"/>
      <c r="AB21019" s="38"/>
    </row>
    <row r="21020">
      <c r="P21020" s="42"/>
      <c r="AB21020" s="38"/>
    </row>
    <row r="21021">
      <c r="P21021" s="42"/>
      <c r="AB21021" s="38"/>
    </row>
    <row r="21022">
      <c r="P21022" s="42"/>
      <c r="AB21022" s="38"/>
    </row>
    <row r="21023">
      <c r="P21023" s="42"/>
      <c r="AB21023" s="38"/>
    </row>
    <row r="21024">
      <c r="P21024" s="42"/>
      <c r="AB21024" s="38"/>
    </row>
    <row r="21025">
      <c r="P21025" s="42"/>
      <c r="AB21025" s="38"/>
    </row>
    <row r="21026">
      <c r="P21026" s="42"/>
      <c r="AB21026" s="38"/>
    </row>
    <row r="21027">
      <c r="P21027" s="42"/>
      <c r="AB21027" s="38"/>
    </row>
    <row r="21028">
      <c r="P21028" s="42"/>
      <c r="AB21028" s="38"/>
    </row>
    <row r="21029">
      <c r="P21029" s="42"/>
      <c r="AB21029" s="38"/>
    </row>
    <row r="21030">
      <c r="P21030" s="42"/>
      <c r="AB21030" s="38"/>
    </row>
    <row r="21031">
      <c r="P21031" s="42"/>
      <c r="AB21031" s="38"/>
    </row>
    <row r="21032">
      <c r="P21032" s="42"/>
      <c r="AB21032" s="38"/>
    </row>
    <row r="21033">
      <c r="P21033" s="42"/>
      <c r="AB21033" s="38"/>
    </row>
    <row r="21034">
      <c r="P21034" s="42"/>
      <c r="AB21034" s="38"/>
    </row>
    <row r="21035">
      <c r="P21035" s="42"/>
      <c r="AB21035" s="38"/>
    </row>
    <row r="21036">
      <c r="P21036" s="42"/>
      <c r="AB21036" s="38"/>
    </row>
    <row r="21037">
      <c r="P21037" s="42"/>
      <c r="AB21037" s="38"/>
    </row>
    <row r="21038">
      <c r="P21038" s="42"/>
      <c r="AB21038" s="38"/>
    </row>
    <row r="21039">
      <c r="P21039" s="42"/>
      <c r="AB21039" s="38"/>
    </row>
    <row r="21040">
      <c r="P21040" s="42"/>
      <c r="AB21040" s="38"/>
    </row>
    <row r="21041">
      <c r="P21041" s="42"/>
      <c r="AB21041" s="38"/>
    </row>
    <row r="21042">
      <c r="P21042" s="42"/>
      <c r="AB21042" s="38"/>
    </row>
    <row r="21043">
      <c r="P21043" s="42"/>
      <c r="AB21043" s="38"/>
    </row>
    <row r="21044">
      <c r="P21044" s="42"/>
      <c r="AB21044" s="38"/>
    </row>
    <row r="21045">
      <c r="P21045" s="42"/>
      <c r="AB21045" s="38"/>
    </row>
    <row r="21046">
      <c r="P21046" s="42"/>
      <c r="AB21046" s="38"/>
    </row>
    <row r="21047">
      <c r="P21047" s="42"/>
      <c r="AB21047" s="38"/>
    </row>
    <row r="21048">
      <c r="P21048" s="42"/>
      <c r="AB21048" s="38"/>
    </row>
    <row r="21049">
      <c r="P21049" s="42"/>
      <c r="AB21049" s="38"/>
    </row>
    <row r="21050">
      <c r="P21050" s="42"/>
      <c r="AB21050" s="38"/>
    </row>
    <row r="21051">
      <c r="P21051" s="42"/>
      <c r="AB21051" s="38"/>
    </row>
    <row r="21052">
      <c r="P21052" s="42"/>
      <c r="AB21052" s="38"/>
    </row>
    <row r="21053">
      <c r="P21053" s="42"/>
      <c r="AB21053" s="38"/>
    </row>
    <row r="21054">
      <c r="P21054" s="42"/>
      <c r="AB21054" s="38"/>
    </row>
    <row r="21055">
      <c r="P21055" s="42"/>
      <c r="AB21055" s="38"/>
    </row>
    <row r="21056">
      <c r="P21056" s="42"/>
      <c r="AB21056" s="38"/>
    </row>
    <row r="21057">
      <c r="P21057" s="42"/>
      <c r="AB21057" s="38"/>
    </row>
    <row r="21058">
      <c r="P21058" s="42"/>
      <c r="AB21058" s="38"/>
    </row>
    <row r="21059">
      <c r="P21059" s="42"/>
      <c r="AB21059" s="38"/>
    </row>
    <row r="21060">
      <c r="P21060" s="42"/>
      <c r="AB21060" s="38"/>
    </row>
    <row r="21061">
      <c r="P21061" s="42"/>
      <c r="AB21061" s="38"/>
    </row>
    <row r="21062">
      <c r="P21062" s="42"/>
      <c r="AB21062" s="38"/>
    </row>
    <row r="21063">
      <c r="P21063" s="42"/>
      <c r="AB21063" s="38"/>
    </row>
    <row r="21064">
      <c r="P21064" s="42"/>
      <c r="AB21064" s="38"/>
    </row>
    <row r="21065">
      <c r="P21065" s="42"/>
      <c r="AB21065" s="38"/>
    </row>
    <row r="21066">
      <c r="P21066" s="42"/>
      <c r="AB21066" s="38"/>
    </row>
    <row r="21067">
      <c r="P21067" s="42"/>
      <c r="AB21067" s="38"/>
    </row>
    <row r="21068">
      <c r="P21068" s="42"/>
      <c r="AB21068" s="38"/>
    </row>
    <row r="21069">
      <c r="P21069" s="42"/>
      <c r="AB21069" s="38"/>
    </row>
    <row r="21070">
      <c r="P21070" s="42"/>
      <c r="AB21070" s="38"/>
    </row>
    <row r="21071">
      <c r="P21071" s="42"/>
      <c r="AB21071" s="38"/>
    </row>
    <row r="21072">
      <c r="P21072" s="42"/>
      <c r="AB21072" s="38"/>
    </row>
    <row r="21073">
      <c r="P21073" s="42"/>
      <c r="AB21073" s="38"/>
    </row>
    <row r="21074">
      <c r="P21074" s="42"/>
      <c r="AB21074" s="38"/>
    </row>
    <row r="21075">
      <c r="P21075" s="42"/>
      <c r="AB21075" s="38"/>
    </row>
    <row r="21076">
      <c r="P21076" s="42"/>
      <c r="AB21076" s="38"/>
    </row>
    <row r="21077">
      <c r="P21077" s="42"/>
      <c r="AB21077" s="38"/>
    </row>
    <row r="21078">
      <c r="P21078" s="42"/>
      <c r="AB21078" s="38"/>
    </row>
    <row r="21079">
      <c r="P21079" s="42"/>
      <c r="AB21079" s="38"/>
    </row>
    <row r="21080">
      <c r="P21080" s="42"/>
      <c r="AB21080" s="38"/>
    </row>
    <row r="21081">
      <c r="P21081" s="42"/>
      <c r="AB21081" s="38"/>
    </row>
    <row r="21082">
      <c r="P21082" s="42"/>
      <c r="AB21082" s="38"/>
    </row>
    <row r="21083">
      <c r="P21083" s="42"/>
      <c r="AB21083" s="38"/>
    </row>
    <row r="21084">
      <c r="P21084" s="42"/>
      <c r="AB21084" s="38"/>
    </row>
    <row r="21085">
      <c r="P21085" s="42"/>
      <c r="AB21085" s="38"/>
    </row>
    <row r="21086">
      <c r="P21086" s="42"/>
      <c r="AB21086" s="38"/>
    </row>
    <row r="21087">
      <c r="P21087" s="42"/>
      <c r="AB21087" s="38"/>
    </row>
    <row r="21088">
      <c r="P21088" s="42"/>
      <c r="AB21088" s="38"/>
    </row>
    <row r="21089">
      <c r="P21089" s="42"/>
      <c r="AB21089" s="38"/>
    </row>
    <row r="21090">
      <c r="P21090" s="42"/>
      <c r="AB21090" s="38"/>
    </row>
    <row r="21091">
      <c r="P21091" s="42"/>
      <c r="AB21091" s="38"/>
    </row>
    <row r="21092">
      <c r="P21092" s="42"/>
      <c r="AB21092" s="38"/>
    </row>
    <row r="21093">
      <c r="P21093" s="42"/>
      <c r="AB21093" s="38"/>
    </row>
    <row r="21094">
      <c r="P21094" s="42"/>
      <c r="AB21094" s="38"/>
    </row>
    <row r="21095">
      <c r="P21095" s="42"/>
      <c r="AB21095" s="38"/>
    </row>
    <row r="21096">
      <c r="P21096" s="42"/>
      <c r="AB21096" s="38"/>
    </row>
    <row r="21097">
      <c r="P21097" s="42"/>
      <c r="AB21097" s="38"/>
    </row>
    <row r="21098">
      <c r="P21098" s="42"/>
      <c r="AB21098" s="38"/>
    </row>
    <row r="21099">
      <c r="P21099" s="42"/>
      <c r="AB21099" s="38"/>
    </row>
    <row r="21100">
      <c r="P21100" s="42"/>
      <c r="AB21100" s="38"/>
    </row>
    <row r="21101">
      <c r="P21101" s="42"/>
      <c r="AB21101" s="38"/>
    </row>
    <row r="21102">
      <c r="P21102" s="42"/>
      <c r="AB21102" s="38"/>
    </row>
    <row r="21103">
      <c r="P21103" s="42"/>
      <c r="AB21103" s="38"/>
    </row>
    <row r="21104">
      <c r="P21104" s="42"/>
      <c r="AB21104" s="38"/>
    </row>
    <row r="21105">
      <c r="P21105" s="42"/>
      <c r="AB21105" s="38"/>
    </row>
    <row r="21106">
      <c r="P21106" s="42"/>
      <c r="AB21106" s="38"/>
    </row>
    <row r="21107">
      <c r="P21107" s="42"/>
      <c r="AB21107" s="38"/>
    </row>
    <row r="21108">
      <c r="P21108" s="42"/>
      <c r="AB21108" s="38"/>
    </row>
    <row r="21109">
      <c r="P21109" s="42"/>
      <c r="AB21109" s="38"/>
    </row>
    <row r="21110">
      <c r="P21110" s="42"/>
      <c r="AB21110" s="38"/>
    </row>
    <row r="21111">
      <c r="P21111" s="42"/>
      <c r="AB21111" s="38"/>
    </row>
    <row r="21112">
      <c r="P21112" s="42"/>
      <c r="AB21112" s="38"/>
    </row>
    <row r="21113">
      <c r="P21113" s="42"/>
      <c r="AB21113" s="38"/>
    </row>
    <row r="21114">
      <c r="P21114" s="42"/>
      <c r="AB21114" s="38"/>
    </row>
    <row r="21115">
      <c r="P21115" s="42"/>
      <c r="AB21115" s="38"/>
    </row>
    <row r="21116">
      <c r="P21116" s="42"/>
      <c r="AB21116" s="38"/>
    </row>
    <row r="21117">
      <c r="P21117" s="42"/>
      <c r="AB21117" s="38"/>
    </row>
    <row r="21118">
      <c r="P21118" s="42"/>
      <c r="AB21118" s="38"/>
    </row>
    <row r="21119">
      <c r="P21119" s="42"/>
      <c r="AB21119" s="38"/>
    </row>
    <row r="21120">
      <c r="P21120" s="42"/>
      <c r="AB21120" s="38"/>
    </row>
    <row r="21121">
      <c r="P21121" s="42"/>
      <c r="AB21121" s="38"/>
    </row>
    <row r="21122">
      <c r="P21122" s="42"/>
      <c r="AB21122" s="38"/>
    </row>
    <row r="21123">
      <c r="P21123" s="42"/>
      <c r="AB21123" s="38"/>
    </row>
    <row r="21124">
      <c r="P21124" s="42"/>
      <c r="AB21124" s="38"/>
    </row>
    <row r="21125">
      <c r="P21125" s="42"/>
      <c r="AB21125" s="38"/>
    </row>
    <row r="21126">
      <c r="P21126" s="42"/>
      <c r="AB21126" s="38"/>
    </row>
    <row r="21127">
      <c r="P21127" s="42"/>
      <c r="AB21127" s="38"/>
    </row>
    <row r="21128">
      <c r="P21128" s="42"/>
      <c r="AB21128" s="38"/>
    </row>
    <row r="21129">
      <c r="P21129" s="42"/>
      <c r="AB21129" s="38"/>
    </row>
    <row r="21130">
      <c r="P21130" s="42"/>
      <c r="AB21130" s="38"/>
    </row>
    <row r="21131">
      <c r="P21131" s="42"/>
      <c r="AB21131" s="38"/>
    </row>
    <row r="21132">
      <c r="P21132" s="42"/>
      <c r="AB21132" s="38"/>
    </row>
    <row r="21133">
      <c r="P21133" s="42"/>
      <c r="AB21133" s="38"/>
    </row>
    <row r="21134">
      <c r="P21134" s="42"/>
      <c r="AB21134" s="38"/>
    </row>
    <row r="21135">
      <c r="P21135" s="42"/>
      <c r="AB21135" s="38"/>
    </row>
    <row r="21136">
      <c r="P21136" s="42"/>
      <c r="AB21136" s="38"/>
    </row>
    <row r="21137">
      <c r="P21137" s="42"/>
      <c r="AB21137" s="38"/>
    </row>
    <row r="21138">
      <c r="P21138" s="42"/>
      <c r="AB21138" s="38"/>
    </row>
    <row r="21139">
      <c r="P21139" s="42"/>
      <c r="AB21139" s="38"/>
    </row>
    <row r="21140">
      <c r="P21140" s="42"/>
      <c r="AB21140" s="38"/>
    </row>
    <row r="21141">
      <c r="P21141" s="42"/>
      <c r="AB21141" s="38"/>
    </row>
    <row r="21142">
      <c r="P21142" s="42"/>
      <c r="AB21142" s="38"/>
    </row>
    <row r="21143">
      <c r="P21143" s="42"/>
      <c r="AB21143" s="38"/>
    </row>
    <row r="21144">
      <c r="P21144" s="42"/>
      <c r="AB21144" s="38"/>
    </row>
    <row r="21145">
      <c r="P21145" s="42"/>
      <c r="AB21145" s="38"/>
    </row>
    <row r="21146">
      <c r="P21146" s="42"/>
      <c r="AB21146" s="38"/>
    </row>
    <row r="21147">
      <c r="P21147" s="42"/>
      <c r="AB21147" s="38"/>
    </row>
    <row r="21148">
      <c r="P21148" s="42"/>
      <c r="AB21148" s="38"/>
    </row>
    <row r="21149">
      <c r="P21149" s="42"/>
      <c r="AB21149" s="38"/>
    </row>
    <row r="21150">
      <c r="P21150" s="42"/>
      <c r="AB21150" s="38"/>
    </row>
    <row r="21151">
      <c r="P21151" s="42"/>
      <c r="AB21151" s="38"/>
    </row>
    <row r="21152">
      <c r="P21152" s="42"/>
      <c r="AB21152" s="38"/>
    </row>
    <row r="21153">
      <c r="P21153" s="42"/>
      <c r="AB21153" s="38"/>
    </row>
    <row r="21154">
      <c r="P21154" s="42"/>
      <c r="AB21154" s="38"/>
    </row>
    <row r="21155">
      <c r="P21155" s="42"/>
      <c r="AB21155" s="38"/>
    </row>
    <row r="21156">
      <c r="P21156" s="42"/>
      <c r="AB21156" s="38"/>
    </row>
    <row r="21157">
      <c r="P21157" s="42"/>
      <c r="AB21157" s="38"/>
    </row>
    <row r="21158">
      <c r="P21158" s="42"/>
      <c r="AB21158" s="38"/>
    </row>
    <row r="21159">
      <c r="P21159" s="42"/>
      <c r="AB21159" s="38"/>
    </row>
    <row r="21160">
      <c r="P21160" s="42"/>
      <c r="AB21160" s="38"/>
    </row>
    <row r="21161">
      <c r="P21161" s="42"/>
      <c r="AB21161" s="38"/>
    </row>
    <row r="21162">
      <c r="P21162" s="42"/>
      <c r="AB21162" s="38"/>
    </row>
    <row r="21163">
      <c r="P21163" s="42"/>
      <c r="AB21163" s="38"/>
    </row>
    <row r="21164">
      <c r="P21164" s="42"/>
      <c r="AB21164" s="38"/>
    </row>
    <row r="21165">
      <c r="P21165" s="42"/>
      <c r="AB21165" s="38"/>
    </row>
    <row r="21166">
      <c r="P21166" s="42"/>
      <c r="AB21166" s="38"/>
    </row>
    <row r="21167">
      <c r="P21167" s="42"/>
      <c r="AB21167" s="38"/>
    </row>
    <row r="21168">
      <c r="P21168" s="42"/>
      <c r="AB21168" s="38"/>
    </row>
    <row r="21169">
      <c r="P21169" s="42"/>
      <c r="AB21169" s="38"/>
    </row>
    <row r="21170">
      <c r="P21170" s="42"/>
      <c r="AB21170" s="38"/>
    </row>
    <row r="21171">
      <c r="P21171" s="42"/>
      <c r="AB21171" s="38"/>
    </row>
    <row r="21172">
      <c r="P21172" s="42"/>
      <c r="AB21172" s="38"/>
    </row>
    <row r="21173">
      <c r="P21173" s="42"/>
      <c r="AB21173" s="38"/>
    </row>
    <row r="21174">
      <c r="P21174" s="42"/>
      <c r="AB21174" s="38"/>
    </row>
    <row r="21175">
      <c r="P21175" s="42"/>
      <c r="AB21175" s="38"/>
    </row>
    <row r="21176">
      <c r="P21176" s="42"/>
      <c r="AB21176" s="38"/>
    </row>
    <row r="21177">
      <c r="P21177" s="42"/>
      <c r="AB21177" s="38"/>
    </row>
    <row r="21178">
      <c r="P21178" s="42"/>
      <c r="AB21178" s="38"/>
    </row>
    <row r="21179">
      <c r="P21179" s="42"/>
      <c r="AB21179" s="38"/>
    </row>
    <row r="21180">
      <c r="P21180" s="42"/>
      <c r="AB21180" s="38"/>
    </row>
    <row r="21181">
      <c r="P21181" s="42"/>
      <c r="AB21181" s="38"/>
    </row>
    <row r="21182">
      <c r="P21182" s="42"/>
      <c r="AB21182" s="38"/>
    </row>
    <row r="21183">
      <c r="P21183" s="42"/>
      <c r="AB21183" s="38"/>
    </row>
    <row r="21184">
      <c r="P21184" s="42"/>
      <c r="AB21184" s="38"/>
    </row>
    <row r="21185">
      <c r="P21185" s="42"/>
      <c r="AB21185" s="38"/>
    </row>
    <row r="21186">
      <c r="P21186" s="42"/>
      <c r="AB21186" s="38"/>
    </row>
    <row r="21187">
      <c r="P21187" s="42"/>
      <c r="AB21187" s="38"/>
    </row>
    <row r="21188">
      <c r="P21188" s="42"/>
      <c r="AB21188" s="38"/>
    </row>
    <row r="21189">
      <c r="P21189" s="42"/>
      <c r="AB21189" s="38"/>
    </row>
    <row r="21190">
      <c r="P21190" s="42"/>
      <c r="AB21190" s="38"/>
    </row>
    <row r="21191">
      <c r="P21191" s="42"/>
      <c r="AB21191" s="38"/>
    </row>
    <row r="21192">
      <c r="P21192" s="42"/>
      <c r="AB21192" s="38"/>
    </row>
    <row r="21193">
      <c r="P21193" s="42"/>
      <c r="AB21193" s="38"/>
    </row>
    <row r="21194">
      <c r="P21194" s="42"/>
      <c r="AB21194" s="38"/>
    </row>
    <row r="21195">
      <c r="P21195" s="42"/>
      <c r="AB21195" s="38"/>
    </row>
    <row r="21196">
      <c r="P21196" s="42"/>
      <c r="AB21196" s="38"/>
    </row>
    <row r="21197">
      <c r="P21197" s="42"/>
      <c r="AB21197" s="38"/>
    </row>
    <row r="21198">
      <c r="P21198" s="42"/>
      <c r="AB21198" s="38"/>
    </row>
    <row r="21199">
      <c r="P21199" s="42"/>
      <c r="AB21199" s="38"/>
    </row>
    <row r="21200">
      <c r="P21200" s="42"/>
      <c r="AB21200" s="38"/>
    </row>
    <row r="21201">
      <c r="P21201" s="42"/>
      <c r="AB21201" s="38"/>
    </row>
    <row r="21202">
      <c r="P21202" s="42"/>
      <c r="AB21202" s="38"/>
    </row>
    <row r="21203">
      <c r="P21203" s="42"/>
      <c r="AB21203" s="38"/>
    </row>
    <row r="21204">
      <c r="P21204" s="42"/>
      <c r="AB21204" s="38"/>
    </row>
    <row r="21205">
      <c r="P21205" s="42"/>
      <c r="AB21205" s="38"/>
    </row>
    <row r="21206">
      <c r="P21206" s="42"/>
      <c r="AB21206" s="38"/>
    </row>
    <row r="21207">
      <c r="P21207" s="42"/>
      <c r="AB21207" s="38"/>
    </row>
    <row r="21208">
      <c r="P21208" s="42"/>
      <c r="AB21208" s="38"/>
    </row>
    <row r="21209">
      <c r="P21209" s="42"/>
      <c r="AB21209" s="38"/>
    </row>
    <row r="21210">
      <c r="P21210" s="42"/>
      <c r="AB21210" s="38"/>
    </row>
    <row r="21211">
      <c r="P21211" s="42"/>
      <c r="AB21211" s="38"/>
    </row>
    <row r="21212">
      <c r="P21212" s="42"/>
      <c r="AB21212" s="38"/>
    </row>
    <row r="21213">
      <c r="P21213" s="42"/>
      <c r="AB21213" s="38"/>
    </row>
    <row r="21214">
      <c r="P21214" s="42"/>
      <c r="AB21214" s="38"/>
    </row>
    <row r="21215">
      <c r="P21215" s="42"/>
      <c r="AB21215" s="38"/>
    </row>
    <row r="21216">
      <c r="P21216" s="42"/>
      <c r="AB21216" s="38"/>
    </row>
    <row r="21217">
      <c r="P21217" s="42"/>
      <c r="AB21217" s="38"/>
    </row>
    <row r="21218">
      <c r="P21218" s="42"/>
      <c r="AB21218" s="38"/>
    </row>
    <row r="21219">
      <c r="P21219" s="42"/>
      <c r="AB21219" s="38"/>
    </row>
    <row r="21220">
      <c r="P21220" s="42"/>
      <c r="AB21220" s="38"/>
    </row>
    <row r="21221">
      <c r="P21221" s="42"/>
      <c r="AB21221" s="38"/>
    </row>
    <row r="21222">
      <c r="P21222" s="42"/>
      <c r="AB21222" s="38"/>
    </row>
    <row r="21223">
      <c r="P21223" s="42"/>
      <c r="AB21223" s="38"/>
    </row>
    <row r="21224">
      <c r="P21224" s="42"/>
      <c r="AB21224" s="38"/>
    </row>
    <row r="21225">
      <c r="P21225" s="42"/>
      <c r="AB21225" s="38"/>
    </row>
    <row r="21226">
      <c r="P21226" s="42"/>
      <c r="AB21226" s="38"/>
    </row>
    <row r="21227">
      <c r="P21227" s="42"/>
      <c r="AB21227" s="38"/>
    </row>
    <row r="21228">
      <c r="P21228" s="42"/>
      <c r="AB21228" s="38"/>
    </row>
    <row r="21229">
      <c r="P21229" s="42"/>
      <c r="AB21229" s="38"/>
    </row>
    <row r="21230">
      <c r="P21230" s="42"/>
      <c r="AB21230" s="38"/>
    </row>
    <row r="21231">
      <c r="P21231" s="42"/>
      <c r="AB21231" s="38"/>
    </row>
    <row r="21232">
      <c r="P21232" s="42"/>
      <c r="AB21232" s="38"/>
    </row>
    <row r="21233">
      <c r="P21233" s="42"/>
      <c r="AB21233" s="38"/>
    </row>
    <row r="21234">
      <c r="P21234" s="42"/>
      <c r="AB21234" s="38"/>
    </row>
    <row r="21235">
      <c r="P21235" s="42"/>
      <c r="AB21235" s="38"/>
    </row>
    <row r="21236">
      <c r="P21236" s="42"/>
      <c r="AB21236" s="38"/>
    </row>
    <row r="21237">
      <c r="P21237" s="42"/>
      <c r="AB21237" s="38"/>
    </row>
    <row r="21238">
      <c r="P21238" s="42"/>
      <c r="AB21238" s="38"/>
    </row>
    <row r="21239">
      <c r="P21239" s="42"/>
      <c r="AB21239" s="38"/>
    </row>
    <row r="21240">
      <c r="P21240" s="42"/>
      <c r="AB21240" s="38"/>
    </row>
    <row r="21241">
      <c r="P21241" s="42"/>
      <c r="AB21241" s="38"/>
    </row>
    <row r="21242">
      <c r="P21242" s="42"/>
      <c r="AB21242" s="38"/>
    </row>
    <row r="21243">
      <c r="P21243" s="42"/>
      <c r="AB21243" s="38"/>
    </row>
    <row r="21244">
      <c r="P21244" s="42"/>
      <c r="AB21244" s="38"/>
    </row>
    <row r="21245">
      <c r="P21245" s="42"/>
      <c r="AB21245" s="38"/>
    </row>
    <row r="21246">
      <c r="P21246" s="42"/>
      <c r="AB21246" s="38"/>
    </row>
    <row r="21247">
      <c r="P21247" s="42"/>
      <c r="AB21247" s="38"/>
    </row>
    <row r="21248">
      <c r="P21248" s="42"/>
      <c r="AB21248" s="38"/>
    </row>
    <row r="21249">
      <c r="P21249" s="42"/>
      <c r="AB21249" s="38"/>
    </row>
    <row r="21250">
      <c r="P21250" s="42"/>
      <c r="AB21250" s="38"/>
    </row>
    <row r="21251">
      <c r="P21251" s="42"/>
      <c r="AB21251" s="38"/>
    </row>
    <row r="21252">
      <c r="P21252" s="42"/>
      <c r="AB21252" s="38"/>
    </row>
    <row r="21253">
      <c r="P21253" s="42"/>
      <c r="AB21253" s="38"/>
    </row>
    <row r="21254">
      <c r="P21254" s="42"/>
      <c r="AB21254" s="38"/>
    </row>
    <row r="21255">
      <c r="P21255" s="42"/>
      <c r="AB21255" s="38"/>
    </row>
    <row r="21256">
      <c r="P21256" s="42"/>
      <c r="AB21256" s="38"/>
    </row>
    <row r="21257">
      <c r="P21257" s="42"/>
      <c r="AB21257" s="38"/>
    </row>
    <row r="21258">
      <c r="P21258" s="42"/>
      <c r="AB21258" s="38"/>
    </row>
    <row r="21259">
      <c r="P21259" s="42"/>
      <c r="AB21259" s="38"/>
    </row>
    <row r="21260">
      <c r="P21260" s="42"/>
      <c r="AB21260" s="38"/>
    </row>
    <row r="21261">
      <c r="P21261" s="42"/>
      <c r="AB21261" s="38"/>
    </row>
    <row r="21262">
      <c r="P21262" s="42"/>
      <c r="AB21262" s="38"/>
    </row>
    <row r="21263">
      <c r="P21263" s="42"/>
      <c r="AB21263" s="38"/>
    </row>
    <row r="21264">
      <c r="P21264" s="42"/>
      <c r="AB21264" s="38"/>
    </row>
    <row r="21265">
      <c r="P21265" s="42"/>
      <c r="AB21265" s="38"/>
    </row>
    <row r="21266">
      <c r="P21266" s="42"/>
      <c r="AB21266" s="38"/>
    </row>
    <row r="21267">
      <c r="P21267" s="42"/>
      <c r="AB21267" s="38"/>
    </row>
    <row r="21268">
      <c r="P21268" s="42"/>
      <c r="AB21268" s="38"/>
    </row>
    <row r="21269">
      <c r="P21269" s="42"/>
      <c r="AB21269" s="38"/>
    </row>
    <row r="21270">
      <c r="P21270" s="42"/>
      <c r="AB21270" s="38"/>
    </row>
    <row r="21271">
      <c r="P21271" s="42"/>
      <c r="AB21271" s="38"/>
    </row>
    <row r="21272">
      <c r="P21272" s="42"/>
      <c r="AB21272" s="38"/>
    </row>
    <row r="21273">
      <c r="P21273" s="42"/>
      <c r="AB21273" s="38"/>
    </row>
    <row r="21274">
      <c r="P21274" s="42"/>
      <c r="AB21274" s="38"/>
    </row>
    <row r="21275">
      <c r="P21275" s="42"/>
      <c r="AB21275" s="38"/>
    </row>
    <row r="21276">
      <c r="P21276" s="42"/>
      <c r="AB21276" s="38"/>
    </row>
    <row r="21277">
      <c r="P21277" s="42"/>
      <c r="AB21277" s="38"/>
    </row>
    <row r="21278">
      <c r="P21278" s="42"/>
      <c r="AB21278" s="38"/>
    </row>
    <row r="21279">
      <c r="P21279" s="42"/>
      <c r="AB21279" s="38"/>
    </row>
    <row r="21280">
      <c r="P21280" s="42"/>
      <c r="AB21280" s="38"/>
    </row>
    <row r="21281">
      <c r="P21281" s="42"/>
      <c r="AB21281" s="38"/>
    </row>
    <row r="21282">
      <c r="P21282" s="42"/>
      <c r="AB21282" s="38"/>
    </row>
    <row r="21283">
      <c r="P21283" s="42"/>
      <c r="AB21283" s="38"/>
    </row>
    <row r="21284">
      <c r="P21284" s="42"/>
      <c r="AB21284" s="38"/>
    </row>
    <row r="21285">
      <c r="P21285" s="42"/>
      <c r="AB21285" s="38"/>
    </row>
    <row r="21286">
      <c r="P21286" s="42"/>
      <c r="AB21286" s="38"/>
    </row>
    <row r="21287">
      <c r="P21287" s="42"/>
      <c r="AB21287" s="38"/>
    </row>
    <row r="21288">
      <c r="P21288" s="42"/>
      <c r="AB21288" s="38"/>
    </row>
    <row r="21289">
      <c r="P21289" s="42"/>
      <c r="AB21289" s="38"/>
    </row>
    <row r="21290">
      <c r="P21290" s="42"/>
      <c r="AB21290" s="38"/>
    </row>
    <row r="21291">
      <c r="P21291" s="42"/>
      <c r="AB21291" s="38"/>
    </row>
    <row r="21292">
      <c r="P21292" s="42"/>
      <c r="AB21292" s="38"/>
    </row>
    <row r="21293">
      <c r="P21293" s="42"/>
      <c r="AB21293" s="38"/>
    </row>
    <row r="21294">
      <c r="P21294" s="42"/>
      <c r="AB21294" s="38"/>
    </row>
    <row r="21295">
      <c r="P21295" s="42"/>
      <c r="AB21295" s="38"/>
    </row>
    <row r="21296">
      <c r="P21296" s="42"/>
      <c r="AB21296" s="38"/>
    </row>
    <row r="21297">
      <c r="P21297" s="42"/>
      <c r="AB21297" s="38"/>
    </row>
    <row r="21298">
      <c r="P21298" s="42"/>
      <c r="AB21298" s="38"/>
    </row>
    <row r="21299">
      <c r="P21299" s="42"/>
      <c r="AB21299" s="38"/>
    </row>
    <row r="21300">
      <c r="P21300" s="42"/>
      <c r="AB21300" s="38"/>
    </row>
    <row r="21301">
      <c r="P21301" s="42"/>
      <c r="AB21301" s="38"/>
    </row>
    <row r="21302">
      <c r="P21302" s="42"/>
      <c r="AB21302" s="38"/>
    </row>
    <row r="21303">
      <c r="P21303" s="42"/>
      <c r="AB21303" s="38"/>
    </row>
    <row r="21304">
      <c r="P21304" s="42"/>
      <c r="AB21304" s="38"/>
    </row>
    <row r="21305">
      <c r="P21305" s="42"/>
      <c r="AB21305" s="38"/>
    </row>
    <row r="21306">
      <c r="P21306" s="42"/>
      <c r="AB21306" s="38"/>
    </row>
    <row r="21307">
      <c r="P21307" s="42"/>
      <c r="AB21307" s="38"/>
    </row>
    <row r="21308">
      <c r="P21308" s="42"/>
      <c r="AB21308" s="38"/>
    </row>
    <row r="21309">
      <c r="P21309" s="42"/>
      <c r="AB21309" s="38"/>
    </row>
    <row r="21310">
      <c r="P21310" s="42"/>
      <c r="AB21310" s="38"/>
    </row>
    <row r="21311">
      <c r="P21311" s="42"/>
      <c r="AB21311" s="38"/>
    </row>
    <row r="21312">
      <c r="P21312" s="42"/>
      <c r="AB21312" s="38"/>
    </row>
    <row r="21313">
      <c r="P21313" s="42"/>
      <c r="AB21313" s="38"/>
    </row>
    <row r="21314">
      <c r="P21314" s="42"/>
      <c r="AB21314" s="38"/>
    </row>
    <row r="21315">
      <c r="P21315" s="42"/>
      <c r="AB21315" s="38"/>
    </row>
    <row r="21316">
      <c r="P21316" s="42"/>
      <c r="AB21316" s="38"/>
    </row>
    <row r="21317">
      <c r="P21317" s="42"/>
      <c r="AB21317" s="38"/>
    </row>
    <row r="21318">
      <c r="P21318" s="42"/>
      <c r="AB21318" s="38"/>
    </row>
    <row r="21319">
      <c r="P21319" s="42"/>
      <c r="AB21319" s="38"/>
    </row>
    <row r="21320">
      <c r="P21320" s="42"/>
      <c r="AB21320" s="38"/>
    </row>
    <row r="21321">
      <c r="P21321" s="42"/>
      <c r="AB21321" s="38"/>
    </row>
    <row r="21322">
      <c r="P21322" s="42"/>
      <c r="AB21322" s="38"/>
    </row>
    <row r="21323">
      <c r="P21323" s="42"/>
      <c r="AB21323" s="38"/>
    </row>
    <row r="21324">
      <c r="P21324" s="42"/>
      <c r="AB21324" s="38"/>
    </row>
    <row r="21325">
      <c r="P21325" s="42"/>
      <c r="AB21325" s="38"/>
    </row>
    <row r="21326">
      <c r="P21326" s="42"/>
      <c r="AB21326" s="38"/>
    </row>
    <row r="21327">
      <c r="P21327" s="42"/>
      <c r="AB21327" s="38"/>
    </row>
    <row r="21328">
      <c r="P21328" s="42"/>
      <c r="AB21328" s="38"/>
    </row>
    <row r="21329">
      <c r="P21329" s="42"/>
      <c r="AB21329" s="38"/>
    </row>
    <row r="21330">
      <c r="P21330" s="42"/>
      <c r="AB21330" s="38"/>
    </row>
    <row r="21331">
      <c r="P21331" s="42"/>
      <c r="AB21331" s="38"/>
    </row>
    <row r="21332">
      <c r="P21332" s="42"/>
      <c r="AB21332" s="38"/>
    </row>
    <row r="21333">
      <c r="P21333" s="42"/>
      <c r="AB21333" s="38"/>
    </row>
    <row r="21334">
      <c r="P21334" s="42"/>
      <c r="AB21334" s="38"/>
    </row>
    <row r="21335">
      <c r="P21335" s="42"/>
      <c r="AB21335" s="38"/>
    </row>
    <row r="21336">
      <c r="P21336" s="42"/>
      <c r="AB21336" s="38"/>
    </row>
    <row r="21337">
      <c r="P21337" s="42"/>
      <c r="AB21337" s="38"/>
    </row>
    <row r="21338">
      <c r="P21338" s="42"/>
      <c r="AB21338" s="38"/>
    </row>
    <row r="21339">
      <c r="P21339" s="42"/>
      <c r="AB21339" s="38"/>
    </row>
    <row r="21340">
      <c r="P21340" s="42"/>
      <c r="AB21340" s="38"/>
    </row>
    <row r="21341">
      <c r="P21341" s="42"/>
      <c r="AB21341" s="38"/>
    </row>
    <row r="21342">
      <c r="P21342" s="42"/>
      <c r="AB21342" s="38"/>
    </row>
    <row r="21343">
      <c r="P21343" s="42"/>
      <c r="AB21343" s="38"/>
    </row>
    <row r="21344">
      <c r="P21344" s="42"/>
      <c r="AB21344" s="38"/>
    </row>
    <row r="21345">
      <c r="P21345" s="42"/>
      <c r="AB21345" s="38"/>
    </row>
    <row r="21346">
      <c r="P21346" s="42"/>
      <c r="AB21346" s="38"/>
    </row>
    <row r="21347">
      <c r="P21347" s="42"/>
      <c r="AB21347" s="38"/>
    </row>
    <row r="21348">
      <c r="P21348" s="42"/>
      <c r="AB21348" s="38"/>
    </row>
    <row r="21349">
      <c r="P21349" s="42"/>
      <c r="AB21349" s="38"/>
    </row>
    <row r="21350">
      <c r="P21350" s="42"/>
      <c r="AB21350" s="38"/>
    </row>
    <row r="21351">
      <c r="P21351" s="42"/>
      <c r="AB21351" s="38"/>
    </row>
    <row r="21352">
      <c r="P21352" s="42"/>
      <c r="AB21352" s="38"/>
    </row>
    <row r="21353">
      <c r="P21353" s="42"/>
      <c r="AB21353" s="38"/>
    </row>
    <row r="21354">
      <c r="P21354" s="42"/>
      <c r="AB21354" s="38"/>
    </row>
    <row r="21355">
      <c r="P21355" s="42"/>
      <c r="AB21355" s="38"/>
    </row>
    <row r="21356">
      <c r="P21356" s="42"/>
      <c r="AB21356" s="38"/>
    </row>
    <row r="21357">
      <c r="P21357" s="42"/>
      <c r="AB21357" s="38"/>
    </row>
    <row r="21358">
      <c r="P21358" s="42"/>
      <c r="AB21358" s="38"/>
    </row>
    <row r="21359">
      <c r="P21359" s="42"/>
      <c r="AB21359" s="38"/>
    </row>
    <row r="21360">
      <c r="P21360" s="42"/>
      <c r="AB21360" s="38"/>
    </row>
    <row r="21361">
      <c r="P21361" s="42"/>
      <c r="AB21361" s="38"/>
    </row>
    <row r="21362">
      <c r="P21362" s="42"/>
      <c r="AB21362" s="38"/>
    </row>
    <row r="21363">
      <c r="P21363" s="42"/>
      <c r="AB21363" s="38"/>
    </row>
    <row r="21364">
      <c r="P21364" s="42"/>
      <c r="AB21364" s="38"/>
    </row>
    <row r="21365">
      <c r="P21365" s="42"/>
      <c r="AB21365" s="38"/>
    </row>
    <row r="21366">
      <c r="P21366" s="42"/>
      <c r="AB21366" s="38"/>
    </row>
    <row r="21367">
      <c r="P21367" s="42"/>
      <c r="AB21367" s="38"/>
    </row>
    <row r="21368">
      <c r="P21368" s="42"/>
      <c r="AB21368" s="38"/>
    </row>
    <row r="21369">
      <c r="P21369" s="42"/>
      <c r="AB21369" s="38"/>
    </row>
    <row r="21370">
      <c r="P21370" s="42"/>
      <c r="AB21370" s="38"/>
    </row>
    <row r="21371">
      <c r="P21371" s="42"/>
      <c r="AB21371" s="38"/>
    </row>
    <row r="21372">
      <c r="P21372" s="42"/>
      <c r="AB21372" s="38"/>
    </row>
    <row r="21373">
      <c r="P21373" s="42"/>
      <c r="AB21373" s="38"/>
    </row>
    <row r="21374">
      <c r="P21374" s="42"/>
      <c r="AB21374" s="38"/>
    </row>
    <row r="21375">
      <c r="P21375" s="42"/>
      <c r="AB21375" s="38"/>
    </row>
    <row r="21376">
      <c r="P21376" s="42"/>
      <c r="AB21376" s="38"/>
    </row>
    <row r="21377">
      <c r="P21377" s="42"/>
      <c r="AB21377" s="38"/>
    </row>
    <row r="21378">
      <c r="P21378" s="42"/>
      <c r="AB21378" s="38"/>
    </row>
    <row r="21379">
      <c r="P21379" s="42"/>
      <c r="AB21379" s="38"/>
    </row>
    <row r="21380">
      <c r="P21380" s="42"/>
      <c r="AB21380" s="38"/>
    </row>
    <row r="21381">
      <c r="P21381" s="42"/>
      <c r="AB21381" s="38"/>
    </row>
    <row r="21382">
      <c r="P21382" s="42"/>
      <c r="AB21382" s="38"/>
    </row>
    <row r="21383">
      <c r="P21383" s="42"/>
      <c r="AB21383" s="38"/>
    </row>
    <row r="21384">
      <c r="P21384" s="42"/>
      <c r="AB21384" s="38"/>
    </row>
    <row r="21385">
      <c r="P21385" s="42"/>
      <c r="AB21385" s="38"/>
    </row>
    <row r="21386">
      <c r="P21386" s="42"/>
      <c r="AB21386" s="38"/>
    </row>
    <row r="21387">
      <c r="P21387" s="42"/>
      <c r="AB21387" s="38"/>
    </row>
    <row r="21388">
      <c r="P21388" s="42"/>
      <c r="AB21388" s="38"/>
    </row>
    <row r="21389">
      <c r="P21389" s="42"/>
      <c r="AB21389" s="38"/>
    </row>
    <row r="21390">
      <c r="P21390" s="42"/>
      <c r="AB21390" s="38"/>
    </row>
    <row r="21391">
      <c r="P21391" s="42"/>
      <c r="AB21391" s="38"/>
    </row>
    <row r="21392">
      <c r="P21392" s="42"/>
      <c r="AB21392" s="38"/>
    </row>
    <row r="21393">
      <c r="P21393" s="42"/>
      <c r="AB21393" s="38"/>
    </row>
    <row r="21394">
      <c r="P21394" s="42"/>
      <c r="AB21394" s="38"/>
    </row>
    <row r="21395">
      <c r="P21395" s="42"/>
      <c r="AB21395" s="38"/>
    </row>
    <row r="21396">
      <c r="P21396" s="42"/>
      <c r="AB21396" s="38"/>
    </row>
    <row r="21397">
      <c r="P21397" s="42"/>
      <c r="AB21397" s="38"/>
    </row>
    <row r="21398">
      <c r="P21398" s="42"/>
      <c r="AB21398" s="38"/>
    </row>
    <row r="21399">
      <c r="P21399" s="42"/>
      <c r="AB21399" s="38"/>
    </row>
    <row r="21400">
      <c r="P21400" s="42"/>
      <c r="AB21400" s="38"/>
    </row>
    <row r="21401">
      <c r="P21401" s="42"/>
      <c r="AB21401" s="38"/>
    </row>
    <row r="21402">
      <c r="P21402" s="42"/>
      <c r="AB21402" s="38"/>
    </row>
    <row r="21403">
      <c r="P21403" s="42"/>
      <c r="AB21403" s="38"/>
    </row>
    <row r="21404">
      <c r="P21404" s="42"/>
      <c r="AB21404" s="38"/>
    </row>
    <row r="21405">
      <c r="P21405" s="42"/>
      <c r="AB21405" s="38"/>
    </row>
    <row r="21406">
      <c r="P21406" s="42"/>
      <c r="AB21406" s="38"/>
    </row>
    <row r="21407">
      <c r="P21407" s="42"/>
      <c r="AB21407" s="38"/>
    </row>
    <row r="21408">
      <c r="P21408" s="42"/>
      <c r="AB21408" s="38"/>
    </row>
    <row r="21409">
      <c r="P21409" s="42"/>
      <c r="AB21409" s="38"/>
    </row>
    <row r="21410">
      <c r="P21410" s="42"/>
      <c r="AB21410" s="38"/>
    </row>
    <row r="21411">
      <c r="P21411" s="42"/>
      <c r="AB21411" s="38"/>
    </row>
    <row r="21412">
      <c r="P21412" s="42"/>
      <c r="AB21412" s="38"/>
    </row>
    <row r="21413">
      <c r="P21413" s="42"/>
      <c r="AB21413" s="38"/>
    </row>
    <row r="21414">
      <c r="P21414" s="42"/>
      <c r="AB21414" s="38"/>
    </row>
    <row r="21415">
      <c r="P21415" s="42"/>
      <c r="AB21415" s="38"/>
    </row>
    <row r="21416">
      <c r="P21416" s="42"/>
      <c r="AB21416" s="38"/>
    </row>
    <row r="21417">
      <c r="P21417" s="42"/>
      <c r="AB21417" s="38"/>
    </row>
    <row r="21418">
      <c r="P21418" s="42"/>
      <c r="AB21418" s="38"/>
    </row>
    <row r="21419">
      <c r="P21419" s="42"/>
      <c r="AB21419" s="38"/>
    </row>
    <row r="21420">
      <c r="P21420" s="42"/>
      <c r="AB21420" s="38"/>
    </row>
    <row r="21421">
      <c r="P21421" s="42"/>
      <c r="AB21421" s="38"/>
    </row>
    <row r="21422">
      <c r="P21422" s="42"/>
      <c r="AB21422" s="38"/>
    </row>
    <row r="21423">
      <c r="P21423" s="42"/>
      <c r="AB21423" s="38"/>
    </row>
    <row r="21424">
      <c r="P21424" s="42"/>
      <c r="AB21424" s="38"/>
    </row>
    <row r="21425">
      <c r="P21425" s="42"/>
      <c r="AB21425" s="38"/>
    </row>
    <row r="21426">
      <c r="P21426" s="42"/>
      <c r="AB21426" s="38"/>
    </row>
    <row r="21427">
      <c r="P21427" s="42"/>
      <c r="AB21427" s="38"/>
    </row>
    <row r="21428">
      <c r="P21428" s="42"/>
      <c r="AB21428" s="38"/>
    </row>
    <row r="21429">
      <c r="P21429" s="42"/>
      <c r="AB21429" s="38"/>
    </row>
    <row r="21430">
      <c r="P21430" s="42"/>
      <c r="AB21430" s="38"/>
    </row>
    <row r="21431">
      <c r="P21431" s="42"/>
      <c r="AB21431" s="38"/>
    </row>
    <row r="21432">
      <c r="P21432" s="42"/>
      <c r="AB21432" s="38"/>
    </row>
    <row r="21433">
      <c r="P21433" s="42"/>
      <c r="AB21433" s="38"/>
    </row>
    <row r="21434">
      <c r="P21434" s="42"/>
      <c r="AB21434" s="38"/>
    </row>
    <row r="21435">
      <c r="P21435" s="42"/>
      <c r="AB21435" s="38"/>
    </row>
    <row r="21436">
      <c r="P21436" s="42"/>
      <c r="AB21436" s="38"/>
    </row>
    <row r="21437">
      <c r="P21437" s="42"/>
      <c r="AB21437" s="38"/>
    </row>
    <row r="21438">
      <c r="P21438" s="42"/>
      <c r="AB21438" s="38"/>
    </row>
    <row r="21439">
      <c r="P21439" s="42"/>
      <c r="AB21439" s="38"/>
    </row>
    <row r="21440">
      <c r="P21440" s="42"/>
      <c r="AB21440" s="38"/>
    </row>
    <row r="21441">
      <c r="P21441" s="42"/>
      <c r="AB21441" s="38"/>
    </row>
    <row r="21442">
      <c r="P21442" s="42"/>
      <c r="AB21442" s="38"/>
    </row>
    <row r="21443">
      <c r="P21443" s="42"/>
      <c r="AB21443" s="38"/>
    </row>
    <row r="21444">
      <c r="P21444" s="42"/>
      <c r="AB21444" s="38"/>
    </row>
    <row r="21445">
      <c r="P21445" s="42"/>
      <c r="AB21445" s="38"/>
    </row>
    <row r="21446">
      <c r="P21446" s="42"/>
      <c r="AB21446" s="38"/>
    </row>
    <row r="21447">
      <c r="P21447" s="42"/>
      <c r="AB21447" s="38"/>
    </row>
    <row r="21448">
      <c r="P21448" s="42"/>
      <c r="AB21448" s="38"/>
    </row>
    <row r="21449">
      <c r="P21449" s="42"/>
      <c r="AB21449" s="38"/>
    </row>
    <row r="21450">
      <c r="P21450" s="42"/>
      <c r="AB21450" s="38"/>
    </row>
    <row r="21451">
      <c r="P21451" s="42"/>
      <c r="AB21451" s="38"/>
    </row>
    <row r="21452">
      <c r="P21452" s="42"/>
      <c r="AB21452" s="38"/>
    </row>
    <row r="21453">
      <c r="P21453" s="42"/>
      <c r="AB21453" s="38"/>
    </row>
    <row r="21454">
      <c r="P21454" s="42"/>
      <c r="AB21454" s="38"/>
    </row>
    <row r="21455">
      <c r="P21455" s="42"/>
      <c r="AB21455" s="38"/>
    </row>
    <row r="21456">
      <c r="P21456" s="42"/>
      <c r="AB21456" s="38"/>
    </row>
    <row r="21457">
      <c r="P21457" s="42"/>
      <c r="AB21457" s="38"/>
    </row>
    <row r="21458">
      <c r="P21458" s="42"/>
      <c r="AB21458" s="38"/>
    </row>
    <row r="21459">
      <c r="P21459" s="42"/>
      <c r="AB21459" s="38"/>
    </row>
    <row r="21460">
      <c r="P21460" s="42"/>
      <c r="AB21460" s="38"/>
    </row>
    <row r="21461">
      <c r="P21461" s="42"/>
      <c r="AB21461" s="38"/>
    </row>
    <row r="21462">
      <c r="P21462" s="42"/>
      <c r="AB21462" s="38"/>
    </row>
    <row r="21463">
      <c r="P21463" s="42"/>
      <c r="AB21463" s="38"/>
    </row>
    <row r="21464">
      <c r="P21464" s="42"/>
      <c r="AB21464" s="38"/>
    </row>
    <row r="21465">
      <c r="P21465" s="42"/>
      <c r="AB21465" s="38"/>
    </row>
    <row r="21466">
      <c r="P21466" s="42"/>
      <c r="AB21466" s="38"/>
    </row>
    <row r="21467">
      <c r="P21467" s="42"/>
      <c r="AB21467" s="38"/>
    </row>
    <row r="21468">
      <c r="P21468" s="42"/>
      <c r="AB21468" s="38"/>
    </row>
    <row r="21469">
      <c r="P21469" s="42"/>
      <c r="AB21469" s="38"/>
    </row>
    <row r="21470">
      <c r="P21470" s="42"/>
      <c r="AB21470" s="38"/>
    </row>
    <row r="21471">
      <c r="P21471" s="42"/>
      <c r="AB21471" s="38"/>
    </row>
    <row r="21472">
      <c r="P21472" s="42"/>
      <c r="AB21472" s="38"/>
    </row>
    <row r="21473">
      <c r="P21473" s="42"/>
      <c r="AB21473" s="38"/>
    </row>
    <row r="21474">
      <c r="P21474" s="42"/>
      <c r="AB21474" s="38"/>
    </row>
    <row r="21475">
      <c r="P21475" s="42"/>
      <c r="AB21475" s="38"/>
    </row>
    <row r="21476">
      <c r="P21476" s="42"/>
      <c r="AB21476" s="38"/>
    </row>
    <row r="21477">
      <c r="P21477" s="42"/>
      <c r="AB21477" s="38"/>
    </row>
    <row r="21478">
      <c r="P21478" s="42"/>
      <c r="AB21478" s="38"/>
    </row>
    <row r="21479">
      <c r="P21479" s="42"/>
      <c r="AB21479" s="38"/>
    </row>
    <row r="21480">
      <c r="P21480" s="42"/>
      <c r="AB21480" s="38"/>
    </row>
    <row r="21481">
      <c r="P21481" s="42"/>
      <c r="AB21481" s="38"/>
    </row>
    <row r="21482">
      <c r="P21482" s="42"/>
      <c r="AB21482" s="38"/>
    </row>
    <row r="21483">
      <c r="P21483" s="42"/>
      <c r="AB21483" s="38"/>
    </row>
    <row r="21484">
      <c r="P21484" s="42"/>
      <c r="AB21484" s="38"/>
    </row>
    <row r="21485">
      <c r="P21485" s="42"/>
      <c r="AB21485" s="38"/>
    </row>
    <row r="21486">
      <c r="P21486" s="42"/>
      <c r="AB21486" s="38"/>
    </row>
    <row r="21487">
      <c r="P21487" s="42"/>
      <c r="AB21487" s="38"/>
    </row>
    <row r="21488">
      <c r="P21488" s="42"/>
      <c r="AB21488" s="38"/>
    </row>
    <row r="21489">
      <c r="P21489" s="42"/>
      <c r="AB21489" s="38"/>
    </row>
    <row r="21490">
      <c r="P21490" s="42"/>
      <c r="AB21490" s="38"/>
    </row>
    <row r="21491">
      <c r="P21491" s="42"/>
      <c r="AB21491" s="38"/>
    </row>
    <row r="21492">
      <c r="P21492" s="42"/>
      <c r="AB21492" s="38"/>
    </row>
    <row r="21493">
      <c r="P21493" s="42"/>
      <c r="AB21493" s="38"/>
    </row>
    <row r="21494">
      <c r="P21494" s="42"/>
      <c r="AB21494" s="38"/>
    </row>
    <row r="21495">
      <c r="P21495" s="42"/>
      <c r="AB21495" s="38"/>
    </row>
    <row r="21496">
      <c r="P21496" s="42"/>
      <c r="AB21496" s="38"/>
    </row>
    <row r="21497">
      <c r="P21497" s="42"/>
      <c r="AB21497" s="38"/>
    </row>
    <row r="21498">
      <c r="P21498" s="42"/>
      <c r="AB21498" s="38"/>
    </row>
    <row r="21499">
      <c r="P21499" s="42"/>
      <c r="AB21499" s="38"/>
    </row>
    <row r="21500">
      <c r="P21500" s="42"/>
      <c r="AB21500" s="38"/>
    </row>
    <row r="21501">
      <c r="P21501" s="42"/>
      <c r="AB21501" s="38"/>
    </row>
    <row r="21502">
      <c r="P21502" s="42"/>
      <c r="AB21502" s="38"/>
    </row>
    <row r="21503">
      <c r="P21503" s="42"/>
      <c r="AB21503" s="38"/>
    </row>
    <row r="21504">
      <c r="P21504" s="42"/>
      <c r="AB21504" s="38"/>
    </row>
    <row r="21505">
      <c r="P21505" s="42"/>
      <c r="AB21505" s="38"/>
    </row>
    <row r="21506">
      <c r="P21506" s="42"/>
      <c r="AB21506" s="38"/>
    </row>
    <row r="21507">
      <c r="P21507" s="42"/>
      <c r="AB21507" s="38"/>
    </row>
    <row r="21508">
      <c r="P21508" s="42"/>
      <c r="AB21508" s="38"/>
    </row>
    <row r="21509">
      <c r="P21509" s="42"/>
      <c r="AB21509" s="38"/>
    </row>
    <row r="21510">
      <c r="P21510" s="42"/>
      <c r="AB21510" s="38"/>
    </row>
    <row r="21511">
      <c r="P21511" s="42"/>
      <c r="AB21511" s="38"/>
    </row>
    <row r="21512">
      <c r="P21512" s="42"/>
      <c r="AB21512" s="38"/>
    </row>
    <row r="21513">
      <c r="P21513" s="42"/>
      <c r="AB21513" s="38"/>
    </row>
    <row r="21514">
      <c r="P21514" s="42"/>
      <c r="AB21514" s="38"/>
    </row>
    <row r="21515">
      <c r="P21515" s="42"/>
      <c r="AB21515" s="38"/>
    </row>
    <row r="21516">
      <c r="P21516" s="42"/>
      <c r="AB21516" s="38"/>
    </row>
    <row r="21517">
      <c r="P21517" s="42"/>
      <c r="AB21517" s="38"/>
    </row>
    <row r="21518">
      <c r="P21518" s="42"/>
      <c r="AB21518" s="38"/>
    </row>
    <row r="21519">
      <c r="P21519" s="42"/>
      <c r="AB21519" s="38"/>
    </row>
    <row r="21520">
      <c r="P21520" s="42"/>
      <c r="AB21520" s="38"/>
    </row>
    <row r="21521">
      <c r="P21521" s="42"/>
      <c r="AB21521" s="38"/>
    </row>
    <row r="21522">
      <c r="P21522" s="42"/>
      <c r="AB21522" s="38"/>
    </row>
    <row r="21523">
      <c r="P21523" s="42"/>
      <c r="AB21523" s="38"/>
    </row>
    <row r="21524">
      <c r="P21524" s="42"/>
      <c r="AB21524" s="38"/>
    </row>
    <row r="21525">
      <c r="P21525" s="42"/>
      <c r="AB21525" s="38"/>
    </row>
    <row r="21526">
      <c r="P21526" s="42"/>
      <c r="AB21526" s="38"/>
    </row>
    <row r="21527">
      <c r="P21527" s="42"/>
      <c r="AB21527" s="38"/>
    </row>
    <row r="21528">
      <c r="P21528" s="42"/>
      <c r="AB21528" s="38"/>
    </row>
    <row r="21529">
      <c r="P21529" s="42"/>
      <c r="AB21529" s="38"/>
    </row>
    <row r="21530">
      <c r="P21530" s="42"/>
      <c r="AB21530" s="38"/>
    </row>
    <row r="21531">
      <c r="P21531" s="42"/>
      <c r="AB21531" s="38"/>
    </row>
    <row r="21532">
      <c r="P21532" s="42"/>
      <c r="AB21532" s="38"/>
    </row>
    <row r="21533">
      <c r="P21533" s="42"/>
      <c r="AB21533" s="38"/>
    </row>
    <row r="21534">
      <c r="P21534" s="42"/>
      <c r="AB21534" s="38"/>
    </row>
    <row r="21535">
      <c r="P21535" s="42"/>
      <c r="AB21535" s="38"/>
    </row>
    <row r="21536">
      <c r="P21536" s="42"/>
      <c r="AB21536" s="38"/>
    </row>
    <row r="21537">
      <c r="P21537" s="42"/>
      <c r="AB21537" s="38"/>
    </row>
    <row r="21538">
      <c r="P21538" s="42"/>
      <c r="AB21538" s="38"/>
    </row>
    <row r="21539">
      <c r="P21539" s="42"/>
      <c r="AB21539" s="38"/>
    </row>
    <row r="21540">
      <c r="P21540" s="42"/>
      <c r="AB21540" s="38"/>
    </row>
    <row r="21541">
      <c r="P21541" s="42"/>
      <c r="AB21541" s="38"/>
    </row>
    <row r="21542">
      <c r="P21542" s="42"/>
      <c r="AB21542" s="38"/>
    </row>
    <row r="21543">
      <c r="P21543" s="42"/>
      <c r="AB21543" s="38"/>
    </row>
    <row r="21544">
      <c r="P21544" s="42"/>
      <c r="AB21544" s="38"/>
    </row>
    <row r="21545">
      <c r="P21545" s="42"/>
      <c r="AB21545" s="38"/>
    </row>
    <row r="21546">
      <c r="P21546" s="42"/>
      <c r="AB21546" s="38"/>
    </row>
    <row r="21547">
      <c r="P21547" s="42"/>
      <c r="AB21547" s="38"/>
    </row>
    <row r="21548">
      <c r="P21548" s="42"/>
      <c r="AB21548" s="38"/>
    </row>
    <row r="21549">
      <c r="P21549" s="42"/>
      <c r="AB21549" s="38"/>
    </row>
    <row r="21550">
      <c r="P21550" s="42"/>
      <c r="AB21550" s="38"/>
    </row>
    <row r="21551">
      <c r="P21551" s="42"/>
      <c r="AB21551" s="38"/>
    </row>
    <row r="21552">
      <c r="P21552" s="42"/>
      <c r="AB21552" s="38"/>
    </row>
    <row r="21553">
      <c r="P21553" s="42"/>
      <c r="AB21553" s="38"/>
    </row>
    <row r="21554">
      <c r="P21554" s="42"/>
      <c r="AB21554" s="38"/>
    </row>
    <row r="21555">
      <c r="P21555" s="42"/>
      <c r="AB21555" s="38"/>
    </row>
    <row r="21556">
      <c r="P21556" s="42"/>
      <c r="AB21556" s="38"/>
    </row>
    <row r="21557">
      <c r="P21557" s="42"/>
      <c r="AB21557" s="38"/>
    </row>
    <row r="21558">
      <c r="P21558" s="42"/>
      <c r="AB21558" s="38"/>
    </row>
    <row r="21559">
      <c r="P21559" s="42"/>
      <c r="AB21559" s="38"/>
    </row>
    <row r="21560">
      <c r="P21560" s="42"/>
      <c r="AB21560" s="38"/>
    </row>
    <row r="21561">
      <c r="P21561" s="42"/>
      <c r="AB21561" s="38"/>
    </row>
    <row r="21562">
      <c r="P21562" s="42"/>
      <c r="AB21562" s="38"/>
    </row>
    <row r="21563">
      <c r="P21563" s="42"/>
      <c r="AB21563" s="38"/>
    </row>
    <row r="21564">
      <c r="P21564" s="42"/>
      <c r="AB21564" s="38"/>
    </row>
    <row r="21565">
      <c r="P21565" s="42"/>
      <c r="AB21565" s="38"/>
    </row>
    <row r="21566">
      <c r="P21566" s="42"/>
      <c r="AB21566" s="38"/>
    </row>
    <row r="21567">
      <c r="P21567" s="42"/>
      <c r="AB21567" s="38"/>
    </row>
    <row r="21568">
      <c r="P21568" s="42"/>
      <c r="AB21568" s="38"/>
    </row>
    <row r="21569">
      <c r="P21569" s="42"/>
      <c r="AB21569" s="38"/>
    </row>
    <row r="21570">
      <c r="P21570" s="42"/>
      <c r="AB21570" s="38"/>
    </row>
    <row r="21571">
      <c r="P21571" s="42"/>
      <c r="AB21571" s="38"/>
    </row>
    <row r="21572">
      <c r="P21572" s="42"/>
      <c r="AB21572" s="38"/>
    </row>
    <row r="21573">
      <c r="P21573" s="42"/>
      <c r="AB21573" s="38"/>
    </row>
    <row r="21574">
      <c r="P21574" s="42"/>
      <c r="AB21574" s="38"/>
    </row>
    <row r="21575">
      <c r="P21575" s="42"/>
      <c r="AB21575" s="38"/>
    </row>
    <row r="21576">
      <c r="P21576" s="42"/>
      <c r="AB21576" s="38"/>
    </row>
    <row r="21577">
      <c r="P21577" s="42"/>
      <c r="AB21577" s="38"/>
    </row>
    <row r="21578">
      <c r="P21578" s="42"/>
      <c r="AB21578" s="38"/>
    </row>
    <row r="21579">
      <c r="P21579" s="42"/>
      <c r="AB21579" s="38"/>
    </row>
    <row r="21580">
      <c r="P21580" s="42"/>
      <c r="AB21580" s="38"/>
    </row>
    <row r="21581">
      <c r="P21581" s="42"/>
      <c r="AB21581" s="38"/>
    </row>
    <row r="21582">
      <c r="P21582" s="42"/>
      <c r="AB21582" s="38"/>
    </row>
    <row r="21583">
      <c r="P21583" s="42"/>
      <c r="AB21583" s="38"/>
    </row>
    <row r="21584">
      <c r="P21584" s="42"/>
      <c r="AB21584" s="38"/>
    </row>
    <row r="21585">
      <c r="P21585" s="42"/>
      <c r="AB21585" s="38"/>
    </row>
    <row r="21586">
      <c r="P21586" s="42"/>
      <c r="AB21586" s="38"/>
    </row>
    <row r="21587">
      <c r="P21587" s="42"/>
      <c r="AB21587" s="38"/>
    </row>
    <row r="21588">
      <c r="P21588" s="42"/>
      <c r="AB21588" s="38"/>
    </row>
    <row r="21589">
      <c r="P21589" s="42"/>
      <c r="AB21589" s="38"/>
    </row>
    <row r="21590">
      <c r="P21590" s="42"/>
      <c r="AB21590" s="38"/>
    </row>
    <row r="21591">
      <c r="P21591" s="42"/>
      <c r="AB21591" s="38"/>
    </row>
    <row r="21592">
      <c r="P21592" s="42"/>
      <c r="AB21592" s="38"/>
    </row>
    <row r="21593">
      <c r="P21593" s="42"/>
      <c r="AB21593" s="38"/>
    </row>
    <row r="21594">
      <c r="P21594" s="42"/>
      <c r="AB21594" s="38"/>
    </row>
    <row r="21595">
      <c r="P21595" s="42"/>
      <c r="AB21595" s="38"/>
    </row>
    <row r="21596">
      <c r="P21596" s="42"/>
      <c r="AB21596" s="38"/>
    </row>
    <row r="21597">
      <c r="P21597" s="42"/>
      <c r="AB21597" s="38"/>
    </row>
    <row r="21598">
      <c r="P21598" s="42"/>
      <c r="AB21598" s="38"/>
    </row>
    <row r="21599">
      <c r="P21599" s="42"/>
      <c r="AB21599" s="38"/>
    </row>
    <row r="21600">
      <c r="P21600" s="42"/>
      <c r="AB21600" s="38"/>
    </row>
    <row r="21601">
      <c r="P21601" s="42"/>
      <c r="AB21601" s="38"/>
    </row>
    <row r="21602">
      <c r="P21602" s="42"/>
      <c r="AB21602" s="38"/>
    </row>
    <row r="21603">
      <c r="P21603" s="42"/>
      <c r="AB21603" s="38"/>
    </row>
    <row r="21604">
      <c r="P21604" s="42"/>
      <c r="AB21604" s="38"/>
    </row>
    <row r="21605">
      <c r="P21605" s="42"/>
      <c r="AB21605" s="38"/>
    </row>
    <row r="21606">
      <c r="P21606" s="42"/>
      <c r="AB21606" s="38"/>
    </row>
    <row r="21607">
      <c r="P21607" s="42"/>
      <c r="AB21607" s="38"/>
    </row>
    <row r="21608">
      <c r="P21608" s="42"/>
      <c r="AB21608" s="38"/>
    </row>
    <row r="21609">
      <c r="P21609" s="42"/>
      <c r="AB21609" s="38"/>
    </row>
    <row r="21610">
      <c r="P21610" s="42"/>
      <c r="AB21610" s="38"/>
    </row>
    <row r="21611">
      <c r="P21611" s="42"/>
      <c r="AB21611" s="38"/>
    </row>
    <row r="21612">
      <c r="P21612" s="42"/>
      <c r="AB21612" s="38"/>
    </row>
    <row r="21613">
      <c r="P21613" s="42"/>
      <c r="AB21613" s="38"/>
    </row>
    <row r="21614">
      <c r="P21614" s="42"/>
      <c r="AB21614" s="38"/>
    </row>
    <row r="21615">
      <c r="P21615" s="42"/>
      <c r="AB21615" s="38"/>
    </row>
    <row r="21616">
      <c r="P21616" s="42"/>
      <c r="AB21616" s="38"/>
    </row>
    <row r="21617">
      <c r="P21617" s="42"/>
      <c r="AB21617" s="38"/>
    </row>
    <row r="21618">
      <c r="P21618" s="42"/>
      <c r="AB21618" s="38"/>
    </row>
    <row r="21619">
      <c r="P21619" s="42"/>
      <c r="AB21619" s="38"/>
    </row>
    <row r="21620">
      <c r="P21620" s="42"/>
      <c r="AB21620" s="38"/>
    </row>
    <row r="21621">
      <c r="P21621" s="42"/>
      <c r="AB21621" s="38"/>
    </row>
    <row r="21622">
      <c r="P21622" s="42"/>
      <c r="AB21622" s="38"/>
    </row>
    <row r="21623">
      <c r="P21623" s="42"/>
      <c r="AB21623" s="38"/>
    </row>
    <row r="21624">
      <c r="P21624" s="42"/>
      <c r="AB21624" s="38"/>
    </row>
    <row r="21625">
      <c r="P21625" s="42"/>
      <c r="AB21625" s="38"/>
    </row>
    <row r="21626">
      <c r="P21626" s="42"/>
      <c r="AB21626" s="38"/>
    </row>
    <row r="21627">
      <c r="P21627" s="42"/>
      <c r="AB21627" s="38"/>
    </row>
    <row r="21628">
      <c r="P21628" s="42"/>
      <c r="AB21628" s="38"/>
    </row>
    <row r="21629">
      <c r="P21629" s="42"/>
      <c r="AB21629" s="38"/>
    </row>
    <row r="21630">
      <c r="P21630" s="42"/>
      <c r="AB21630" s="38"/>
    </row>
    <row r="21631">
      <c r="P21631" s="42"/>
      <c r="AB21631" s="38"/>
    </row>
    <row r="21632">
      <c r="P21632" s="42"/>
      <c r="AB21632" s="38"/>
    </row>
    <row r="21633">
      <c r="P21633" s="42"/>
      <c r="AB21633" s="38"/>
    </row>
    <row r="21634">
      <c r="P21634" s="42"/>
      <c r="AB21634" s="38"/>
    </row>
    <row r="21635">
      <c r="P21635" s="42"/>
      <c r="AB21635" s="38"/>
    </row>
    <row r="21636">
      <c r="P21636" s="42"/>
      <c r="AB21636" s="38"/>
    </row>
    <row r="21637">
      <c r="P21637" s="42"/>
      <c r="AB21637" s="38"/>
    </row>
    <row r="21638">
      <c r="P21638" s="42"/>
      <c r="AB21638" s="38"/>
    </row>
    <row r="21639">
      <c r="P21639" s="42"/>
      <c r="AB21639" s="38"/>
    </row>
    <row r="21640">
      <c r="P21640" s="42"/>
      <c r="AB21640" s="38"/>
    </row>
    <row r="21641">
      <c r="P21641" s="42"/>
      <c r="AB21641" s="38"/>
    </row>
    <row r="21642">
      <c r="P21642" s="42"/>
      <c r="AB21642" s="38"/>
    </row>
    <row r="21643">
      <c r="P21643" s="42"/>
      <c r="AB21643" s="38"/>
    </row>
    <row r="21644">
      <c r="P21644" s="42"/>
      <c r="AB21644" s="38"/>
    </row>
    <row r="21645">
      <c r="P21645" s="42"/>
      <c r="AB21645" s="38"/>
    </row>
    <row r="21646">
      <c r="P21646" s="42"/>
      <c r="AB21646" s="38"/>
    </row>
    <row r="21647">
      <c r="P21647" s="42"/>
      <c r="AB21647" s="38"/>
    </row>
    <row r="21648">
      <c r="P21648" s="42"/>
      <c r="AB21648" s="38"/>
    </row>
    <row r="21649">
      <c r="P21649" s="42"/>
      <c r="AB21649" s="38"/>
    </row>
    <row r="21650">
      <c r="P21650" s="42"/>
      <c r="AB21650" s="38"/>
    </row>
    <row r="21651">
      <c r="P21651" s="42"/>
      <c r="AB21651" s="38"/>
    </row>
    <row r="21652">
      <c r="P21652" s="42"/>
      <c r="AB21652" s="38"/>
    </row>
    <row r="21653">
      <c r="P21653" s="42"/>
      <c r="AB21653" s="38"/>
    </row>
    <row r="21654">
      <c r="P21654" s="42"/>
      <c r="AB21654" s="38"/>
    </row>
    <row r="21655">
      <c r="P21655" s="42"/>
      <c r="AB21655" s="38"/>
    </row>
    <row r="21656">
      <c r="P21656" s="42"/>
      <c r="AB21656" s="38"/>
    </row>
    <row r="21657">
      <c r="P21657" s="42"/>
      <c r="AB21657" s="38"/>
    </row>
    <row r="21658">
      <c r="P21658" s="42"/>
      <c r="AB21658" s="38"/>
    </row>
    <row r="21659">
      <c r="P21659" s="42"/>
      <c r="AB21659" s="38"/>
    </row>
    <row r="21660">
      <c r="P21660" s="42"/>
      <c r="AB21660" s="38"/>
    </row>
    <row r="21661">
      <c r="P21661" s="42"/>
      <c r="AB21661" s="38"/>
    </row>
    <row r="21662">
      <c r="P21662" s="42"/>
      <c r="AB21662" s="38"/>
    </row>
    <row r="21663">
      <c r="P21663" s="42"/>
      <c r="AB21663" s="38"/>
    </row>
    <row r="21664">
      <c r="P21664" s="42"/>
      <c r="AB21664" s="38"/>
    </row>
    <row r="21665">
      <c r="P21665" s="42"/>
      <c r="AB21665" s="38"/>
    </row>
    <row r="21666">
      <c r="P21666" s="42"/>
      <c r="AB21666" s="38"/>
    </row>
    <row r="21667">
      <c r="P21667" s="42"/>
      <c r="AB21667" s="38"/>
    </row>
    <row r="21668">
      <c r="P21668" s="42"/>
      <c r="AB21668" s="38"/>
    </row>
    <row r="21669">
      <c r="P21669" s="42"/>
      <c r="AB21669" s="38"/>
    </row>
    <row r="21670">
      <c r="P21670" s="42"/>
      <c r="AB21670" s="38"/>
    </row>
    <row r="21671">
      <c r="P21671" s="42"/>
      <c r="AB21671" s="38"/>
    </row>
    <row r="21672">
      <c r="P21672" s="42"/>
      <c r="AB21672" s="38"/>
    </row>
    <row r="21673">
      <c r="P21673" s="42"/>
      <c r="AB21673" s="38"/>
    </row>
    <row r="21674">
      <c r="P21674" s="42"/>
      <c r="AB21674" s="38"/>
    </row>
    <row r="21675">
      <c r="P21675" s="42"/>
      <c r="AB21675" s="38"/>
    </row>
    <row r="21676">
      <c r="P21676" s="42"/>
      <c r="AB21676" s="38"/>
    </row>
    <row r="21677">
      <c r="P21677" s="42"/>
      <c r="AB21677" s="38"/>
    </row>
    <row r="21678">
      <c r="P21678" s="42"/>
      <c r="AB21678" s="38"/>
    </row>
    <row r="21679">
      <c r="P21679" s="42"/>
      <c r="AB21679" s="38"/>
    </row>
    <row r="21680">
      <c r="P21680" s="42"/>
      <c r="AB21680" s="38"/>
    </row>
    <row r="21681">
      <c r="P21681" s="42"/>
      <c r="AB21681" s="38"/>
    </row>
    <row r="21682">
      <c r="P21682" s="42"/>
      <c r="AB21682" s="38"/>
    </row>
    <row r="21683">
      <c r="P21683" s="42"/>
      <c r="AB21683" s="38"/>
    </row>
    <row r="21684">
      <c r="P21684" s="42"/>
      <c r="AB21684" s="38"/>
    </row>
    <row r="21685">
      <c r="P21685" s="42"/>
      <c r="AB21685" s="38"/>
    </row>
    <row r="21686">
      <c r="P21686" s="42"/>
      <c r="AB21686" s="38"/>
    </row>
    <row r="21687">
      <c r="P21687" s="42"/>
      <c r="AB21687" s="38"/>
    </row>
    <row r="21688">
      <c r="P21688" s="42"/>
      <c r="AB21688" s="38"/>
    </row>
    <row r="21689">
      <c r="P21689" s="42"/>
      <c r="AB21689" s="38"/>
    </row>
    <row r="21690">
      <c r="P21690" s="42"/>
      <c r="AB21690" s="38"/>
    </row>
    <row r="21691">
      <c r="P21691" s="42"/>
      <c r="AB21691" s="38"/>
    </row>
    <row r="21692">
      <c r="P21692" s="42"/>
      <c r="AB21692" s="38"/>
    </row>
    <row r="21693">
      <c r="P21693" s="42"/>
      <c r="AB21693" s="38"/>
    </row>
    <row r="21694">
      <c r="P21694" s="42"/>
      <c r="AB21694" s="38"/>
    </row>
    <row r="21695">
      <c r="P21695" s="42"/>
      <c r="AB21695" s="38"/>
    </row>
    <row r="21696">
      <c r="P21696" s="42"/>
      <c r="AB21696" s="38"/>
    </row>
    <row r="21697">
      <c r="P21697" s="42"/>
      <c r="AB21697" s="38"/>
    </row>
    <row r="21698">
      <c r="P21698" s="42"/>
      <c r="AB21698" s="38"/>
    </row>
    <row r="21699">
      <c r="P21699" s="42"/>
      <c r="AB21699" s="38"/>
    </row>
    <row r="21700">
      <c r="P21700" s="42"/>
      <c r="AB21700" s="38"/>
    </row>
    <row r="21701">
      <c r="P21701" s="42"/>
      <c r="AB21701" s="38"/>
    </row>
    <row r="21702">
      <c r="P21702" s="42"/>
      <c r="AB21702" s="38"/>
    </row>
    <row r="21703">
      <c r="P21703" s="42"/>
      <c r="AB21703" s="38"/>
    </row>
    <row r="21704">
      <c r="P21704" s="42"/>
      <c r="AB21704" s="38"/>
    </row>
    <row r="21705">
      <c r="P21705" s="42"/>
      <c r="AB21705" s="38"/>
    </row>
    <row r="21706">
      <c r="P21706" s="42"/>
      <c r="AB21706" s="38"/>
    </row>
    <row r="21707">
      <c r="P21707" s="42"/>
      <c r="AB21707" s="38"/>
    </row>
    <row r="21708">
      <c r="P21708" s="42"/>
      <c r="AB21708" s="38"/>
    </row>
    <row r="21709">
      <c r="P21709" s="42"/>
      <c r="AB21709" s="38"/>
    </row>
    <row r="21710">
      <c r="P21710" s="42"/>
      <c r="AB21710" s="38"/>
    </row>
    <row r="21711">
      <c r="P21711" s="42"/>
      <c r="AB21711" s="38"/>
    </row>
    <row r="21712">
      <c r="P21712" s="42"/>
      <c r="AB21712" s="38"/>
    </row>
    <row r="21713">
      <c r="P21713" s="42"/>
      <c r="AB21713" s="38"/>
    </row>
    <row r="21714">
      <c r="P21714" s="42"/>
      <c r="AB21714" s="38"/>
    </row>
    <row r="21715">
      <c r="P21715" s="42"/>
      <c r="AB21715" s="38"/>
    </row>
    <row r="21716">
      <c r="P21716" s="42"/>
      <c r="AB21716" s="38"/>
    </row>
    <row r="21717">
      <c r="P21717" s="42"/>
      <c r="AB21717" s="38"/>
    </row>
    <row r="21718">
      <c r="P21718" s="42"/>
      <c r="AB21718" s="38"/>
    </row>
    <row r="21719">
      <c r="P21719" s="42"/>
      <c r="AB21719" s="38"/>
    </row>
    <row r="21720">
      <c r="P21720" s="42"/>
      <c r="AB21720" s="38"/>
    </row>
    <row r="21721">
      <c r="P21721" s="42"/>
      <c r="AB21721" s="38"/>
    </row>
    <row r="21722">
      <c r="P21722" s="42"/>
      <c r="AB21722" s="38"/>
    </row>
    <row r="21723">
      <c r="P21723" s="42"/>
      <c r="AB21723" s="38"/>
    </row>
    <row r="21724">
      <c r="P21724" s="42"/>
      <c r="AB21724" s="38"/>
    </row>
    <row r="21725">
      <c r="P21725" s="42"/>
      <c r="AB21725" s="38"/>
    </row>
    <row r="21726">
      <c r="P21726" s="42"/>
      <c r="AB21726" s="38"/>
    </row>
    <row r="21727">
      <c r="P21727" s="42"/>
      <c r="AB21727" s="38"/>
    </row>
    <row r="21728">
      <c r="P21728" s="42"/>
      <c r="AB21728" s="38"/>
    </row>
    <row r="21729">
      <c r="P21729" s="42"/>
      <c r="AB21729" s="38"/>
    </row>
    <row r="21730">
      <c r="P21730" s="42"/>
      <c r="AB21730" s="38"/>
    </row>
    <row r="21731">
      <c r="P21731" s="42"/>
      <c r="AB21731" s="38"/>
    </row>
    <row r="21732">
      <c r="P21732" s="42"/>
      <c r="AB21732" s="38"/>
    </row>
    <row r="21733">
      <c r="P21733" s="42"/>
      <c r="AB21733" s="38"/>
    </row>
    <row r="21734">
      <c r="P21734" s="42"/>
      <c r="AB21734" s="38"/>
    </row>
    <row r="21735">
      <c r="P21735" s="42"/>
      <c r="AB21735" s="38"/>
    </row>
    <row r="21736">
      <c r="P21736" s="42"/>
      <c r="AB21736" s="38"/>
    </row>
    <row r="21737">
      <c r="P21737" s="42"/>
      <c r="AB21737" s="38"/>
    </row>
    <row r="21738">
      <c r="P21738" s="42"/>
      <c r="AB21738" s="38"/>
    </row>
    <row r="21739">
      <c r="P21739" s="42"/>
      <c r="AB21739" s="38"/>
    </row>
    <row r="21740">
      <c r="P21740" s="42"/>
      <c r="AB21740" s="38"/>
    </row>
    <row r="21741">
      <c r="P21741" s="42"/>
      <c r="AB21741" s="38"/>
    </row>
    <row r="21742">
      <c r="P21742" s="42"/>
      <c r="AB21742" s="38"/>
    </row>
    <row r="21743">
      <c r="P21743" s="42"/>
      <c r="AB21743" s="38"/>
    </row>
    <row r="21744">
      <c r="P21744" s="42"/>
      <c r="AB21744" s="38"/>
    </row>
    <row r="21745">
      <c r="P21745" s="42"/>
      <c r="AB21745" s="38"/>
    </row>
    <row r="21746">
      <c r="P21746" s="42"/>
      <c r="AB21746" s="38"/>
    </row>
    <row r="21747">
      <c r="P21747" s="42"/>
      <c r="AB21747" s="38"/>
    </row>
    <row r="21748">
      <c r="P21748" s="42"/>
      <c r="AB21748" s="38"/>
    </row>
    <row r="21749">
      <c r="P21749" s="42"/>
      <c r="AB21749" s="38"/>
    </row>
    <row r="21750">
      <c r="P21750" s="42"/>
      <c r="AB21750" s="38"/>
    </row>
    <row r="21751">
      <c r="P21751" s="42"/>
      <c r="AB21751" s="38"/>
    </row>
    <row r="21752">
      <c r="P21752" s="42"/>
      <c r="AB21752" s="38"/>
    </row>
    <row r="21753">
      <c r="P21753" s="42"/>
      <c r="AB21753" s="38"/>
    </row>
    <row r="21754">
      <c r="P21754" s="42"/>
      <c r="AB21754" s="38"/>
    </row>
    <row r="21755">
      <c r="P21755" s="42"/>
      <c r="AB21755" s="38"/>
    </row>
    <row r="21756">
      <c r="P21756" s="42"/>
      <c r="AB21756" s="38"/>
    </row>
    <row r="21757">
      <c r="P21757" s="42"/>
      <c r="AB21757" s="38"/>
    </row>
    <row r="21758">
      <c r="P21758" s="42"/>
      <c r="AB21758" s="38"/>
    </row>
    <row r="21759">
      <c r="P21759" s="42"/>
      <c r="AB21759" s="38"/>
    </row>
    <row r="21760">
      <c r="P21760" s="42"/>
      <c r="AB21760" s="38"/>
    </row>
    <row r="21761">
      <c r="P21761" s="42"/>
      <c r="AB21761" s="38"/>
    </row>
    <row r="21762">
      <c r="P21762" s="42"/>
      <c r="AB21762" s="38"/>
    </row>
    <row r="21763">
      <c r="P21763" s="42"/>
      <c r="AB21763" s="38"/>
    </row>
    <row r="21764">
      <c r="P21764" s="42"/>
      <c r="AB21764" s="38"/>
    </row>
    <row r="21765">
      <c r="P21765" s="42"/>
      <c r="AB21765" s="38"/>
    </row>
    <row r="21766">
      <c r="P21766" s="42"/>
      <c r="AB21766" s="38"/>
    </row>
    <row r="21767">
      <c r="P21767" s="42"/>
      <c r="AB21767" s="38"/>
    </row>
    <row r="21768">
      <c r="P21768" s="42"/>
      <c r="AB21768" s="38"/>
    </row>
    <row r="21769">
      <c r="P21769" s="42"/>
      <c r="AB21769" s="38"/>
    </row>
    <row r="21770">
      <c r="P21770" s="42"/>
      <c r="AB21770" s="38"/>
    </row>
    <row r="21771">
      <c r="P21771" s="42"/>
      <c r="AB21771" s="38"/>
    </row>
    <row r="21772">
      <c r="P21772" s="42"/>
      <c r="AB21772" s="38"/>
    </row>
    <row r="21773">
      <c r="P21773" s="42"/>
      <c r="AB21773" s="38"/>
    </row>
    <row r="21774">
      <c r="P21774" s="42"/>
      <c r="AB21774" s="38"/>
    </row>
    <row r="21775">
      <c r="P21775" s="42"/>
      <c r="AB21775" s="38"/>
    </row>
    <row r="21776">
      <c r="P21776" s="42"/>
      <c r="AB21776" s="38"/>
    </row>
    <row r="21777">
      <c r="P21777" s="42"/>
      <c r="AB21777" s="38"/>
    </row>
    <row r="21778">
      <c r="P21778" s="42"/>
      <c r="AB21778" s="38"/>
    </row>
    <row r="21779">
      <c r="P21779" s="42"/>
      <c r="AB21779" s="38"/>
    </row>
    <row r="21780">
      <c r="P21780" s="42"/>
      <c r="AB21780" s="38"/>
    </row>
    <row r="21781">
      <c r="P21781" s="42"/>
      <c r="AB21781" s="38"/>
    </row>
    <row r="21782">
      <c r="P21782" s="42"/>
      <c r="AB21782" s="38"/>
    </row>
    <row r="21783">
      <c r="P21783" s="42"/>
      <c r="AB21783" s="38"/>
    </row>
    <row r="21784">
      <c r="P21784" s="42"/>
      <c r="AB21784" s="38"/>
    </row>
    <row r="21785">
      <c r="P21785" s="42"/>
      <c r="AB21785" s="38"/>
    </row>
    <row r="21786">
      <c r="P21786" s="42"/>
      <c r="AB21786" s="38"/>
    </row>
    <row r="21787">
      <c r="P21787" s="42"/>
      <c r="AB21787" s="38"/>
    </row>
    <row r="21788">
      <c r="P21788" s="42"/>
      <c r="AB21788" s="38"/>
    </row>
    <row r="21789">
      <c r="P21789" s="42"/>
      <c r="AB21789" s="38"/>
    </row>
    <row r="21790">
      <c r="P21790" s="42"/>
      <c r="AB21790" s="38"/>
    </row>
    <row r="21791">
      <c r="P21791" s="42"/>
      <c r="AB21791" s="38"/>
    </row>
    <row r="21792">
      <c r="P21792" s="42"/>
      <c r="AB21792" s="38"/>
    </row>
    <row r="21793">
      <c r="P21793" s="42"/>
      <c r="AB21793" s="38"/>
    </row>
    <row r="21794">
      <c r="P21794" s="42"/>
      <c r="AB21794" s="38"/>
    </row>
    <row r="21795">
      <c r="P21795" s="42"/>
      <c r="AB21795" s="38"/>
    </row>
    <row r="21796">
      <c r="P21796" s="42"/>
      <c r="AB21796" s="38"/>
    </row>
    <row r="21797">
      <c r="P21797" s="42"/>
      <c r="AB21797" s="38"/>
    </row>
    <row r="21798">
      <c r="P21798" s="42"/>
      <c r="AB21798" s="38"/>
    </row>
    <row r="21799">
      <c r="P21799" s="42"/>
      <c r="AB21799" s="38"/>
    </row>
    <row r="21800">
      <c r="P21800" s="42"/>
      <c r="AB21800" s="38"/>
    </row>
    <row r="21801">
      <c r="P21801" s="42"/>
      <c r="AB21801" s="38"/>
    </row>
    <row r="21802">
      <c r="P21802" s="42"/>
      <c r="AB21802" s="38"/>
    </row>
    <row r="21803">
      <c r="P21803" s="42"/>
      <c r="AB21803" s="38"/>
    </row>
    <row r="21804">
      <c r="P21804" s="42"/>
      <c r="AB21804" s="38"/>
    </row>
    <row r="21805">
      <c r="P21805" s="42"/>
      <c r="AB21805" s="38"/>
    </row>
    <row r="21806">
      <c r="P21806" s="42"/>
      <c r="AB21806" s="38"/>
    </row>
    <row r="21807">
      <c r="P21807" s="42"/>
      <c r="AB21807" s="38"/>
    </row>
    <row r="21808">
      <c r="P21808" s="42"/>
      <c r="AB21808" s="38"/>
    </row>
    <row r="21809">
      <c r="P21809" s="42"/>
      <c r="AB21809" s="38"/>
    </row>
    <row r="21810">
      <c r="P21810" s="42"/>
      <c r="AB21810" s="38"/>
    </row>
    <row r="21811">
      <c r="P21811" s="42"/>
      <c r="AB21811" s="38"/>
    </row>
    <row r="21812">
      <c r="P21812" s="42"/>
      <c r="AB21812" s="38"/>
    </row>
    <row r="21813">
      <c r="P21813" s="42"/>
      <c r="AB21813" s="38"/>
    </row>
    <row r="21814">
      <c r="P21814" s="42"/>
      <c r="AB21814" s="38"/>
    </row>
    <row r="21815">
      <c r="P21815" s="42"/>
      <c r="AB21815" s="38"/>
    </row>
    <row r="21816">
      <c r="P21816" s="42"/>
      <c r="AB21816" s="38"/>
    </row>
    <row r="21817">
      <c r="P21817" s="42"/>
      <c r="AB21817" s="38"/>
    </row>
    <row r="21818">
      <c r="P21818" s="42"/>
      <c r="AB21818" s="38"/>
    </row>
    <row r="21819">
      <c r="P21819" s="42"/>
      <c r="AB21819" s="38"/>
    </row>
    <row r="21820">
      <c r="P21820" s="42"/>
      <c r="AB21820" s="38"/>
    </row>
    <row r="21821">
      <c r="P21821" s="42"/>
      <c r="AB21821" s="38"/>
    </row>
    <row r="21822">
      <c r="P21822" s="42"/>
      <c r="AB21822" s="38"/>
    </row>
    <row r="21823">
      <c r="P21823" s="42"/>
      <c r="AB21823" s="38"/>
    </row>
    <row r="21824">
      <c r="P21824" s="42"/>
      <c r="AB21824" s="38"/>
    </row>
    <row r="21825">
      <c r="P21825" s="42"/>
      <c r="AB21825" s="38"/>
    </row>
    <row r="21826">
      <c r="P21826" s="42"/>
      <c r="AB21826" s="38"/>
    </row>
    <row r="21827">
      <c r="P21827" s="42"/>
      <c r="AB21827" s="38"/>
    </row>
    <row r="21828">
      <c r="P21828" s="42"/>
      <c r="AB21828" s="38"/>
    </row>
    <row r="21829">
      <c r="P21829" s="42"/>
      <c r="AB21829" s="38"/>
    </row>
    <row r="21830">
      <c r="P21830" s="42"/>
      <c r="AB21830" s="38"/>
    </row>
    <row r="21831">
      <c r="P21831" s="42"/>
      <c r="AB21831" s="38"/>
    </row>
    <row r="21832">
      <c r="P21832" s="42"/>
      <c r="AB21832" s="38"/>
    </row>
    <row r="21833">
      <c r="P21833" s="42"/>
      <c r="AB21833" s="38"/>
    </row>
    <row r="21834">
      <c r="P21834" s="42"/>
      <c r="AB21834" s="38"/>
    </row>
    <row r="21835">
      <c r="P21835" s="42"/>
      <c r="AB21835" s="38"/>
    </row>
    <row r="21836">
      <c r="P21836" s="42"/>
      <c r="AB21836" s="38"/>
    </row>
    <row r="21837">
      <c r="P21837" s="42"/>
      <c r="AB21837" s="38"/>
    </row>
    <row r="21838">
      <c r="P21838" s="42"/>
      <c r="AB21838" s="38"/>
    </row>
    <row r="21839">
      <c r="P21839" s="42"/>
      <c r="AB21839" s="38"/>
    </row>
    <row r="21840">
      <c r="P21840" s="42"/>
      <c r="AB21840" s="38"/>
    </row>
    <row r="21841">
      <c r="P21841" s="42"/>
      <c r="AB21841" s="38"/>
    </row>
    <row r="21842">
      <c r="P21842" s="42"/>
      <c r="AB21842" s="38"/>
    </row>
    <row r="21843">
      <c r="P21843" s="42"/>
      <c r="AB21843" s="38"/>
    </row>
    <row r="21844">
      <c r="P21844" s="42"/>
      <c r="AB21844" s="38"/>
    </row>
    <row r="21845">
      <c r="P21845" s="42"/>
      <c r="AB21845" s="38"/>
    </row>
    <row r="21846">
      <c r="P21846" s="42"/>
      <c r="AB21846" s="38"/>
    </row>
    <row r="21847">
      <c r="P21847" s="42"/>
      <c r="AB21847" s="38"/>
    </row>
    <row r="21848">
      <c r="P21848" s="42"/>
      <c r="AB21848" s="38"/>
    </row>
    <row r="21849">
      <c r="P21849" s="42"/>
      <c r="AB21849" s="38"/>
    </row>
    <row r="21850">
      <c r="P21850" s="42"/>
      <c r="AB21850" s="38"/>
    </row>
    <row r="21851">
      <c r="P21851" s="42"/>
      <c r="AB21851" s="38"/>
    </row>
    <row r="21852">
      <c r="P21852" s="42"/>
      <c r="AB21852" s="38"/>
    </row>
    <row r="21853">
      <c r="P21853" s="42"/>
      <c r="AB21853" s="38"/>
    </row>
    <row r="21854">
      <c r="P21854" s="42"/>
      <c r="AB21854" s="38"/>
    </row>
    <row r="21855">
      <c r="P21855" s="42"/>
      <c r="AB21855" s="38"/>
    </row>
    <row r="21856">
      <c r="P21856" s="42"/>
      <c r="AB21856" s="38"/>
    </row>
    <row r="21857">
      <c r="P21857" s="42"/>
      <c r="AB21857" s="38"/>
    </row>
    <row r="21858">
      <c r="P21858" s="42"/>
      <c r="AB21858" s="38"/>
    </row>
    <row r="21859">
      <c r="P21859" s="42"/>
      <c r="AB21859" s="38"/>
    </row>
    <row r="21860">
      <c r="P21860" s="42"/>
      <c r="AB21860" s="38"/>
    </row>
    <row r="21861">
      <c r="P21861" s="42"/>
      <c r="AB21861" s="38"/>
    </row>
    <row r="21862">
      <c r="P21862" s="42"/>
      <c r="AB21862" s="38"/>
    </row>
    <row r="21863">
      <c r="P21863" s="42"/>
      <c r="AB21863" s="38"/>
    </row>
    <row r="21864">
      <c r="P21864" s="42"/>
      <c r="AB21864" s="38"/>
    </row>
    <row r="21865">
      <c r="P21865" s="42"/>
      <c r="AB21865" s="38"/>
    </row>
    <row r="21866">
      <c r="P21866" s="42"/>
      <c r="AB21866" s="38"/>
    </row>
    <row r="21867">
      <c r="P21867" s="42"/>
      <c r="AB21867" s="38"/>
    </row>
    <row r="21868">
      <c r="P21868" s="42"/>
      <c r="AB21868" s="38"/>
    </row>
    <row r="21869">
      <c r="P21869" s="42"/>
      <c r="AB21869" s="38"/>
    </row>
    <row r="21870">
      <c r="P21870" s="42"/>
      <c r="AB21870" s="38"/>
    </row>
    <row r="21871">
      <c r="P21871" s="42"/>
      <c r="AB21871" s="38"/>
    </row>
    <row r="21872">
      <c r="P21872" s="42"/>
      <c r="AB21872" s="38"/>
    </row>
    <row r="21873">
      <c r="P21873" s="42"/>
      <c r="AB21873" s="38"/>
    </row>
    <row r="21874">
      <c r="P21874" s="42"/>
      <c r="AB21874" s="38"/>
    </row>
    <row r="21875">
      <c r="P21875" s="42"/>
      <c r="AB21875" s="38"/>
    </row>
    <row r="21876">
      <c r="P21876" s="42"/>
      <c r="AB21876" s="38"/>
    </row>
    <row r="21877">
      <c r="P21877" s="42"/>
      <c r="AB21877" s="38"/>
    </row>
    <row r="21878">
      <c r="P21878" s="42"/>
      <c r="AB21878" s="38"/>
    </row>
    <row r="21879">
      <c r="P21879" s="42"/>
      <c r="AB21879" s="38"/>
    </row>
    <row r="21880">
      <c r="P21880" s="42"/>
      <c r="AB21880" s="38"/>
    </row>
    <row r="21881">
      <c r="P21881" s="42"/>
      <c r="AB21881" s="38"/>
    </row>
    <row r="21882">
      <c r="P21882" s="42"/>
      <c r="AB21882" s="38"/>
    </row>
    <row r="21883">
      <c r="P21883" s="42"/>
      <c r="AB21883" s="38"/>
    </row>
    <row r="21884">
      <c r="P21884" s="42"/>
      <c r="AB21884" s="38"/>
    </row>
    <row r="21885">
      <c r="P21885" s="42"/>
      <c r="AB21885" s="38"/>
    </row>
    <row r="21886">
      <c r="P21886" s="42"/>
      <c r="AB21886" s="38"/>
    </row>
    <row r="21887">
      <c r="P21887" s="42"/>
      <c r="AB21887" s="38"/>
    </row>
    <row r="21888">
      <c r="P21888" s="42"/>
      <c r="AB21888" s="38"/>
    </row>
    <row r="21889">
      <c r="P21889" s="42"/>
      <c r="AB21889" s="38"/>
    </row>
    <row r="21890">
      <c r="P21890" s="42"/>
      <c r="AB21890" s="38"/>
    </row>
    <row r="21891">
      <c r="P21891" s="42"/>
      <c r="AB21891" s="38"/>
    </row>
    <row r="21892">
      <c r="P21892" s="42"/>
      <c r="AB21892" s="38"/>
    </row>
    <row r="21893">
      <c r="P21893" s="42"/>
      <c r="AB21893" s="38"/>
    </row>
    <row r="21894">
      <c r="P21894" s="42"/>
      <c r="AB21894" s="38"/>
    </row>
    <row r="21895">
      <c r="P21895" s="42"/>
      <c r="AB21895" s="38"/>
    </row>
    <row r="21896">
      <c r="P21896" s="42"/>
      <c r="AB21896" s="38"/>
    </row>
    <row r="21897">
      <c r="P21897" s="42"/>
      <c r="AB21897" s="38"/>
    </row>
    <row r="21898">
      <c r="P21898" s="42"/>
      <c r="AB21898" s="38"/>
    </row>
    <row r="21899">
      <c r="P21899" s="42"/>
      <c r="AB21899" s="38"/>
    </row>
    <row r="21900">
      <c r="P21900" s="42"/>
      <c r="AB21900" s="38"/>
    </row>
    <row r="21901">
      <c r="P21901" s="42"/>
      <c r="AB21901" s="38"/>
    </row>
    <row r="21902">
      <c r="P21902" s="42"/>
      <c r="AB21902" s="38"/>
    </row>
    <row r="21903">
      <c r="P21903" s="42"/>
      <c r="AB21903" s="38"/>
    </row>
    <row r="21904">
      <c r="P21904" s="42"/>
      <c r="AB21904" s="38"/>
    </row>
    <row r="21905">
      <c r="P21905" s="42"/>
      <c r="AB21905" s="38"/>
    </row>
    <row r="21906">
      <c r="P21906" s="42"/>
      <c r="AB21906" s="38"/>
    </row>
    <row r="21907">
      <c r="P21907" s="42"/>
      <c r="AB21907" s="38"/>
    </row>
    <row r="21908">
      <c r="P21908" s="42"/>
      <c r="AB21908" s="38"/>
    </row>
    <row r="21909">
      <c r="P21909" s="42"/>
      <c r="AB21909" s="38"/>
    </row>
    <row r="21910">
      <c r="P21910" s="42"/>
      <c r="AB21910" s="38"/>
    </row>
    <row r="21911">
      <c r="P21911" s="42"/>
      <c r="AB21911" s="38"/>
    </row>
    <row r="21912">
      <c r="P21912" s="42"/>
      <c r="AB21912" s="38"/>
    </row>
    <row r="21913">
      <c r="P21913" s="42"/>
      <c r="AB21913" s="38"/>
    </row>
    <row r="21914">
      <c r="P21914" s="42"/>
      <c r="AB21914" s="38"/>
    </row>
    <row r="21915">
      <c r="P21915" s="42"/>
      <c r="AB21915" s="38"/>
    </row>
    <row r="21916">
      <c r="P21916" s="42"/>
      <c r="AB21916" s="38"/>
    </row>
    <row r="21917">
      <c r="P21917" s="42"/>
      <c r="AB21917" s="38"/>
    </row>
    <row r="21918">
      <c r="P21918" s="42"/>
      <c r="AB21918" s="38"/>
    </row>
    <row r="21919">
      <c r="P21919" s="42"/>
      <c r="AB21919" s="38"/>
    </row>
    <row r="21920">
      <c r="P21920" s="42"/>
      <c r="AB21920" s="38"/>
    </row>
    <row r="21921">
      <c r="P21921" s="42"/>
      <c r="AB21921" s="38"/>
    </row>
    <row r="21922">
      <c r="P21922" s="42"/>
      <c r="AB21922" s="38"/>
    </row>
    <row r="21923">
      <c r="P21923" s="42"/>
      <c r="AB21923" s="38"/>
    </row>
    <row r="21924">
      <c r="P21924" s="42"/>
      <c r="AB21924" s="38"/>
    </row>
    <row r="21925">
      <c r="P21925" s="42"/>
      <c r="AB21925" s="38"/>
    </row>
    <row r="21926">
      <c r="P21926" s="42"/>
      <c r="AB21926" s="38"/>
    </row>
    <row r="21927">
      <c r="P21927" s="42"/>
      <c r="AB21927" s="38"/>
    </row>
    <row r="21928">
      <c r="P21928" s="42"/>
      <c r="AB21928" s="38"/>
    </row>
    <row r="21929">
      <c r="P21929" s="42"/>
      <c r="AB21929" s="38"/>
    </row>
    <row r="21930">
      <c r="P21930" s="42"/>
      <c r="AB21930" s="38"/>
    </row>
    <row r="21931">
      <c r="P21931" s="42"/>
      <c r="AB21931" s="38"/>
    </row>
    <row r="21932">
      <c r="P21932" s="42"/>
      <c r="AB21932" s="38"/>
    </row>
    <row r="21933">
      <c r="P21933" s="42"/>
      <c r="AB21933" s="38"/>
    </row>
    <row r="21934">
      <c r="P21934" s="42"/>
      <c r="AB21934" s="38"/>
    </row>
    <row r="21935">
      <c r="P21935" s="42"/>
      <c r="AB21935" s="38"/>
    </row>
    <row r="21936">
      <c r="P21936" s="42"/>
      <c r="AB21936" s="38"/>
    </row>
    <row r="21937">
      <c r="P21937" s="42"/>
      <c r="AB21937" s="38"/>
    </row>
    <row r="21938">
      <c r="P21938" s="42"/>
      <c r="AB21938" s="38"/>
    </row>
    <row r="21939">
      <c r="P21939" s="42"/>
      <c r="AB21939" s="38"/>
    </row>
    <row r="21940">
      <c r="P21940" s="42"/>
      <c r="AB21940" s="38"/>
    </row>
    <row r="21941">
      <c r="P21941" s="42"/>
      <c r="AB21941" s="38"/>
    </row>
    <row r="21942">
      <c r="P21942" s="42"/>
      <c r="AB21942" s="38"/>
    </row>
    <row r="21943">
      <c r="P21943" s="42"/>
      <c r="AB21943" s="38"/>
    </row>
    <row r="21944">
      <c r="P21944" s="42"/>
      <c r="AB21944" s="38"/>
    </row>
    <row r="21945">
      <c r="P21945" s="42"/>
      <c r="AB21945" s="38"/>
    </row>
    <row r="21946">
      <c r="P21946" s="42"/>
      <c r="AB21946" s="38"/>
    </row>
    <row r="21947">
      <c r="P21947" s="42"/>
      <c r="AB21947" s="38"/>
    </row>
    <row r="21948">
      <c r="P21948" s="42"/>
      <c r="AB21948" s="38"/>
    </row>
    <row r="21949">
      <c r="P21949" s="42"/>
      <c r="AB21949" s="38"/>
    </row>
    <row r="21950">
      <c r="P21950" s="42"/>
      <c r="AB21950" s="38"/>
    </row>
    <row r="21951">
      <c r="P21951" s="42"/>
      <c r="AB21951" s="38"/>
    </row>
    <row r="21952">
      <c r="P21952" s="42"/>
      <c r="AB21952" s="38"/>
    </row>
    <row r="21953">
      <c r="P21953" s="42"/>
      <c r="AB21953" s="38"/>
    </row>
    <row r="21954">
      <c r="P21954" s="42"/>
      <c r="AB21954" s="38"/>
    </row>
    <row r="21955">
      <c r="P21955" s="42"/>
      <c r="AB21955" s="38"/>
    </row>
    <row r="21956">
      <c r="P21956" s="42"/>
      <c r="AB21956" s="38"/>
    </row>
    <row r="21957">
      <c r="P21957" s="42"/>
      <c r="AB21957" s="38"/>
    </row>
    <row r="21958">
      <c r="P21958" s="42"/>
      <c r="AB21958" s="38"/>
    </row>
    <row r="21959">
      <c r="P21959" s="42"/>
      <c r="AB21959" s="38"/>
    </row>
    <row r="21960">
      <c r="P21960" s="42"/>
      <c r="AB21960" s="38"/>
    </row>
    <row r="21961">
      <c r="P21961" s="42"/>
      <c r="AB21961" s="38"/>
    </row>
    <row r="21962">
      <c r="P21962" s="42"/>
      <c r="AB21962" s="38"/>
    </row>
    <row r="21963">
      <c r="P21963" s="42"/>
      <c r="AB21963" s="38"/>
    </row>
    <row r="21964">
      <c r="P21964" s="42"/>
      <c r="AB21964" s="38"/>
    </row>
    <row r="21965">
      <c r="P21965" s="42"/>
      <c r="AB21965" s="38"/>
    </row>
    <row r="21966">
      <c r="P21966" s="42"/>
      <c r="AB21966" s="38"/>
    </row>
    <row r="21967">
      <c r="P21967" s="42"/>
      <c r="AB21967" s="38"/>
    </row>
    <row r="21968">
      <c r="P21968" s="42"/>
      <c r="AB21968" s="38"/>
    </row>
    <row r="21969">
      <c r="P21969" s="42"/>
      <c r="AB21969" s="38"/>
    </row>
    <row r="21970">
      <c r="P21970" s="42"/>
      <c r="AB21970" s="38"/>
    </row>
    <row r="21971">
      <c r="P21971" s="42"/>
      <c r="AB21971" s="38"/>
    </row>
    <row r="21972">
      <c r="P21972" s="42"/>
      <c r="AB21972" s="38"/>
    </row>
    <row r="21973">
      <c r="P21973" s="42"/>
      <c r="AB21973" s="38"/>
    </row>
    <row r="21974">
      <c r="P21974" s="42"/>
      <c r="AB21974" s="38"/>
    </row>
    <row r="21975">
      <c r="P21975" s="42"/>
      <c r="AB21975" s="38"/>
    </row>
    <row r="21976">
      <c r="P21976" s="42"/>
      <c r="AB21976" s="38"/>
    </row>
    <row r="21977">
      <c r="P21977" s="42"/>
      <c r="AB21977" s="38"/>
    </row>
    <row r="21978">
      <c r="P21978" s="42"/>
      <c r="AB21978" s="38"/>
    </row>
    <row r="21979">
      <c r="P21979" s="42"/>
      <c r="AB21979" s="38"/>
    </row>
    <row r="21980">
      <c r="P21980" s="42"/>
      <c r="AB21980" s="38"/>
    </row>
    <row r="21981">
      <c r="P21981" s="42"/>
      <c r="AB21981" s="38"/>
    </row>
    <row r="21982">
      <c r="P21982" s="42"/>
      <c r="AB21982" s="38"/>
    </row>
    <row r="21983">
      <c r="P21983" s="42"/>
      <c r="AB21983" s="38"/>
    </row>
    <row r="21984">
      <c r="P21984" s="42"/>
      <c r="AB21984" s="38"/>
    </row>
    <row r="21985">
      <c r="P21985" s="42"/>
      <c r="AB21985" s="38"/>
    </row>
    <row r="21986">
      <c r="P21986" s="42"/>
      <c r="AB21986" s="38"/>
    </row>
    <row r="21987">
      <c r="P21987" s="42"/>
      <c r="AB21987" s="38"/>
    </row>
    <row r="21988">
      <c r="P21988" s="42"/>
      <c r="AB21988" s="38"/>
    </row>
    <row r="21989">
      <c r="P21989" s="42"/>
      <c r="AB21989" s="38"/>
    </row>
    <row r="21990">
      <c r="P21990" s="42"/>
      <c r="AB21990" s="38"/>
    </row>
    <row r="21991">
      <c r="P21991" s="42"/>
      <c r="AB21991" s="38"/>
    </row>
    <row r="21992">
      <c r="P21992" s="42"/>
      <c r="AB21992" s="38"/>
    </row>
    <row r="21993">
      <c r="P21993" s="42"/>
      <c r="AB21993" s="38"/>
    </row>
    <row r="21994">
      <c r="P21994" s="42"/>
      <c r="AB21994" s="38"/>
    </row>
    <row r="21995">
      <c r="P21995" s="42"/>
      <c r="AB21995" s="38"/>
    </row>
    <row r="21996">
      <c r="P21996" s="42"/>
      <c r="AB21996" s="38"/>
    </row>
    <row r="21997">
      <c r="P21997" s="42"/>
      <c r="AB21997" s="38"/>
    </row>
    <row r="21998">
      <c r="P21998" s="42"/>
      <c r="AB21998" s="38"/>
    </row>
    <row r="21999">
      <c r="P21999" s="42"/>
      <c r="AB21999" s="38"/>
    </row>
    <row r="22000">
      <c r="P22000" s="42"/>
      <c r="AB22000" s="38"/>
    </row>
    <row r="22001">
      <c r="P22001" s="42"/>
      <c r="AB22001" s="38"/>
    </row>
    <row r="22002">
      <c r="P22002" s="42"/>
      <c r="AB22002" s="38"/>
    </row>
    <row r="22003">
      <c r="P22003" s="42"/>
      <c r="AB22003" s="38"/>
    </row>
    <row r="22004">
      <c r="P22004" s="42"/>
      <c r="AB22004" s="38"/>
    </row>
    <row r="22005">
      <c r="P22005" s="42"/>
      <c r="AB22005" s="38"/>
    </row>
    <row r="22006">
      <c r="P22006" s="42"/>
      <c r="AB22006" s="38"/>
    </row>
    <row r="22007">
      <c r="P22007" s="42"/>
      <c r="AB22007" s="38"/>
    </row>
    <row r="22008">
      <c r="P22008" s="42"/>
      <c r="AB22008" s="38"/>
    </row>
    <row r="22009">
      <c r="P22009" s="42"/>
      <c r="AB22009" s="38"/>
    </row>
    <row r="22010">
      <c r="P22010" s="42"/>
      <c r="AB22010" s="38"/>
    </row>
    <row r="22011">
      <c r="P22011" s="42"/>
      <c r="AB22011" s="38"/>
    </row>
    <row r="22012">
      <c r="P22012" s="42"/>
      <c r="AB22012" s="38"/>
    </row>
    <row r="22013">
      <c r="P22013" s="42"/>
      <c r="AB22013" s="38"/>
    </row>
    <row r="22014">
      <c r="P22014" s="42"/>
      <c r="AB22014" s="38"/>
    </row>
    <row r="22015">
      <c r="P22015" s="42"/>
      <c r="AB22015" s="38"/>
    </row>
    <row r="22016">
      <c r="P22016" s="42"/>
      <c r="AB22016" s="38"/>
    </row>
    <row r="22017">
      <c r="P22017" s="42"/>
      <c r="AB22017" s="38"/>
    </row>
    <row r="22018">
      <c r="P22018" s="42"/>
      <c r="AB22018" s="38"/>
    </row>
    <row r="22019">
      <c r="P22019" s="42"/>
      <c r="AB22019" s="38"/>
    </row>
    <row r="22020">
      <c r="P22020" s="42"/>
      <c r="AB22020" s="38"/>
    </row>
    <row r="22021">
      <c r="P22021" s="42"/>
      <c r="AB22021" s="38"/>
    </row>
    <row r="22022">
      <c r="P22022" s="42"/>
      <c r="AB22022" s="38"/>
    </row>
    <row r="22023">
      <c r="P22023" s="42"/>
      <c r="AB22023" s="38"/>
    </row>
    <row r="22024">
      <c r="P22024" s="42"/>
      <c r="AB22024" s="38"/>
    </row>
    <row r="22025">
      <c r="P22025" s="42"/>
      <c r="AB22025" s="38"/>
    </row>
    <row r="22026">
      <c r="P22026" s="42"/>
      <c r="AB22026" s="38"/>
    </row>
    <row r="22027">
      <c r="P22027" s="42"/>
      <c r="AB22027" s="38"/>
    </row>
    <row r="22028">
      <c r="P22028" s="42"/>
      <c r="AB22028" s="38"/>
    </row>
    <row r="22029">
      <c r="P22029" s="42"/>
      <c r="AB22029" s="38"/>
    </row>
    <row r="22030">
      <c r="P22030" s="42"/>
      <c r="AB22030" s="38"/>
    </row>
    <row r="22031">
      <c r="P22031" s="42"/>
      <c r="AB22031" s="38"/>
    </row>
    <row r="22032">
      <c r="P22032" s="42"/>
      <c r="AB22032" s="38"/>
    </row>
    <row r="22033">
      <c r="P22033" s="42"/>
      <c r="AB22033" s="38"/>
    </row>
    <row r="22034">
      <c r="P22034" s="42"/>
      <c r="AB22034" s="38"/>
    </row>
    <row r="22035">
      <c r="P22035" s="42"/>
      <c r="AB22035" s="38"/>
    </row>
    <row r="22036">
      <c r="P22036" s="42"/>
      <c r="AB22036" s="38"/>
    </row>
    <row r="22037">
      <c r="P22037" s="42"/>
      <c r="AB22037" s="38"/>
    </row>
    <row r="22038">
      <c r="P22038" s="42"/>
      <c r="AB22038" s="38"/>
    </row>
    <row r="22039">
      <c r="P22039" s="42"/>
      <c r="AB22039" s="38"/>
    </row>
    <row r="22040">
      <c r="P22040" s="42"/>
      <c r="AB22040" s="38"/>
    </row>
    <row r="22041">
      <c r="P22041" s="42"/>
      <c r="AB22041" s="38"/>
    </row>
    <row r="22042">
      <c r="P22042" s="42"/>
      <c r="AB22042" s="38"/>
    </row>
    <row r="22043">
      <c r="P22043" s="42"/>
      <c r="AB22043" s="38"/>
    </row>
    <row r="22044">
      <c r="P22044" s="42"/>
      <c r="AB22044" s="38"/>
    </row>
    <row r="22045">
      <c r="P22045" s="42"/>
      <c r="AB22045" s="38"/>
    </row>
    <row r="22046">
      <c r="P22046" s="42"/>
      <c r="AB22046" s="38"/>
    </row>
    <row r="22047">
      <c r="P22047" s="42"/>
      <c r="AB22047" s="38"/>
    </row>
    <row r="22048">
      <c r="P22048" s="42"/>
      <c r="AB22048" s="38"/>
    </row>
    <row r="22049">
      <c r="P22049" s="42"/>
      <c r="AB22049" s="38"/>
    </row>
    <row r="22050">
      <c r="P22050" s="42"/>
      <c r="AB22050" s="38"/>
    </row>
    <row r="22051">
      <c r="P22051" s="42"/>
      <c r="AB22051" s="38"/>
    </row>
    <row r="22052">
      <c r="P22052" s="42"/>
      <c r="AB22052" s="38"/>
    </row>
    <row r="22053">
      <c r="P22053" s="42"/>
      <c r="AB22053" s="38"/>
    </row>
    <row r="22054">
      <c r="P22054" s="42"/>
      <c r="AB22054" s="38"/>
    </row>
    <row r="22055">
      <c r="P22055" s="42"/>
      <c r="AB22055" s="38"/>
    </row>
    <row r="22056">
      <c r="P22056" s="42"/>
      <c r="AB22056" s="38"/>
    </row>
    <row r="22057">
      <c r="P22057" s="42"/>
      <c r="AB22057" s="38"/>
    </row>
    <row r="22058">
      <c r="P22058" s="42"/>
      <c r="AB22058" s="38"/>
    </row>
    <row r="22059">
      <c r="P22059" s="42"/>
      <c r="AB22059" s="38"/>
    </row>
    <row r="22060">
      <c r="P22060" s="42"/>
      <c r="AB22060" s="38"/>
    </row>
    <row r="22061">
      <c r="P22061" s="42"/>
      <c r="AB22061" s="38"/>
    </row>
    <row r="22062">
      <c r="P22062" s="42"/>
      <c r="AB22062" s="38"/>
    </row>
    <row r="22063">
      <c r="P22063" s="42"/>
      <c r="AB22063" s="38"/>
    </row>
    <row r="22064">
      <c r="P22064" s="42"/>
      <c r="AB22064" s="38"/>
    </row>
    <row r="22065">
      <c r="P22065" s="42"/>
      <c r="AB22065" s="38"/>
    </row>
    <row r="22066">
      <c r="P22066" s="42"/>
      <c r="AB22066" s="38"/>
    </row>
    <row r="22067">
      <c r="P22067" s="42"/>
      <c r="AB22067" s="38"/>
    </row>
    <row r="22068">
      <c r="P22068" s="42"/>
      <c r="AB22068" s="38"/>
    </row>
    <row r="22069">
      <c r="P22069" s="42"/>
      <c r="AB22069" s="38"/>
    </row>
    <row r="22070">
      <c r="P22070" s="42"/>
      <c r="AB22070" s="38"/>
    </row>
    <row r="22071">
      <c r="P22071" s="42"/>
      <c r="AB22071" s="38"/>
    </row>
    <row r="22072">
      <c r="P22072" s="42"/>
      <c r="AB22072" s="38"/>
    </row>
    <row r="22073">
      <c r="P22073" s="42"/>
      <c r="AB22073" s="38"/>
    </row>
    <row r="22074">
      <c r="P22074" s="42"/>
      <c r="AB22074" s="38"/>
    </row>
    <row r="22075">
      <c r="P22075" s="42"/>
      <c r="AB22075" s="38"/>
    </row>
    <row r="22076">
      <c r="P22076" s="42"/>
      <c r="AB22076" s="38"/>
    </row>
    <row r="22077">
      <c r="P22077" s="42"/>
      <c r="AB22077" s="38"/>
    </row>
    <row r="22078">
      <c r="P22078" s="42"/>
      <c r="AB22078" s="38"/>
    </row>
    <row r="22079">
      <c r="P22079" s="42"/>
      <c r="AB22079" s="38"/>
    </row>
    <row r="22080">
      <c r="P22080" s="42"/>
      <c r="AB22080" s="38"/>
    </row>
    <row r="22081">
      <c r="P22081" s="42"/>
      <c r="AB22081" s="38"/>
    </row>
    <row r="22082">
      <c r="P22082" s="42"/>
      <c r="AB22082" s="38"/>
    </row>
    <row r="22083">
      <c r="P22083" s="42"/>
      <c r="AB22083" s="38"/>
    </row>
    <row r="22084">
      <c r="P22084" s="42"/>
      <c r="AB22084" s="38"/>
    </row>
    <row r="22085">
      <c r="P22085" s="42"/>
      <c r="AB22085" s="38"/>
    </row>
    <row r="22086">
      <c r="P22086" s="42"/>
      <c r="AB22086" s="38"/>
    </row>
    <row r="22087">
      <c r="P22087" s="42"/>
      <c r="AB22087" s="38"/>
    </row>
    <row r="22088">
      <c r="P22088" s="42"/>
      <c r="AB22088" s="38"/>
    </row>
    <row r="22089">
      <c r="P22089" s="42"/>
      <c r="AB22089" s="38"/>
    </row>
    <row r="22090">
      <c r="P22090" s="42"/>
      <c r="AB22090" s="38"/>
    </row>
    <row r="22091">
      <c r="P22091" s="42"/>
      <c r="AB22091" s="38"/>
    </row>
    <row r="22092">
      <c r="P22092" s="42"/>
      <c r="AB22092" s="38"/>
    </row>
    <row r="22093">
      <c r="P22093" s="42"/>
      <c r="AB22093" s="38"/>
    </row>
    <row r="22094">
      <c r="P22094" s="42"/>
      <c r="AB22094" s="38"/>
    </row>
    <row r="22095">
      <c r="P22095" s="42"/>
      <c r="AB22095" s="38"/>
    </row>
    <row r="22096">
      <c r="P22096" s="42"/>
      <c r="AB22096" s="38"/>
    </row>
    <row r="22097">
      <c r="P22097" s="42"/>
      <c r="AB22097" s="38"/>
    </row>
    <row r="22098">
      <c r="P22098" s="42"/>
      <c r="AB22098" s="38"/>
    </row>
    <row r="22099">
      <c r="P22099" s="42"/>
      <c r="AB22099" s="38"/>
    </row>
    <row r="22100">
      <c r="P22100" s="42"/>
      <c r="AB22100" s="38"/>
    </row>
    <row r="22101">
      <c r="P22101" s="42"/>
      <c r="AB22101" s="38"/>
    </row>
    <row r="22102">
      <c r="P22102" s="42"/>
      <c r="AB22102" s="38"/>
    </row>
    <row r="22103">
      <c r="P22103" s="42"/>
      <c r="AB22103" s="38"/>
    </row>
    <row r="22104">
      <c r="P22104" s="42"/>
      <c r="AB22104" s="38"/>
    </row>
    <row r="22105">
      <c r="P22105" s="42"/>
      <c r="AB22105" s="38"/>
    </row>
    <row r="22106">
      <c r="P22106" s="42"/>
      <c r="AB22106" s="38"/>
    </row>
    <row r="22107">
      <c r="P22107" s="42"/>
      <c r="AB22107" s="38"/>
    </row>
    <row r="22108">
      <c r="P22108" s="42"/>
      <c r="AB22108" s="38"/>
    </row>
    <row r="22109">
      <c r="P22109" s="42"/>
      <c r="AB22109" s="38"/>
    </row>
    <row r="22110">
      <c r="P22110" s="42"/>
      <c r="AB22110" s="38"/>
    </row>
    <row r="22111">
      <c r="P22111" s="42"/>
      <c r="AB22111" s="38"/>
    </row>
    <row r="22112">
      <c r="P22112" s="42"/>
      <c r="AB22112" s="38"/>
    </row>
    <row r="22113">
      <c r="P22113" s="42"/>
      <c r="AB22113" s="38"/>
    </row>
    <row r="22114">
      <c r="P22114" s="42"/>
      <c r="AB22114" s="38"/>
    </row>
    <row r="22115">
      <c r="P22115" s="42"/>
      <c r="AB22115" s="38"/>
    </row>
    <row r="22116">
      <c r="P22116" s="42"/>
      <c r="AB22116" s="38"/>
    </row>
    <row r="22117">
      <c r="P22117" s="42"/>
      <c r="AB22117" s="38"/>
    </row>
    <row r="22118">
      <c r="P22118" s="42"/>
      <c r="AB22118" s="38"/>
    </row>
    <row r="22119">
      <c r="P22119" s="42"/>
      <c r="AB22119" s="38"/>
    </row>
    <row r="22120">
      <c r="P22120" s="42"/>
      <c r="AB22120" s="38"/>
    </row>
    <row r="22121">
      <c r="P22121" s="42"/>
      <c r="AB22121" s="38"/>
    </row>
    <row r="22122">
      <c r="P22122" s="42"/>
      <c r="AB22122" s="38"/>
    </row>
    <row r="22123">
      <c r="P22123" s="42"/>
      <c r="AB22123" s="38"/>
    </row>
    <row r="22124">
      <c r="P22124" s="42"/>
      <c r="AB22124" s="38"/>
    </row>
    <row r="22125">
      <c r="P22125" s="42"/>
      <c r="AB22125" s="38"/>
    </row>
    <row r="22126">
      <c r="P22126" s="42"/>
      <c r="AB22126" s="38"/>
    </row>
    <row r="22127">
      <c r="P22127" s="42"/>
      <c r="AB22127" s="38"/>
    </row>
    <row r="22128">
      <c r="P22128" s="42"/>
      <c r="AB22128" s="38"/>
    </row>
    <row r="22129">
      <c r="P22129" s="42"/>
      <c r="AB22129" s="38"/>
    </row>
    <row r="22130">
      <c r="P22130" s="42"/>
      <c r="AB22130" s="38"/>
    </row>
    <row r="22131">
      <c r="P22131" s="42"/>
      <c r="AB22131" s="38"/>
    </row>
    <row r="22132">
      <c r="P22132" s="42"/>
      <c r="AB22132" s="38"/>
    </row>
    <row r="22133">
      <c r="P22133" s="42"/>
      <c r="AB22133" s="38"/>
    </row>
    <row r="22134">
      <c r="P22134" s="42"/>
      <c r="AB22134" s="38"/>
    </row>
    <row r="22135">
      <c r="P22135" s="42"/>
      <c r="AB22135" s="38"/>
    </row>
    <row r="22136">
      <c r="P22136" s="42"/>
      <c r="AB22136" s="38"/>
    </row>
    <row r="22137">
      <c r="P22137" s="42"/>
      <c r="AB22137" s="38"/>
    </row>
    <row r="22138">
      <c r="P22138" s="42"/>
      <c r="AB22138" s="38"/>
    </row>
    <row r="22139">
      <c r="P22139" s="42"/>
      <c r="AB22139" s="38"/>
    </row>
    <row r="22140">
      <c r="P22140" s="42"/>
      <c r="AB22140" s="38"/>
    </row>
    <row r="22141">
      <c r="P22141" s="42"/>
      <c r="AB22141" s="38"/>
    </row>
    <row r="22142">
      <c r="P22142" s="42"/>
      <c r="AB22142" s="38"/>
    </row>
    <row r="22143">
      <c r="P22143" s="42"/>
      <c r="AB22143" s="38"/>
    </row>
    <row r="22144">
      <c r="P22144" s="42"/>
      <c r="AB22144" s="38"/>
    </row>
    <row r="22145">
      <c r="P22145" s="42"/>
      <c r="AB22145" s="38"/>
    </row>
    <row r="22146">
      <c r="P22146" s="42"/>
      <c r="AB22146" s="38"/>
    </row>
    <row r="22147">
      <c r="P22147" s="42"/>
      <c r="AB22147" s="38"/>
    </row>
    <row r="22148">
      <c r="P22148" s="42"/>
      <c r="AB22148" s="38"/>
    </row>
    <row r="22149">
      <c r="P22149" s="42"/>
      <c r="AB22149" s="38"/>
    </row>
    <row r="22150">
      <c r="P22150" s="42"/>
      <c r="AB22150" s="38"/>
    </row>
    <row r="22151">
      <c r="P22151" s="42"/>
      <c r="AB22151" s="38"/>
    </row>
    <row r="22152">
      <c r="P22152" s="42"/>
      <c r="AB22152" s="38"/>
    </row>
    <row r="22153">
      <c r="P22153" s="42"/>
      <c r="AB22153" s="38"/>
    </row>
    <row r="22154">
      <c r="P22154" s="42"/>
      <c r="AB22154" s="38"/>
    </row>
    <row r="22155">
      <c r="P22155" s="42"/>
      <c r="AB22155" s="38"/>
    </row>
    <row r="22156">
      <c r="P22156" s="42"/>
      <c r="AB22156" s="38"/>
    </row>
    <row r="22157">
      <c r="P22157" s="42"/>
      <c r="AB22157" s="38"/>
    </row>
    <row r="22158">
      <c r="P22158" s="42"/>
      <c r="AB22158" s="38"/>
    </row>
    <row r="22159">
      <c r="P22159" s="42"/>
      <c r="AB22159" s="38"/>
    </row>
    <row r="22160">
      <c r="P22160" s="42"/>
      <c r="AB22160" s="38"/>
    </row>
    <row r="22161">
      <c r="P22161" s="42"/>
      <c r="AB22161" s="38"/>
    </row>
    <row r="22162">
      <c r="P22162" s="42"/>
      <c r="AB22162" s="38"/>
    </row>
    <row r="22163">
      <c r="P22163" s="42"/>
      <c r="AB22163" s="38"/>
    </row>
    <row r="22164">
      <c r="P22164" s="42"/>
      <c r="AB22164" s="38"/>
    </row>
    <row r="22165">
      <c r="P22165" s="42"/>
      <c r="AB22165" s="38"/>
    </row>
    <row r="22166">
      <c r="P22166" s="42"/>
      <c r="AB22166" s="38"/>
    </row>
    <row r="22167">
      <c r="P22167" s="42"/>
      <c r="AB22167" s="38"/>
    </row>
    <row r="22168">
      <c r="P22168" s="42"/>
      <c r="AB22168" s="38"/>
    </row>
    <row r="22169">
      <c r="P22169" s="42"/>
      <c r="AB22169" s="38"/>
    </row>
    <row r="22170">
      <c r="P22170" s="42"/>
      <c r="AB22170" s="38"/>
    </row>
    <row r="22171">
      <c r="P22171" s="42"/>
      <c r="AB22171" s="38"/>
    </row>
    <row r="22172">
      <c r="P22172" s="42"/>
      <c r="AB22172" s="38"/>
    </row>
    <row r="22173">
      <c r="P22173" s="42"/>
      <c r="AB22173" s="38"/>
    </row>
    <row r="22174">
      <c r="P22174" s="42"/>
      <c r="AB22174" s="38"/>
    </row>
    <row r="22175">
      <c r="P22175" s="42"/>
      <c r="AB22175" s="38"/>
    </row>
    <row r="22176">
      <c r="P22176" s="42"/>
      <c r="AB22176" s="38"/>
    </row>
    <row r="22177">
      <c r="P22177" s="42"/>
      <c r="AB22177" s="38"/>
    </row>
    <row r="22178">
      <c r="P22178" s="42"/>
      <c r="AB22178" s="38"/>
    </row>
    <row r="22179">
      <c r="P22179" s="42"/>
      <c r="AB22179" s="38"/>
    </row>
    <row r="22180">
      <c r="P22180" s="42"/>
      <c r="AB22180" s="38"/>
    </row>
    <row r="22181">
      <c r="P22181" s="42"/>
      <c r="AB22181" s="38"/>
    </row>
    <row r="22182">
      <c r="P22182" s="42"/>
      <c r="AB22182" s="38"/>
    </row>
    <row r="22183">
      <c r="P22183" s="42"/>
      <c r="AB22183" s="38"/>
    </row>
    <row r="22184">
      <c r="P22184" s="42"/>
      <c r="AB22184" s="38"/>
    </row>
    <row r="22185">
      <c r="P22185" s="42"/>
      <c r="AB22185" s="38"/>
    </row>
    <row r="22186">
      <c r="P22186" s="42"/>
      <c r="AB22186" s="38"/>
    </row>
    <row r="22187">
      <c r="P22187" s="42"/>
      <c r="AB22187" s="38"/>
    </row>
    <row r="22188">
      <c r="P22188" s="42"/>
      <c r="AB22188" s="38"/>
    </row>
    <row r="22189">
      <c r="P22189" s="42"/>
      <c r="AB22189" s="38"/>
    </row>
    <row r="22190">
      <c r="P22190" s="42"/>
      <c r="AB22190" s="38"/>
    </row>
    <row r="22191">
      <c r="P22191" s="42"/>
      <c r="AB22191" s="38"/>
    </row>
    <row r="22192">
      <c r="P22192" s="42"/>
      <c r="AB22192" s="38"/>
    </row>
    <row r="22193">
      <c r="P22193" s="42"/>
      <c r="AB22193" s="38"/>
    </row>
    <row r="22194">
      <c r="P22194" s="42"/>
      <c r="AB22194" s="38"/>
    </row>
    <row r="22195">
      <c r="P22195" s="42"/>
      <c r="AB22195" s="38"/>
    </row>
    <row r="22196">
      <c r="P22196" s="42"/>
      <c r="AB22196" s="38"/>
    </row>
    <row r="22197">
      <c r="P22197" s="42"/>
      <c r="AB22197" s="38"/>
    </row>
    <row r="22198">
      <c r="P22198" s="42"/>
      <c r="AB22198" s="38"/>
    </row>
    <row r="22199">
      <c r="P22199" s="42"/>
      <c r="AB22199" s="38"/>
    </row>
    <row r="22200">
      <c r="P22200" s="42"/>
      <c r="AB22200" s="38"/>
    </row>
    <row r="22201">
      <c r="P22201" s="42"/>
      <c r="AB22201" s="38"/>
    </row>
    <row r="22202">
      <c r="P22202" s="42"/>
      <c r="AB22202" s="38"/>
    </row>
    <row r="22203">
      <c r="P22203" s="42"/>
      <c r="AB22203" s="38"/>
    </row>
    <row r="22204">
      <c r="P22204" s="42"/>
      <c r="AB22204" s="38"/>
    </row>
    <row r="22205">
      <c r="P22205" s="42"/>
      <c r="AB22205" s="38"/>
    </row>
    <row r="22206">
      <c r="P22206" s="42"/>
      <c r="AB22206" s="38"/>
    </row>
    <row r="22207">
      <c r="P22207" s="42"/>
      <c r="AB22207" s="38"/>
    </row>
    <row r="22208">
      <c r="P22208" s="42"/>
      <c r="AB22208" s="38"/>
    </row>
    <row r="22209">
      <c r="P22209" s="42"/>
      <c r="AB22209" s="38"/>
    </row>
    <row r="22210">
      <c r="P22210" s="42"/>
      <c r="AB22210" s="38"/>
    </row>
    <row r="22211">
      <c r="P22211" s="42"/>
      <c r="AB22211" s="38"/>
    </row>
    <row r="22212">
      <c r="P22212" s="42"/>
      <c r="AB22212" s="38"/>
    </row>
    <row r="22213">
      <c r="P22213" s="42"/>
      <c r="AB22213" s="38"/>
    </row>
    <row r="22214">
      <c r="P22214" s="42"/>
      <c r="AB22214" s="38"/>
    </row>
    <row r="22215">
      <c r="P22215" s="42"/>
      <c r="AB22215" s="38"/>
    </row>
    <row r="22216">
      <c r="P22216" s="42"/>
      <c r="AB22216" s="38"/>
    </row>
    <row r="22217">
      <c r="P22217" s="42"/>
      <c r="AB22217" s="38"/>
    </row>
    <row r="22218">
      <c r="P22218" s="42"/>
      <c r="AB22218" s="38"/>
    </row>
    <row r="22219">
      <c r="P22219" s="42"/>
      <c r="AB22219" s="38"/>
    </row>
    <row r="22220">
      <c r="P22220" s="42"/>
      <c r="AB22220" s="38"/>
    </row>
    <row r="22221">
      <c r="P22221" s="42"/>
      <c r="AB22221" s="38"/>
    </row>
    <row r="22222">
      <c r="P22222" s="42"/>
      <c r="AB22222" s="38"/>
    </row>
    <row r="22223">
      <c r="P22223" s="42"/>
      <c r="AB22223" s="38"/>
    </row>
    <row r="22224">
      <c r="P22224" s="42"/>
      <c r="AB22224" s="38"/>
    </row>
    <row r="22225">
      <c r="P22225" s="42"/>
      <c r="AB22225" s="38"/>
    </row>
    <row r="22226">
      <c r="P22226" s="42"/>
      <c r="AB22226" s="38"/>
    </row>
    <row r="22227">
      <c r="P22227" s="42"/>
      <c r="AB22227" s="38"/>
    </row>
    <row r="22228">
      <c r="P22228" s="42"/>
      <c r="AB22228" s="38"/>
    </row>
    <row r="22229">
      <c r="P22229" s="42"/>
      <c r="AB22229" s="38"/>
    </row>
    <row r="22230">
      <c r="P22230" s="42"/>
      <c r="AB22230" s="38"/>
    </row>
    <row r="22231">
      <c r="P22231" s="42"/>
      <c r="AB22231" s="38"/>
    </row>
    <row r="22232">
      <c r="P22232" s="42"/>
      <c r="AB22232" s="38"/>
    </row>
    <row r="22233">
      <c r="P22233" s="42"/>
      <c r="AB22233" s="38"/>
    </row>
    <row r="22234">
      <c r="P22234" s="42"/>
      <c r="AB22234" s="38"/>
    </row>
    <row r="22235">
      <c r="P22235" s="42"/>
      <c r="AB22235" s="38"/>
    </row>
    <row r="22236">
      <c r="P22236" s="42"/>
      <c r="AB22236" s="38"/>
    </row>
    <row r="22237">
      <c r="P22237" s="42"/>
      <c r="AB22237" s="38"/>
    </row>
    <row r="22238">
      <c r="P22238" s="42"/>
      <c r="AB22238" s="38"/>
    </row>
    <row r="22239">
      <c r="P22239" s="42"/>
      <c r="AB22239" s="38"/>
    </row>
    <row r="22240">
      <c r="P22240" s="42"/>
      <c r="AB22240" s="38"/>
    </row>
    <row r="22241">
      <c r="P22241" s="42"/>
      <c r="AB22241" s="38"/>
    </row>
    <row r="22242">
      <c r="P22242" s="42"/>
      <c r="AB22242" s="38"/>
    </row>
    <row r="22243">
      <c r="P22243" s="42"/>
      <c r="AB22243" s="38"/>
    </row>
    <row r="22244">
      <c r="P22244" s="42"/>
      <c r="AB22244" s="38"/>
    </row>
    <row r="22245">
      <c r="P22245" s="42"/>
      <c r="AB22245" s="38"/>
    </row>
    <row r="22246">
      <c r="P22246" s="42"/>
      <c r="AB22246" s="38"/>
    </row>
    <row r="22247">
      <c r="P22247" s="42"/>
      <c r="AB22247" s="38"/>
    </row>
    <row r="22248">
      <c r="P22248" s="42"/>
      <c r="AB22248" s="38"/>
    </row>
    <row r="22249">
      <c r="P22249" s="42"/>
      <c r="AB22249" s="38"/>
    </row>
    <row r="22250">
      <c r="P22250" s="42"/>
      <c r="AB22250" s="38"/>
    </row>
    <row r="22251">
      <c r="P22251" s="42"/>
      <c r="AB22251" s="38"/>
    </row>
    <row r="22252">
      <c r="P22252" s="42"/>
      <c r="AB22252" s="38"/>
    </row>
    <row r="22253">
      <c r="P22253" s="42"/>
      <c r="AB22253" s="38"/>
    </row>
    <row r="22254">
      <c r="P22254" s="42"/>
      <c r="AB22254" s="38"/>
    </row>
    <row r="22255">
      <c r="P22255" s="42"/>
      <c r="AB22255" s="38"/>
    </row>
    <row r="22256">
      <c r="P22256" s="42"/>
      <c r="AB22256" s="38"/>
    </row>
    <row r="22257">
      <c r="P22257" s="42"/>
      <c r="AB22257" s="38"/>
    </row>
    <row r="22258">
      <c r="P22258" s="42"/>
      <c r="AB22258" s="38"/>
    </row>
    <row r="22259">
      <c r="P22259" s="42"/>
      <c r="AB22259" s="38"/>
    </row>
    <row r="22260">
      <c r="P22260" s="42"/>
      <c r="AB22260" s="38"/>
    </row>
    <row r="22261">
      <c r="P22261" s="42"/>
      <c r="AB22261" s="38"/>
    </row>
    <row r="22262">
      <c r="P22262" s="42"/>
      <c r="AB22262" s="38"/>
    </row>
    <row r="22263">
      <c r="P22263" s="42"/>
      <c r="AB22263" s="38"/>
    </row>
    <row r="22264">
      <c r="P22264" s="42"/>
      <c r="AB22264" s="38"/>
    </row>
    <row r="22265">
      <c r="P22265" s="42"/>
      <c r="AB22265" s="38"/>
    </row>
    <row r="22266">
      <c r="P22266" s="42"/>
      <c r="AB22266" s="38"/>
    </row>
    <row r="22267">
      <c r="P22267" s="42"/>
      <c r="AB22267" s="38"/>
    </row>
    <row r="22268">
      <c r="P22268" s="42"/>
      <c r="AB22268" s="38"/>
    </row>
    <row r="22269">
      <c r="P22269" s="42"/>
      <c r="AB22269" s="38"/>
    </row>
    <row r="22270">
      <c r="P22270" s="42"/>
      <c r="AB22270" s="38"/>
    </row>
    <row r="22271">
      <c r="P22271" s="42"/>
      <c r="AB22271" s="38"/>
    </row>
    <row r="22272">
      <c r="P22272" s="42"/>
      <c r="AB22272" s="38"/>
    </row>
    <row r="22273">
      <c r="P22273" s="42"/>
      <c r="AB22273" s="38"/>
    </row>
    <row r="22274">
      <c r="P22274" s="42"/>
      <c r="AB22274" s="38"/>
    </row>
    <row r="22275">
      <c r="P22275" s="42"/>
      <c r="AB22275" s="38"/>
    </row>
    <row r="22276">
      <c r="P22276" s="42"/>
      <c r="AB22276" s="38"/>
    </row>
    <row r="22277">
      <c r="P22277" s="42"/>
      <c r="AB22277" s="38"/>
    </row>
    <row r="22278">
      <c r="P22278" s="42"/>
      <c r="AB22278" s="38"/>
    </row>
    <row r="22279">
      <c r="P22279" s="42"/>
      <c r="AB22279" s="38"/>
    </row>
    <row r="22280">
      <c r="P22280" s="42"/>
      <c r="AB22280" s="38"/>
    </row>
    <row r="22281">
      <c r="P22281" s="42"/>
      <c r="AB22281" s="38"/>
    </row>
    <row r="22282">
      <c r="P22282" s="42"/>
      <c r="AB22282" s="38"/>
    </row>
    <row r="22283">
      <c r="P22283" s="42"/>
      <c r="AB22283" s="38"/>
    </row>
    <row r="22284">
      <c r="P22284" s="42"/>
      <c r="AB22284" s="38"/>
    </row>
    <row r="22285">
      <c r="P22285" s="42"/>
      <c r="AB22285" s="38"/>
    </row>
    <row r="22286">
      <c r="P22286" s="42"/>
      <c r="AB22286" s="38"/>
    </row>
    <row r="22287">
      <c r="P22287" s="42"/>
      <c r="AB22287" s="38"/>
    </row>
    <row r="22288">
      <c r="P22288" s="42"/>
      <c r="AB22288" s="38"/>
    </row>
    <row r="22289">
      <c r="P22289" s="42"/>
      <c r="AB22289" s="38"/>
    </row>
    <row r="22290">
      <c r="P22290" s="42"/>
      <c r="AB22290" s="38"/>
    </row>
    <row r="22291">
      <c r="P22291" s="42"/>
      <c r="AB22291" s="38"/>
    </row>
    <row r="22292">
      <c r="P22292" s="42"/>
      <c r="AB22292" s="38"/>
    </row>
    <row r="22293">
      <c r="P22293" s="42"/>
      <c r="AB22293" s="38"/>
    </row>
    <row r="22294">
      <c r="P22294" s="42"/>
      <c r="AB22294" s="38"/>
    </row>
    <row r="22295">
      <c r="P22295" s="42"/>
      <c r="AB22295" s="38"/>
    </row>
    <row r="22296">
      <c r="P22296" s="42"/>
      <c r="AB22296" s="38"/>
    </row>
    <row r="22297">
      <c r="P22297" s="42"/>
      <c r="AB22297" s="38"/>
    </row>
    <row r="22298">
      <c r="P22298" s="42"/>
      <c r="AB22298" s="38"/>
    </row>
    <row r="22299">
      <c r="P22299" s="42"/>
      <c r="AB22299" s="38"/>
    </row>
    <row r="22300">
      <c r="P22300" s="42"/>
      <c r="AB22300" s="38"/>
    </row>
    <row r="22301">
      <c r="P22301" s="42"/>
      <c r="AB22301" s="38"/>
    </row>
    <row r="22302">
      <c r="P22302" s="42"/>
      <c r="AB22302" s="38"/>
    </row>
    <row r="22303">
      <c r="P22303" s="42"/>
      <c r="AB22303" s="38"/>
    </row>
    <row r="22304">
      <c r="P22304" s="42"/>
      <c r="AB22304" s="38"/>
    </row>
    <row r="22305">
      <c r="P22305" s="42"/>
      <c r="AB22305" s="38"/>
    </row>
    <row r="22306">
      <c r="P22306" s="42"/>
      <c r="AB22306" s="38"/>
    </row>
    <row r="22307">
      <c r="P22307" s="42"/>
      <c r="AB22307" s="38"/>
    </row>
    <row r="22308">
      <c r="P22308" s="42"/>
      <c r="AB22308" s="38"/>
    </row>
    <row r="22309">
      <c r="P22309" s="42"/>
      <c r="AB22309" s="38"/>
    </row>
    <row r="22310">
      <c r="P22310" s="42"/>
      <c r="AB22310" s="38"/>
    </row>
    <row r="22311">
      <c r="P22311" s="42"/>
      <c r="AB22311" s="38"/>
    </row>
    <row r="22312">
      <c r="P22312" s="42"/>
      <c r="AB22312" s="38"/>
    </row>
    <row r="22313">
      <c r="P22313" s="42"/>
      <c r="AB22313" s="38"/>
    </row>
    <row r="22314">
      <c r="P22314" s="42"/>
      <c r="AB22314" s="38"/>
    </row>
    <row r="22315">
      <c r="P22315" s="42"/>
      <c r="AB22315" s="38"/>
    </row>
    <row r="22316">
      <c r="P22316" s="42"/>
      <c r="AB22316" s="38"/>
    </row>
    <row r="22317">
      <c r="P22317" s="42"/>
      <c r="AB22317" s="38"/>
    </row>
    <row r="22318">
      <c r="P22318" s="42"/>
      <c r="AB22318" s="38"/>
    </row>
    <row r="22319">
      <c r="P22319" s="42"/>
      <c r="AB22319" s="38"/>
    </row>
    <row r="22320">
      <c r="P22320" s="42"/>
      <c r="AB22320" s="38"/>
    </row>
    <row r="22321">
      <c r="P22321" s="42"/>
      <c r="AB22321" s="38"/>
    </row>
    <row r="22322">
      <c r="P22322" s="42"/>
      <c r="AB22322" s="38"/>
    </row>
    <row r="22323">
      <c r="P22323" s="42"/>
      <c r="AB22323" s="38"/>
    </row>
    <row r="22324">
      <c r="P22324" s="42"/>
      <c r="AB22324" s="38"/>
    </row>
    <row r="22325">
      <c r="P22325" s="42"/>
      <c r="AB22325" s="38"/>
    </row>
    <row r="22326">
      <c r="P22326" s="42"/>
      <c r="AB22326" s="38"/>
    </row>
    <row r="22327">
      <c r="P22327" s="42"/>
      <c r="AB22327" s="38"/>
    </row>
    <row r="22328">
      <c r="P22328" s="42"/>
      <c r="AB22328" s="38"/>
    </row>
    <row r="22329">
      <c r="P22329" s="42"/>
      <c r="AB22329" s="38"/>
    </row>
    <row r="22330">
      <c r="P22330" s="42"/>
      <c r="AB22330" s="38"/>
    </row>
    <row r="22331">
      <c r="P22331" s="42"/>
      <c r="AB22331" s="38"/>
    </row>
    <row r="22332">
      <c r="P22332" s="42"/>
      <c r="AB22332" s="38"/>
    </row>
    <row r="22333">
      <c r="P22333" s="42"/>
      <c r="AB22333" s="38"/>
    </row>
    <row r="22334">
      <c r="P22334" s="42"/>
      <c r="AB22334" s="38"/>
    </row>
    <row r="22335">
      <c r="P22335" s="42"/>
      <c r="AB22335" s="38"/>
    </row>
    <row r="22336">
      <c r="P22336" s="42"/>
      <c r="AB22336" s="38"/>
    </row>
    <row r="22337">
      <c r="P22337" s="42"/>
      <c r="AB22337" s="38"/>
    </row>
    <row r="22338">
      <c r="P22338" s="42"/>
      <c r="AB22338" s="38"/>
    </row>
    <row r="22339">
      <c r="P22339" s="42"/>
      <c r="AB22339" s="38"/>
    </row>
    <row r="22340">
      <c r="P22340" s="42"/>
      <c r="AB22340" s="38"/>
    </row>
    <row r="22341">
      <c r="P22341" s="42"/>
      <c r="AB22341" s="38"/>
    </row>
    <row r="22342">
      <c r="P22342" s="42"/>
      <c r="AB22342" s="38"/>
    </row>
    <row r="22343">
      <c r="P22343" s="42"/>
      <c r="AB22343" s="38"/>
    </row>
    <row r="22344">
      <c r="P22344" s="42"/>
      <c r="AB22344" s="38"/>
    </row>
    <row r="22345">
      <c r="P22345" s="42"/>
      <c r="AB22345" s="38"/>
    </row>
    <row r="22346">
      <c r="P22346" s="42"/>
      <c r="AB22346" s="38"/>
    </row>
    <row r="22347">
      <c r="P22347" s="42"/>
      <c r="AB22347" s="38"/>
    </row>
    <row r="22348">
      <c r="P22348" s="42"/>
      <c r="AB22348" s="38"/>
    </row>
    <row r="22349">
      <c r="P22349" s="42"/>
      <c r="AB22349" s="38"/>
    </row>
    <row r="22350">
      <c r="P22350" s="42"/>
      <c r="AB22350" s="38"/>
    </row>
    <row r="22351">
      <c r="P22351" s="42"/>
      <c r="AB22351" s="38"/>
    </row>
    <row r="22352">
      <c r="P22352" s="42"/>
      <c r="AB22352" s="38"/>
    </row>
    <row r="22353">
      <c r="P22353" s="42"/>
      <c r="AB22353" s="38"/>
    </row>
    <row r="22354">
      <c r="P22354" s="42"/>
      <c r="AB22354" s="38"/>
    </row>
    <row r="22355">
      <c r="P22355" s="42"/>
      <c r="AB22355" s="38"/>
    </row>
    <row r="22356">
      <c r="P22356" s="42"/>
      <c r="AB22356" s="38"/>
    </row>
    <row r="22357">
      <c r="P22357" s="42"/>
      <c r="AB22357" s="38"/>
    </row>
    <row r="22358">
      <c r="P22358" s="42"/>
      <c r="AB22358" s="38"/>
    </row>
    <row r="22359">
      <c r="P22359" s="42"/>
      <c r="AB22359" s="38"/>
    </row>
    <row r="22360">
      <c r="P22360" s="42"/>
      <c r="AB22360" s="38"/>
    </row>
    <row r="22361">
      <c r="P22361" s="42"/>
      <c r="AB22361" s="38"/>
    </row>
    <row r="22362">
      <c r="P22362" s="42"/>
      <c r="AB22362" s="38"/>
    </row>
    <row r="22363">
      <c r="P22363" s="42"/>
      <c r="AB22363" s="38"/>
    </row>
    <row r="22364">
      <c r="P22364" s="42"/>
      <c r="AB22364" s="38"/>
    </row>
    <row r="22365">
      <c r="P22365" s="42"/>
      <c r="AB22365" s="38"/>
    </row>
    <row r="22366">
      <c r="P22366" s="42"/>
      <c r="AB22366" s="38"/>
    </row>
    <row r="22367">
      <c r="P22367" s="42"/>
      <c r="AB22367" s="38"/>
    </row>
    <row r="22368">
      <c r="P22368" s="42"/>
      <c r="AB22368" s="38"/>
    </row>
    <row r="22369">
      <c r="P22369" s="42"/>
      <c r="AB22369" s="38"/>
    </row>
    <row r="22370">
      <c r="P22370" s="42"/>
      <c r="AB22370" s="38"/>
    </row>
    <row r="22371">
      <c r="P22371" s="42"/>
      <c r="AB22371" s="38"/>
    </row>
    <row r="22372">
      <c r="P22372" s="42"/>
      <c r="AB22372" s="38"/>
    </row>
    <row r="22373">
      <c r="P22373" s="42"/>
      <c r="AB22373" s="38"/>
    </row>
    <row r="22374">
      <c r="P22374" s="42"/>
      <c r="AB22374" s="38"/>
    </row>
    <row r="22375">
      <c r="P22375" s="42"/>
      <c r="AB22375" s="38"/>
    </row>
    <row r="22376">
      <c r="P22376" s="42"/>
      <c r="AB22376" s="38"/>
    </row>
    <row r="22377">
      <c r="P22377" s="42"/>
      <c r="AB22377" s="38"/>
    </row>
    <row r="22378">
      <c r="P22378" s="42"/>
      <c r="AB22378" s="38"/>
    </row>
    <row r="22379">
      <c r="P22379" s="42"/>
      <c r="AB22379" s="38"/>
    </row>
    <row r="22380">
      <c r="P22380" s="42"/>
      <c r="AB22380" s="38"/>
    </row>
    <row r="22381">
      <c r="P22381" s="42"/>
      <c r="AB22381" s="38"/>
    </row>
    <row r="22382">
      <c r="P22382" s="42"/>
      <c r="AB22382" s="38"/>
    </row>
    <row r="22383">
      <c r="P22383" s="42"/>
      <c r="AB22383" s="38"/>
    </row>
    <row r="22384">
      <c r="P22384" s="42"/>
      <c r="AB22384" s="38"/>
    </row>
    <row r="22385">
      <c r="P22385" s="42"/>
      <c r="AB22385" s="38"/>
    </row>
    <row r="22386">
      <c r="P22386" s="42"/>
      <c r="AB22386" s="38"/>
    </row>
    <row r="22387">
      <c r="P22387" s="42"/>
      <c r="AB22387" s="38"/>
    </row>
    <row r="22388">
      <c r="P22388" s="42"/>
      <c r="AB22388" s="38"/>
    </row>
    <row r="22389">
      <c r="P22389" s="42"/>
      <c r="AB22389" s="38"/>
    </row>
    <row r="22390">
      <c r="P22390" s="42"/>
      <c r="AB22390" s="38"/>
    </row>
    <row r="22391">
      <c r="P22391" s="42"/>
      <c r="AB22391" s="38"/>
    </row>
    <row r="22392">
      <c r="P22392" s="42"/>
      <c r="AB22392" s="38"/>
    </row>
    <row r="22393">
      <c r="P22393" s="42"/>
      <c r="AB22393" s="38"/>
    </row>
    <row r="22394">
      <c r="P22394" s="42"/>
      <c r="AB22394" s="38"/>
    </row>
    <row r="22395">
      <c r="P22395" s="42"/>
      <c r="AB22395" s="38"/>
    </row>
    <row r="22396">
      <c r="P22396" s="42"/>
      <c r="AB22396" s="38"/>
    </row>
    <row r="22397">
      <c r="P22397" s="42"/>
      <c r="AB22397" s="38"/>
    </row>
    <row r="22398">
      <c r="P22398" s="42"/>
      <c r="AB22398" s="38"/>
    </row>
    <row r="22399">
      <c r="P22399" s="42"/>
      <c r="AB22399" s="38"/>
    </row>
    <row r="22400">
      <c r="P22400" s="42"/>
      <c r="AB22400" s="38"/>
    </row>
    <row r="22401">
      <c r="P22401" s="42"/>
      <c r="AB22401" s="38"/>
    </row>
    <row r="22402">
      <c r="P22402" s="42"/>
      <c r="AB22402" s="38"/>
    </row>
    <row r="22403">
      <c r="P22403" s="42"/>
      <c r="AB22403" s="38"/>
    </row>
    <row r="22404">
      <c r="P22404" s="42"/>
      <c r="AB22404" s="38"/>
    </row>
    <row r="22405">
      <c r="P22405" s="42"/>
      <c r="AB22405" s="38"/>
    </row>
    <row r="22406">
      <c r="P22406" s="42"/>
      <c r="AB22406" s="38"/>
    </row>
    <row r="22407">
      <c r="P22407" s="42"/>
      <c r="AB22407" s="38"/>
    </row>
    <row r="22408">
      <c r="P22408" s="42"/>
      <c r="AB22408" s="38"/>
    </row>
    <row r="22409">
      <c r="P22409" s="42"/>
      <c r="AB22409" s="38"/>
    </row>
    <row r="22410">
      <c r="P22410" s="42"/>
      <c r="AB22410" s="38"/>
    </row>
    <row r="22411">
      <c r="P22411" s="42"/>
      <c r="AB22411" s="38"/>
    </row>
    <row r="22412">
      <c r="P22412" s="42"/>
      <c r="AB22412" s="38"/>
    </row>
    <row r="22413">
      <c r="P22413" s="42"/>
      <c r="AB22413" s="38"/>
    </row>
    <row r="22414">
      <c r="P22414" s="42"/>
      <c r="AB22414" s="38"/>
    </row>
    <row r="22415">
      <c r="P22415" s="42"/>
      <c r="AB22415" s="38"/>
    </row>
    <row r="22416">
      <c r="P22416" s="42"/>
      <c r="AB22416" s="38"/>
    </row>
    <row r="22417">
      <c r="P22417" s="42"/>
      <c r="AB22417" s="38"/>
    </row>
    <row r="22418">
      <c r="P22418" s="42"/>
      <c r="AB22418" s="38"/>
    </row>
    <row r="22419">
      <c r="P22419" s="42"/>
      <c r="AB22419" s="38"/>
    </row>
    <row r="22420">
      <c r="P22420" s="42"/>
      <c r="AB22420" s="38"/>
    </row>
    <row r="22421">
      <c r="P22421" s="42"/>
      <c r="AB22421" s="38"/>
    </row>
    <row r="22422">
      <c r="P22422" s="42"/>
      <c r="AB22422" s="38"/>
    </row>
    <row r="22423">
      <c r="P22423" s="42"/>
      <c r="AB22423" s="38"/>
    </row>
    <row r="22424">
      <c r="P22424" s="42"/>
      <c r="AB22424" s="38"/>
    </row>
    <row r="22425">
      <c r="P22425" s="42"/>
      <c r="AB22425" s="38"/>
    </row>
    <row r="22426">
      <c r="P22426" s="42"/>
      <c r="AB22426" s="38"/>
    </row>
    <row r="22427">
      <c r="P22427" s="42"/>
      <c r="AB22427" s="38"/>
    </row>
    <row r="22428">
      <c r="P22428" s="42"/>
      <c r="AB22428" s="38"/>
    </row>
    <row r="22429">
      <c r="P22429" s="42"/>
      <c r="AB22429" s="38"/>
    </row>
    <row r="22430">
      <c r="P22430" s="42"/>
      <c r="AB22430" s="38"/>
    </row>
    <row r="22431">
      <c r="P22431" s="42"/>
      <c r="AB22431" s="38"/>
    </row>
    <row r="22432">
      <c r="P22432" s="42"/>
      <c r="AB22432" s="38"/>
    </row>
    <row r="22433">
      <c r="P22433" s="42"/>
      <c r="AB22433" s="38"/>
    </row>
    <row r="22434">
      <c r="P22434" s="42"/>
      <c r="AB22434" s="38"/>
    </row>
    <row r="22435">
      <c r="P22435" s="42"/>
      <c r="AB22435" s="38"/>
    </row>
    <row r="22436">
      <c r="P22436" s="42"/>
      <c r="AB22436" s="38"/>
    </row>
    <row r="22437">
      <c r="P22437" s="42"/>
      <c r="AB22437" s="38"/>
    </row>
    <row r="22438">
      <c r="P22438" s="42"/>
      <c r="AB22438" s="38"/>
    </row>
    <row r="22439">
      <c r="P22439" s="42"/>
      <c r="AB22439" s="38"/>
    </row>
    <row r="22440">
      <c r="P22440" s="42"/>
      <c r="AB22440" s="38"/>
    </row>
    <row r="22441">
      <c r="P22441" s="42"/>
      <c r="AB22441" s="38"/>
    </row>
    <row r="22442">
      <c r="P22442" s="42"/>
      <c r="AB22442" s="38"/>
    </row>
    <row r="22443">
      <c r="P22443" s="42"/>
      <c r="AB22443" s="38"/>
    </row>
    <row r="22444">
      <c r="P22444" s="42"/>
      <c r="AB22444" s="38"/>
    </row>
    <row r="22445">
      <c r="P22445" s="42"/>
      <c r="AB22445" s="38"/>
    </row>
    <row r="22446">
      <c r="P22446" s="42"/>
      <c r="AB22446" s="38"/>
    </row>
    <row r="22447">
      <c r="P22447" s="42"/>
      <c r="AB22447" s="38"/>
    </row>
    <row r="22448">
      <c r="P22448" s="42"/>
      <c r="AB22448" s="38"/>
    </row>
    <row r="22449">
      <c r="P22449" s="42"/>
      <c r="AB22449" s="38"/>
    </row>
    <row r="22450">
      <c r="P22450" s="42"/>
      <c r="AB22450" s="38"/>
    </row>
    <row r="22451">
      <c r="P22451" s="42"/>
      <c r="AB22451" s="38"/>
    </row>
    <row r="22452">
      <c r="P22452" s="42"/>
      <c r="AB22452" s="38"/>
    </row>
    <row r="22453">
      <c r="P22453" s="42"/>
      <c r="AB22453" s="38"/>
    </row>
    <row r="22454">
      <c r="P22454" s="42"/>
      <c r="AB22454" s="38"/>
    </row>
    <row r="22455">
      <c r="P22455" s="42"/>
      <c r="AB22455" s="38"/>
    </row>
    <row r="22456">
      <c r="P22456" s="42"/>
      <c r="AB22456" s="38"/>
    </row>
    <row r="22457">
      <c r="P22457" s="42"/>
      <c r="AB22457" s="38"/>
    </row>
    <row r="22458">
      <c r="P22458" s="42"/>
      <c r="AB22458" s="38"/>
    </row>
    <row r="22459">
      <c r="P22459" s="42"/>
      <c r="AB22459" s="38"/>
    </row>
    <row r="22460">
      <c r="P22460" s="42"/>
      <c r="AB22460" s="38"/>
    </row>
    <row r="22461">
      <c r="P22461" s="42"/>
      <c r="AB22461" s="38"/>
    </row>
    <row r="22462">
      <c r="P22462" s="42"/>
      <c r="AB22462" s="38"/>
    </row>
    <row r="22463">
      <c r="P22463" s="42"/>
      <c r="AB22463" s="38"/>
    </row>
    <row r="22464">
      <c r="P22464" s="42"/>
      <c r="AB22464" s="38"/>
    </row>
    <row r="22465">
      <c r="P22465" s="42"/>
      <c r="AB22465" s="38"/>
    </row>
    <row r="22466">
      <c r="P22466" s="42"/>
      <c r="AB22466" s="38"/>
    </row>
    <row r="22467">
      <c r="P22467" s="42"/>
      <c r="AB22467" s="38"/>
    </row>
    <row r="22468">
      <c r="P22468" s="42"/>
      <c r="AB22468" s="38"/>
    </row>
    <row r="22469">
      <c r="P22469" s="42"/>
      <c r="AB22469" s="38"/>
    </row>
    <row r="22470">
      <c r="P22470" s="42"/>
      <c r="AB22470" s="38"/>
    </row>
    <row r="22471">
      <c r="P22471" s="42"/>
      <c r="AB22471" s="38"/>
    </row>
    <row r="22472">
      <c r="P22472" s="42"/>
      <c r="AB22472" s="38"/>
    </row>
    <row r="22473">
      <c r="P22473" s="42"/>
      <c r="AB22473" s="38"/>
    </row>
    <row r="22474">
      <c r="P22474" s="42"/>
      <c r="AB22474" s="38"/>
    </row>
    <row r="22475">
      <c r="P22475" s="42"/>
      <c r="AB22475" s="38"/>
    </row>
    <row r="22476">
      <c r="P22476" s="42"/>
      <c r="AB22476" s="38"/>
    </row>
    <row r="22477">
      <c r="P22477" s="42"/>
      <c r="AB22477" s="38"/>
    </row>
    <row r="22478">
      <c r="P22478" s="42"/>
      <c r="AB22478" s="38"/>
    </row>
    <row r="22479">
      <c r="P22479" s="42"/>
      <c r="AB22479" s="38"/>
    </row>
    <row r="22480">
      <c r="P22480" s="42"/>
      <c r="AB22480" s="38"/>
    </row>
    <row r="22481">
      <c r="P22481" s="42"/>
      <c r="AB22481" s="38"/>
    </row>
    <row r="22482">
      <c r="P22482" s="42"/>
      <c r="AB22482" s="38"/>
    </row>
    <row r="22483">
      <c r="P22483" s="42"/>
      <c r="AB22483" s="38"/>
    </row>
    <row r="22484">
      <c r="P22484" s="42"/>
      <c r="AB22484" s="38"/>
    </row>
    <row r="22485">
      <c r="P22485" s="42"/>
      <c r="AB22485" s="38"/>
    </row>
    <row r="22486">
      <c r="P22486" s="42"/>
      <c r="AB22486" s="38"/>
    </row>
    <row r="22487">
      <c r="P22487" s="42"/>
      <c r="AB22487" s="38"/>
    </row>
    <row r="22488">
      <c r="P22488" s="42"/>
      <c r="AB22488" s="38"/>
    </row>
    <row r="22489">
      <c r="P22489" s="42"/>
      <c r="AB22489" s="38"/>
    </row>
    <row r="22490">
      <c r="P22490" s="42"/>
      <c r="AB22490" s="38"/>
    </row>
    <row r="22491">
      <c r="P22491" s="42"/>
      <c r="AB22491" s="38"/>
    </row>
    <row r="22492">
      <c r="P22492" s="42"/>
      <c r="AB22492" s="38"/>
    </row>
    <row r="22493">
      <c r="P22493" s="42"/>
      <c r="AB22493" s="38"/>
    </row>
    <row r="22494">
      <c r="P22494" s="42"/>
      <c r="AB22494" s="38"/>
    </row>
    <row r="22495">
      <c r="P22495" s="42"/>
      <c r="AB22495" s="38"/>
    </row>
    <row r="22496">
      <c r="P22496" s="42"/>
      <c r="AB22496" s="38"/>
    </row>
    <row r="22497">
      <c r="P22497" s="42"/>
      <c r="AB22497" s="38"/>
    </row>
    <row r="22498">
      <c r="P22498" s="42"/>
      <c r="AB22498" s="38"/>
    </row>
    <row r="22499">
      <c r="P22499" s="42"/>
      <c r="AB22499" s="38"/>
    </row>
    <row r="22500">
      <c r="P22500" s="42"/>
      <c r="AB22500" s="38"/>
    </row>
    <row r="22501">
      <c r="P22501" s="42"/>
      <c r="AB22501" s="38"/>
    </row>
    <row r="22502">
      <c r="P22502" s="42"/>
      <c r="AB22502" s="38"/>
    </row>
    <row r="22503">
      <c r="P22503" s="42"/>
      <c r="AB22503" s="38"/>
    </row>
    <row r="22504">
      <c r="P22504" s="42"/>
      <c r="AB22504" s="38"/>
    </row>
    <row r="22505">
      <c r="P22505" s="42"/>
      <c r="AB22505" s="38"/>
    </row>
    <row r="22506">
      <c r="P22506" s="42"/>
      <c r="AB22506" s="38"/>
    </row>
    <row r="22507">
      <c r="P22507" s="42"/>
      <c r="AB22507" s="38"/>
    </row>
    <row r="22508">
      <c r="P22508" s="42"/>
      <c r="AB22508" s="38"/>
    </row>
    <row r="22509">
      <c r="P22509" s="42"/>
      <c r="AB22509" s="38"/>
    </row>
    <row r="22510">
      <c r="P22510" s="42"/>
      <c r="AB22510" s="38"/>
    </row>
    <row r="22511">
      <c r="P22511" s="42"/>
      <c r="AB22511" s="38"/>
    </row>
    <row r="22512">
      <c r="P22512" s="42"/>
      <c r="AB22512" s="38"/>
    </row>
    <row r="22513">
      <c r="P22513" s="42"/>
      <c r="AB22513" s="38"/>
    </row>
    <row r="22514">
      <c r="P22514" s="42"/>
      <c r="AB22514" s="38"/>
    </row>
    <row r="22515">
      <c r="P22515" s="42"/>
      <c r="AB22515" s="38"/>
    </row>
    <row r="22516">
      <c r="P22516" s="42"/>
      <c r="AB22516" s="38"/>
    </row>
    <row r="22517">
      <c r="P22517" s="42"/>
      <c r="AB22517" s="38"/>
    </row>
    <row r="22518">
      <c r="P22518" s="42"/>
      <c r="AB22518" s="38"/>
    </row>
    <row r="22519">
      <c r="P22519" s="42"/>
      <c r="AB22519" s="38"/>
    </row>
    <row r="22520">
      <c r="P22520" s="42"/>
      <c r="AB22520" s="38"/>
    </row>
    <row r="22521">
      <c r="P22521" s="42"/>
      <c r="AB22521" s="38"/>
    </row>
    <row r="22522">
      <c r="P22522" s="42"/>
      <c r="AB22522" s="38"/>
    </row>
    <row r="22523">
      <c r="P22523" s="42"/>
      <c r="AB22523" s="38"/>
    </row>
    <row r="22524">
      <c r="P22524" s="42"/>
      <c r="AB22524" s="38"/>
    </row>
    <row r="22525">
      <c r="P22525" s="42"/>
      <c r="AB22525" s="38"/>
    </row>
    <row r="22526">
      <c r="P22526" s="42"/>
      <c r="AB22526" s="38"/>
    </row>
    <row r="22527">
      <c r="P22527" s="42"/>
      <c r="AB22527" s="38"/>
    </row>
    <row r="22528">
      <c r="P22528" s="42"/>
      <c r="AB22528" s="38"/>
    </row>
    <row r="22529">
      <c r="P22529" s="42"/>
      <c r="AB22529" s="38"/>
    </row>
    <row r="22530">
      <c r="P22530" s="42"/>
      <c r="AB22530" s="38"/>
    </row>
    <row r="22531">
      <c r="P22531" s="42"/>
      <c r="AB22531" s="38"/>
    </row>
    <row r="22532">
      <c r="P22532" s="42"/>
      <c r="AB22532" s="38"/>
    </row>
    <row r="22533">
      <c r="P22533" s="42"/>
      <c r="AB22533" s="38"/>
    </row>
    <row r="22534">
      <c r="P22534" s="42"/>
      <c r="AB22534" s="38"/>
    </row>
    <row r="22535">
      <c r="P22535" s="42"/>
      <c r="AB22535" s="38"/>
    </row>
    <row r="22536">
      <c r="P22536" s="42"/>
      <c r="AB22536" s="38"/>
    </row>
    <row r="22537">
      <c r="P22537" s="42"/>
      <c r="AB22537" s="38"/>
    </row>
    <row r="22538">
      <c r="P22538" s="42"/>
      <c r="AB22538" s="38"/>
    </row>
    <row r="22539">
      <c r="P22539" s="42"/>
      <c r="AB22539" s="38"/>
    </row>
    <row r="22540">
      <c r="P22540" s="42"/>
      <c r="AB22540" s="38"/>
    </row>
    <row r="22541">
      <c r="P22541" s="42"/>
      <c r="AB22541" s="38"/>
    </row>
    <row r="22542">
      <c r="P22542" s="42"/>
      <c r="AB22542" s="38"/>
    </row>
    <row r="22543">
      <c r="P22543" s="42"/>
      <c r="AB22543" s="38"/>
    </row>
    <row r="22544">
      <c r="P22544" s="42"/>
      <c r="AB22544" s="38"/>
    </row>
    <row r="22545">
      <c r="P22545" s="42"/>
      <c r="AB22545" s="38"/>
    </row>
    <row r="22546">
      <c r="P22546" s="42"/>
      <c r="AB22546" s="38"/>
    </row>
    <row r="22547">
      <c r="P22547" s="42"/>
      <c r="AB22547" s="38"/>
    </row>
    <row r="22548">
      <c r="P22548" s="42"/>
      <c r="AB22548" s="38"/>
    </row>
    <row r="22549">
      <c r="P22549" s="42"/>
      <c r="AB22549" s="38"/>
    </row>
    <row r="22550">
      <c r="P22550" s="42"/>
      <c r="AB22550" s="38"/>
    </row>
    <row r="22551">
      <c r="P22551" s="42"/>
      <c r="AB22551" s="38"/>
    </row>
    <row r="22552">
      <c r="P22552" s="42"/>
      <c r="AB22552" s="38"/>
    </row>
    <row r="22553">
      <c r="P22553" s="42"/>
      <c r="AB22553" s="38"/>
    </row>
    <row r="22554">
      <c r="P22554" s="42"/>
      <c r="AB22554" s="38"/>
    </row>
    <row r="22555">
      <c r="P22555" s="42"/>
      <c r="AB22555" s="38"/>
    </row>
    <row r="22556">
      <c r="P22556" s="42"/>
      <c r="AB22556" s="38"/>
    </row>
    <row r="22557">
      <c r="P22557" s="42"/>
      <c r="AB22557" s="38"/>
    </row>
    <row r="22558">
      <c r="P22558" s="42"/>
      <c r="AB22558" s="38"/>
    </row>
    <row r="22559">
      <c r="P22559" s="42"/>
      <c r="AB22559" s="38"/>
    </row>
    <row r="22560">
      <c r="P22560" s="42"/>
      <c r="AB22560" s="38"/>
    </row>
    <row r="22561">
      <c r="P22561" s="42"/>
      <c r="AB22561" s="38"/>
    </row>
    <row r="22562">
      <c r="P22562" s="42"/>
      <c r="AB22562" s="38"/>
    </row>
    <row r="22563">
      <c r="P22563" s="42"/>
      <c r="AB22563" s="38"/>
    </row>
    <row r="22564">
      <c r="P22564" s="42"/>
      <c r="AB22564" s="38"/>
    </row>
    <row r="22565">
      <c r="P22565" s="42"/>
      <c r="AB22565" s="38"/>
    </row>
    <row r="22566">
      <c r="P22566" s="42"/>
      <c r="AB22566" s="38"/>
    </row>
    <row r="22567">
      <c r="P22567" s="42"/>
      <c r="AB22567" s="38"/>
    </row>
    <row r="22568">
      <c r="P22568" s="42"/>
      <c r="AB22568" s="38"/>
    </row>
    <row r="22569">
      <c r="P22569" s="42"/>
      <c r="AB22569" s="38"/>
    </row>
    <row r="22570">
      <c r="P22570" s="42"/>
      <c r="AB22570" s="38"/>
    </row>
    <row r="22571">
      <c r="P22571" s="42"/>
      <c r="AB22571" s="38"/>
    </row>
    <row r="22572">
      <c r="P22572" s="42"/>
      <c r="AB22572" s="38"/>
    </row>
    <row r="22573">
      <c r="P22573" s="42"/>
      <c r="AB22573" s="38"/>
    </row>
    <row r="22574">
      <c r="P22574" s="42"/>
      <c r="AB22574" s="38"/>
    </row>
    <row r="22575">
      <c r="P22575" s="42"/>
      <c r="AB22575" s="38"/>
    </row>
    <row r="22576">
      <c r="P22576" s="42"/>
      <c r="AB22576" s="38"/>
    </row>
    <row r="22577">
      <c r="P22577" s="42"/>
      <c r="AB22577" s="38"/>
    </row>
    <row r="22578">
      <c r="P22578" s="42"/>
      <c r="AB22578" s="38"/>
    </row>
    <row r="22579">
      <c r="P22579" s="42"/>
      <c r="AB22579" s="38"/>
    </row>
    <row r="22580">
      <c r="P22580" s="42"/>
      <c r="AB22580" s="38"/>
    </row>
    <row r="22581">
      <c r="P22581" s="42"/>
      <c r="AB22581" s="38"/>
    </row>
    <row r="22582">
      <c r="P22582" s="42"/>
      <c r="AB22582" s="38"/>
    </row>
    <row r="22583">
      <c r="P22583" s="42"/>
      <c r="AB22583" s="38"/>
    </row>
    <row r="22584">
      <c r="P22584" s="42"/>
      <c r="AB22584" s="38"/>
    </row>
    <row r="22585">
      <c r="P22585" s="42"/>
      <c r="AB22585" s="38"/>
    </row>
    <row r="22586">
      <c r="P22586" s="42"/>
      <c r="AB22586" s="38"/>
    </row>
    <row r="22587">
      <c r="P22587" s="42"/>
      <c r="AB22587" s="38"/>
    </row>
    <row r="22588">
      <c r="P22588" s="42"/>
      <c r="AB22588" s="38"/>
    </row>
    <row r="22589">
      <c r="P22589" s="42"/>
      <c r="AB22589" s="38"/>
    </row>
    <row r="22590">
      <c r="P22590" s="42"/>
      <c r="AB22590" s="38"/>
    </row>
    <row r="22591">
      <c r="P22591" s="42"/>
      <c r="AB22591" s="38"/>
    </row>
    <row r="22592">
      <c r="P22592" s="42"/>
      <c r="AB22592" s="38"/>
    </row>
    <row r="22593">
      <c r="P22593" s="42"/>
      <c r="AB22593" s="38"/>
    </row>
    <row r="22594">
      <c r="P22594" s="42"/>
      <c r="AB22594" s="38"/>
    </row>
    <row r="22595">
      <c r="P22595" s="42"/>
      <c r="AB22595" s="38"/>
    </row>
    <row r="22596">
      <c r="P22596" s="42"/>
      <c r="AB22596" s="38"/>
    </row>
    <row r="22597">
      <c r="P22597" s="42"/>
      <c r="AB22597" s="38"/>
    </row>
    <row r="22598">
      <c r="P22598" s="42"/>
      <c r="AB22598" s="38"/>
    </row>
    <row r="22599">
      <c r="P22599" s="42"/>
      <c r="AB22599" s="38"/>
    </row>
    <row r="22600">
      <c r="P22600" s="42"/>
      <c r="AB22600" s="38"/>
    </row>
    <row r="22601">
      <c r="P22601" s="42"/>
      <c r="AB22601" s="38"/>
    </row>
    <row r="22602">
      <c r="P22602" s="42"/>
      <c r="AB22602" s="38"/>
    </row>
    <row r="22603">
      <c r="P22603" s="42"/>
      <c r="AB22603" s="38"/>
    </row>
    <row r="22604">
      <c r="P22604" s="42"/>
      <c r="AB22604" s="38"/>
    </row>
    <row r="22605">
      <c r="P22605" s="42"/>
      <c r="AB22605" s="38"/>
    </row>
    <row r="22606">
      <c r="P22606" s="42"/>
      <c r="AB22606" s="38"/>
    </row>
    <row r="22607">
      <c r="P22607" s="42"/>
      <c r="AB22607" s="38"/>
    </row>
    <row r="22608">
      <c r="P22608" s="42"/>
      <c r="AB22608" s="38"/>
    </row>
    <row r="22609">
      <c r="P22609" s="42"/>
      <c r="AB22609" s="38"/>
    </row>
    <row r="22610">
      <c r="P22610" s="42"/>
      <c r="AB22610" s="38"/>
    </row>
    <row r="22611">
      <c r="P22611" s="42"/>
      <c r="AB22611" s="38"/>
    </row>
    <row r="22612">
      <c r="P22612" s="42"/>
      <c r="AB22612" s="38"/>
    </row>
    <row r="22613">
      <c r="P22613" s="42"/>
      <c r="AB22613" s="38"/>
    </row>
    <row r="22614">
      <c r="P22614" s="42"/>
      <c r="AB22614" s="38"/>
    </row>
    <row r="22615">
      <c r="P22615" s="42"/>
      <c r="AB22615" s="38"/>
    </row>
    <row r="22616">
      <c r="P22616" s="42"/>
      <c r="AB22616" s="38"/>
    </row>
    <row r="22617">
      <c r="P22617" s="42"/>
      <c r="AB22617" s="38"/>
    </row>
    <row r="22618">
      <c r="P22618" s="42"/>
      <c r="AB22618" s="38"/>
    </row>
    <row r="22619">
      <c r="P22619" s="42"/>
      <c r="AB22619" s="38"/>
    </row>
    <row r="22620">
      <c r="P22620" s="42"/>
      <c r="AB22620" s="38"/>
    </row>
    <row r="22621">
      <c r="P22621" s="42"/>
      <c r="AB22621" s="38"/>
    </row>
    <row r="22622">
      <c r="P22622" s="42"/>
      <c r="AB22622" s="38"/>
    </row>
    <row r="22623">
      <c r="P22623" s="42"/>
      <c r="AB22623" s="38"/>
    </row>
    <row r="22624">
      <c r="P22624" s="42"/>
      <c r="AB22624" s="38"/>
    </row>
    <row r="22625">
      <c r="P22625" s="42"/>
      <c r="AB22625" s="38"/>
    </row>
    <row r="22626">
      <c r="P22626" s="42"/>
      <c r="AB22626" s="38"/>
    </row>
    <row r="22627">
      <c r="P22627" s="42"/>
      <c r="AB22627" s="38"/>
    </row>
    <row r="22628">
      <c r="P22628" s="42"/>
      <c r="AB22628" s="38"/>
    </row>
    <row r="22629">
      <c r="P22629" s="42"/>
      <c r="AB22629" s="38"/>
    </row>
    <row r="22630">
      <c r="P22630" s="42"/>
      <c r="AB22630" s="38"/>
    </row>
    <row r="22631">
      <c r="P22631" s="42"/>
      <c r="AB22631" s="38"/>
    </row>
    <row r="22632">
      <c r="P22632" s="42"/>
      <c r="AB22632" s="38"/>
    </row>
    <row r="22633">
      <c r="P22633" s="42"/>
      <c r="AB22633" s="38"/>
    </row>
    <row r="22634">
      <c r="P22634" s="42"/>
      <c r="AB22634" s="38"/>
    </row>
    <row r="22635">
      <c r="P22635" s="42"/>
      <c r="AB22635" s="38"/>
    </row>
    <row r="22636">
      <c r="P22636" s="42"/>
      <c r="AB22636" s="38"/>
    </row>
    <row r="22637">
      <c r="P22637" s="42"/>
      <c r="AB22637" s="38"/>
    </row>
    <row r="22638">
      <c r="P22638" s="42"/>
      <c r="AB22638" s="38"/>
    </row>
    <row r="22639">
      <c r="P22639" s="42"/>
      <c r="AB22639" s="38"/>
    </row>
    <row r="22640">
      <c r="P22640" s="42"/>
      <c r="AB22640" s="38"/>
    </row>
    <row r="22641">
      <c r="P22641" s="42"/>
      <c r="AB22641" s="38"/>
    </row>
    <row r="22642">
      <c r="P22642" s="42"/>
      <c r="AB22642" s="38"/>
    </row>
    <row r="22643">
      <c r="P22643" s="42"/>
      <c r="AB22643" s="38"/>
    </row>
    <row r="22644">
      <c r="P22644" s="42"/>
      <c r="AB22644" s="38"/>
    </row>
    <row r="22645">
      <c r="P22645" s="42"/>
      <c r="AB22645" s="38"/>
    </row>
    <row r="22646">
      <c r="P22646" s="42"/>
      <c r="AB22646" s="38"/>
    </row>
    <row r="22647">
      <c r="P22647" s="42"/>
      <c r="AB22647" s="38"/>
    </row>
    <row r="22648">
      <c r="P22648" s="42"/>
      <c r="AB22648" s="38"/>
    </row>
    <row r="22649">
      <c r="P22649" s="42"/>
      <c r="AB22649" s="38"/>
    </row>
    <row r="22650">
      <c r="P22650" s="42"/>
      <c r="AB22650" s="38"/>
    </row>
    <row r="22651">
      <c r="P22651" s="42"/>
      <c r="AB22651" s="38"/>
    </row>
    <row r="22652">
      <c r="P22652" s="42"/>
      <c r="AB22652" s="38"/>
    </row>
    <row r="22653">
      <c r="P22653" s="42"/>
      <c r="AB22653" s="38"/>
    </row>
    <row r="22654">
      <c r="P22654" s="42"/>
      <c r="AB22654" s="38"/>
    </row>
    <row r="22655">
      <c r="P22655" s="42"/>
      <c r="AB22655" s="38"/>
    </row>
    <row r="22656">
      <c r="P22656" s="42"/>
      <c r="AB22656" s="38"/>
    </row>
    <row r="22657">
      <c r="P22657" s="42"/>
      <c r="AB22657" s="38"/>
    </row>
    <row r="22658">
      <c r="P22658" s="42"/>
      <c r="AB22658" s="38"/>
    </row>
    <row r="22659">
      <c r="P22659" s="42"/>
      <c r="AB22659" s="38"/>
    </row>
    <row r="22660">
      <c r="P22660" s="42"/>
      <c r="AB22660" s="38"/>
    </row>
    <row r="22661">
      <c r="P22661" s="42"/>
      <c r="AB22661" s="38"/>
    </row>
    <row r="22662">
      <c r="P22662" s="42"/>
      <c r="AB22662" s="38"/>
    </row>
    <row r="22663">
      <c r="P22663" s="42"/>
      <c r="AB22663" s="38"/>
    </row>
    <row r="22664">
      <c r="P22664" s="42"/>
      <c r="AB22664" s="38"/>
    </row>
    <row r="22665">
      <c r="P22665" s="42"/>
      <c r="AB22665" s="38"/>
    </row>
    <row r="22666">
      <c r="P22666" s="42"/>
      <c r="AB22666" s="38"/>
    </row>
    <row r="22667">
      <c r="P22667" s="42"/>
      <c r="AB22667" s="38"/>
    </row>
    <row r="22668">
      <c r="P22668" s="42"/>
      <c r="AB22668" s="38"/>
    </row>
    <row r="22669">
      <c r="P22669" s="42"/>
      <c r="AB22669" s="38"/>
    </row>
    <row r="22670">
      <c r="P22670" s="42"/>
      <c r="AB22670" s="38"/>
    </row>
    <row r="22671">
      <c r="P22671" s="42"/>
      <c r="AB22671" s="38"/>
    </row>
    <row r="22672">
      <c r="P22672" s="42"/>
      <c r="AB22672" s="38"/>
    </row>
    <row r="22673">
      <c r="P22673" s="42"/>
      <c r="AB22673" s="38"/>
    </row>
    <row r="22674">
      <c r="P22674" s="42"/>
      <c r="AB22674" s="38"/>
    </row>
    <row r="22675">
      <c r="P22675" s="42"/>
      <c r="AB22675" s="38"/>
    </row>
    <row r="22676">
      <c r="P22676" s="42"/>
      <c r="AB22676" s="38"/>
    </row>
    <row r="22677">
      <c r="P22677" s="42"/>
      <c r="AB22677" s="38"/>
    </row>
    <row r="22678">
      <c r="P22678" s="42"/>
      <c r="AB22678" s="38"/>
    </row>
    <row r="22679">
      <c r="P22679" s="42"/>
      <c r="AB22679" s="38"/>
    </row>
    <row r="22680">
      <c r="P22680" s="42"/>
      <c r="AB22680" s="38"/>
    </row>
    <row r="22681">
      <c r="P22681" s="42"/>
      <c r="AB22681" s="38"/>
    </row>
    <row r="22682">
      <c r="P22682" s="42"/>
      <c r="AB22682" s="38"/>
    </row>
    <row r="22683">
      <c r="P22683" s="42"/>
      <c r="AB22683" s="38"/>
    </row>
    <row r="22684">
      <c r="P22684" s="42"/>
      <c r="AB22684" s="38"/>
    </row>
    <row r="22685">
      <c r="P22685" s="42"/>
      <c r="AB22685" s="38"/>
    </row>
    <row r="22686">
      <c r="P22686" s="42"/>
      <c r="AB22686" s="38"/>
    </row>
    <row r="22687">
      <c r="P22687" s="42"/>
      <c r="AB22687" s="38"/>
    </row>
    <row r="22688">
      <c r="P22688" s="42"/>
      <c r="AB22688" s="38"/>
    </row>
    <row r="22689">
      <c r="P22689" s="42"/>
      <c r="AB22689" s="38"/>
    </row>
    <row r="22690">
      <c r="P22690" s="42"/>
      <c r="AB22690" s="38"/>
    </row>
    <row r="22691">
      <c r="P22691" s="42"/>
      <c r="AB22691" s="38"/>
    </row>
    <row r="22692">
      <c r="P22692" s="42"/>
      <c r="AB22692" s="38"/>
    </row>
    <row r="22693">
      <c r="P22693" s="42"/>
      <c r="AB22693" s="38"/>
    </row>
    <row r="22694">
      <c r="P22694" s="42"/>
      <c r="AB22694" s="38"/>
    </row>
    <row r="22695">
      <c r="P22695" s="42"/>
      <c r="AB22695" s="38"/>
    </row>
    <row r="22696">
      <c r="P22696" s="42"/>
      <c r="AB22696" s="38"/>
    </row>
    <row r="22697">
      <c r="P22697" s="42"/>
      <c r="AB22697" s="38"/>
    </row>
    <row r="22698">
      <c r="P22698" s="42"/>
      <c r="AB22698" s="38"/>
    </row>
    <row r="22699">
      <c r="P22699" s="42"/>
      <c r="AB22699" s="38"/>
    </row>
    <row r="22700">
      <c r="P22700" s="42"/>
      <c r="AB22700" s="38"/>
    </row>
    <row r="22701">
      <c r="P22701" s="42"/>
      <c r="AB22701" s="38"/>
    </row>
    <row r="22702">
      <c r="P22702" s="42"/>
      <c r="AB22702" s="38"/>
    </row>
    <row r="22703">
      <c r="P22703" s="42"/>
      <c r="AB22703" s="38"/>
    </row>
    <row r="22704">
      <c r="P22704" s="42"/>
      <c r="AB22704" s="38"/>
    </row>
    <row r="22705">
      <c r="P22705" s="42"/>
      <c r="AB22705" s="38"/>
    </row>
    <row r="22706">
      <c r="P22706" s="42"/>
      <c r="AB22706" s="38"/>
    </row>
    <row r="22707">
      <c r="P22707" s="42"/>
      <c r="AB22707" s="38"/>
    </row>
    <row r="22708">
      <c r="P22708" s="42"/>
      <c r="AB22708" s="38"/>
    </row>
    <row r="22709">
      <c r="P22709" s="42"/>
      <c r="AB22709" s="38"/>
    </row>
    <row r="22710">
      <c r="P22710" s="42"/>
      <c r="AB22710" s="38"/>
    </row>
    <row r="22711">
      <c r="P22711" s="42"/>
      <c r="AB22711" s="38"/>
    </row>
    <row r="22712">
      <c r="P22712" s="42"/>
      <c r="AB22712" s="38"/>
    </row>
    <row r="22713">
      <c r="P22713" s="42"/>
      <c r="AB22713" s="38"/>
    </row>
    <row r="22714">
      <c r="P22714" s="42"/>
      <c r="AB22714" s="38"/>
    </row>
    <row r="22715">
      <c r="P22715" s="42"/>
      <c r="AB22715" s="38"/>
    </row>
    <row r="22716">
      <c r="P22716" s="42"/>
      <c r="AB22716" s="38"/>
    </row>
    <row r="22717">
      <c r="P22717" s="42"/>
      <c r="AB22717" s="38"/>
    </row>
    <row r="22718">
      <c r="P22718" s="42"/>
      <c r="AB22718" s="38"/>
    </row>
    <row r="22719">
      <c r="P22719" s="42"/>
      <c r="AB22719" s="38"/>
    </row>
    <row r="22720">
      <c r="P22720" s="42"/>
      <c r="AB22720" s="38"/>
    </row>
    <row r="22721">
      <c r="P22721" s="42"/>
      <c r="AB22721" s="38"/>
    </row>
    <row r="22722">
      <c r="P22722" s="42"/>
      <c r="AB22722" s="38"/>
    </row>
    <row r="22723">
      <c r="P22723" s="42"/>
      <c r="AB22723" s="38"/>
    </row>
    <row r="22724">
      <c r="P22724" s="42"/>
      <c r="AB22724" s="38"/>
    </row>
    <row r="22725">
      <c r="P22725" s="42"/>
      <c r="AB22725" s="38"/>
    </row>
    <row r="22726">
      <c r="P22726" s="42"/>
      <c r="AB22726" s="38"/>
    </row>
    <row r="22727">
      <c r="P22727" s="42"/>
      <c r="AB22727" s="38"/>
    </row>
    <row r="22728">
      <c r="P22728" s="42"/>
      <c r="AB22728" s="38"/>
    </row>
    <row r="22729">
      <c r="P22729" s="42"/>
      <c r="AB22729" s="38"/>
    </row>
    <row r="22730">
      <c r="P22730" s="42"/>
      <c r="AB22730" s="38"/>
    </row>
    <row r="22731">
      <c r="P22731" s="42"/>
      <c r="AB22731" s="38"/>
    </row>
    <row r="22732">
      <c r="P22732" s="42"/>
      <c r="AB22732" s="38"/>
    </row>
    <row r="22733">
      <c r="P22733" s="42"/>
      <c r="AB22733" s="38"/>
    </row>
    <row r="22734">
      <c r="P22734" s="42"/>
      <c r="AB22734" s="38"/>
    </row>
    <row r="22735">
      <c r="P22735" s="42"/>
      <c r="AB22735" s="38"/>
    </row>
    <row r="22736">
      <c r="P22736" s="42"/>
      <c r="AB22736" s="38"/>
    </row>
    <row r="22737">
      <c r="P22737" s="42"/>
      <c r="AB22737" s="38"/>
    </row>
    <row r="22738">
      <c r="P22738" s="42"/>
      <c r="AB22738" s="38"/>
    </row>
    <row r="22739">
      <c r="P22739" s="42"/>
      <c r="AB22739" s="38"/>
    </row>
    <row r="22740">
      <c r="P22740" s="42"/>
      <c r="AB22740" s="38"/>
    </row>
    <row r="22741">
      <c r="P22741" s="42"/>
      <c r="AB22741" s="38"/>
    </row>
    <row r="22742">
      <c r="P22742" s="42"/>
      <c r="AB22742" s="38"/>
    </row>
    <row r="22743">
      <c r="P22743" s="42"/>
      <c r="AB22743" s="38"/>
    </row>
    <row r="22744">
      <c r="P22744" s="42"/>
      <c r="AB22744" s="38"/>
    </row>
    <row r="22745">
      <c r="P22745" s="42"/>
      <c r="AB22745" s="38"/>
    </row>
    <row r="22746">
      <c r="P22746" s="42"/>
      <c r="AB22746" s="38"/>
    </row>
    <row r="22747">
      <c r="P22747" s="42"/>
      <c r="AB22747" s="38"/>
    </row>
    <row r="22748">
      <c r="P22748" s="42"/>
      <c r="AB22748" s="38"/>
    </row>
    <row r="22749">
      <c r="P22749" s="42"/>
      <c r="AB22749" s="38"/>
    </row>
    <row r="22750">
      <c r="P22750" s="42"/>
      <c r="AB22750" s="38"/>
    </row>
    <row r="22751">
      <c r="P22751" s="42"/>
      <c r="AB22751" s="38"/>
    </row>
    <row r="22752">
      <c r="P22752" s="42"/>
      <c r="AB22752" s="38"/>
    </row>
    <row r="22753">
      <c r="P22753" s="42"/>
      <c r="AB22753" s="38"/>
    </row>
    <row r="22754">
      <c r="P22754" s="42"/>
      <c r="AB22754" s="38"/>
    </row>
    <row r="22755">
      <c r="P22755" s="42"/>
      <c r="AB22755" s="38"/>
    </row>
    <row r="22756">
      <c r="P22756" s="42"/>
      <c r="AB22756" s="38"/>
    </row>
    <row r="22757">
      <c r="P22757" s="42"/>
      <c r="AB22757" s="38"/>
    </row>
    <row r="22758">
      <c r="P22758" s="42"/>
      <c r="AB22758" s="38"/>
    </row>
    <row r="22759">
      <c r="P22759" s="42"/>
      <c r="AB22759" s="38"/>
    </row>
    <row r="22760">
      <c r="P22760" s="42"/>
      <c r="AB22760" s="38"/>
    </row>
    <row r="22761">
      <c r="P22761" s="42"/>
      <c r="AB22761" s="38"/>
    </row>
    <row r="22762">
      <c r="P22762" s="42"/>
      <c r="AB22762" s="38"/>
    </row>
    <row r="22763">
      <c r="P22763" s="42"/>
      <c r="AB22763" s="38"/>
    </row>
    <row r="22764">
      <c r="P22764" s="42"/>
      <c r="AB22764" s="38"/>
    </row>
    <row r="22765">
      <c r="P22765" s="42"/>
      <c r="AB22765" s="38"/>
    </row>
    <row r="22766">
      <c r="P22766" s="42"/>
      <c r="AB22766" s="38"/>
    </row>
    <row r="22767">
      <c r="P22767" s="42"/>
      <c r="AB22767" s="38"/>
    </row>
    <row r="22768">
      <c r="P22768" s="42"/>
      <c r="AB22768" s="38"/>
    </row>
    <row r="22769">
      <c r="P22769" s="42"/>
      <c r="AB22769" s="38"/>
    </row>
    <row r="22770">
      <c r="P22770" s="42"/>
      <c r="AB22770" s="38"/>
    </row>
    <row r="22771">
      <c r="P22771" s="42"/>
      <c r="AB22771" s="38"/>
    </row>
    <row r="22772">
      <c r="P22772" s="42"/>
      <c r="AB22772" s="38"/>
    </row>
    <row r="22773">
      <c r="P22773" s="42"/>
      <c r="AB22773" s="38"/>
    </row>
    <row r="22774">
      <c r="P22774" s="42"/>
      <c r="AB22774" s="38"/>
    </row>
    <row r="22775">
      <c r="P22775" s="42"/>
      <c r="AB22775" s="38"/>
    </row>
    <row r="22776">
      <c r="P22776" s="42"/>
      <c r="AB22776" s="38"/>
    </row>
    <row r="22777">
      <c r="P22777" s="42"/>
      <c r="AB22777" s="38"/>
    </row>
    <row r="22778">
      <c r="P22778" s="42"/>
      <c r="AB22778" s="38"/>
    </row>
    <row r="22779">
      <c r="P22779" s="42"/>
      <c r="AB22779" s="38"/>
    </row>
    <row r="22780">
      <c r="P22780" s="42"/>
      <c r="AB22780" s="38"/>
    </row>
    <row r="22781">
      <c r="P22781" s="42"/>
      <c r="AB22781" s="38"/>
    </row>
    <row r="22782">
      <c r="P22782" s="42"/>
      <c r="AB22782" s="38"/>
    </row>
    <row r="22783">
      <c r="P22783" s="42"/>
      <c r="AB22783" s="38"/>
    </row>
    <row r="22784">
      <c r="P22784" s="42"/>
      <c r="AB22784" s="38"/>
    </row>
    <row r="22785">
      <c r="P22785" s="42"/>
      <c r="AB22785" s="38"/>
    </row>
    <row r="22786">
      <c r="P22786" s="42"/>
      <c r="AB22786" s="38"/>
    </row>
    <row r="22787">
      <c r="P22787" s="42"/>
      <c r="AB22787" s="38"/>
    </row>
    <row r="22788">
      <c r="P22788" s="42"/>
      <c r="AB22788" s="38"/>
    </row>
    <row r="22789">
      <c r="P22789" s="42"/>
      <c r="AB22789" s="38"/>
    </row>
    <row r="22790">
      <c r="P22790" s="42"/>
      <c r="AB22790" s="38"/>
    </row>
    <row r="22791">
      <c r="P22791" s="42"/>
      <c r="AB22791" s="38"/>
    </row>
    <row r="22792">
      <c r="P22792" s="42"/>
      <c r="AB22792" s="38"/>
    </row>
    <row r="22793">
      <c r="P22793" s="42"/>
      <c r="AB22793" s="38"/>
    </row>
    <row r="22794">
      <c r="P22794" s="42"/>
      <c r="AB22794" s="38"/>
    </row>
    <row r="22795">
      <c r="P22795" s="42"/>
      <c r="AB22795" s="38"/>
    </row>
    <row r="22796">
      <c r="P22796" s="42"/>
      <c r="AB22796" s="38"/>
    </row>
    <row r="22797">
      <c r="P22797" s="42"/>
      <c r="AB22797" s="38"/>
    </row>
    <row r="22798">
      <c r="P22798" s="42"/>
      <c r="AB22798" s="38"/>
    </row>
    <row r="22799">
      <c r="P22799" s="42"/>
      <c r="AB22799" s="38"/>
    </row>
    <row r="22800">
      <c r="P22800" s="42"/>
      <c r="AB22800" s="38"/>
    </row>
    <row r="22801">
      <c r="P22801" s="42"/>
      <c r="AB22801" s="38"/>
    </row>
    <row r="22802">
      <c r="P22802" s="42"/>
      <c r="AB22802" s="38"/>
    </row>
    <row r="22803">
      <c r="P22803" s="42"/>
      <c r="AB22803" s="38"/>
    </row>
    <row r="22804">
      <c r="P22804" s="42"/>
      <c r="AB22804" s="38"/>
    </row>
    <row r="22805">
      <c r="P22805" s="42"/>
      <c r="AB22805" s="38"/>
    </row>
    <row r="22806">
      <c r="P22806" s="42"/>
      <c r="AB22806" s="38"/>
    </row>
    <row r="22807">
      <c r="P22807" s="42"/>
      <c r="AB22807" s="38"/>
    </row>
    <row r="22808">
      <c r="P22808" s="42"/>
      <c r="AB22808" s="38"/>
    </row>
    <row r="22809">
      <c r="P22809" s="42"/>
      <c r="AB22809" s="38"/>
    </row>
    <row r="22810">
      <c r="P22810" s="42"/>
      <c r="AB22810" s="38"/>
    </row>
    <row r="22811">
      <c r="P22811" s="42"/>
      <c r="AB22811" s="38"/>
    </row>
    <row r="22812">
      <c r="P22812" s="42"/>
      <c r="AB22812" s="38"/>
    </row>
    <row r="22813">
      <c r="P22813" s="42"/>
      <c r="AB22813" s="38"/>
    </row>
    <row r="22814">
      <c r="P22814" s="42"/>
      <c r="AB22814" s="38"/>
    </row>
    <row r="22815">
      <c r="P22815" s="42"/>
      <c r="AB22815" s="38"/>
    </row>
    <row r="22816">
      <c r="P22816" s="42"/>
      <c r="AB22816" s="38"/>
    </row>
    <row r="22817">
      <c r="P22817" s="42"/>
      <c r="AB22817" s="38"/>
    </row>
    <row r="22818">
      <c r="P22818" s="42"/>
      <c r="AB22818" s="38"/>
    </row>
    <row r="22819">
      <c r="P22819" s="42"/>
      <c r="AB22819" s="38"/>
    </row>
    <row r="22820">
      <c r="P22820" s="42"/>
      <c r="AB22820" s="38"/>
    </row>
    <row r="22821">
      <c r="P22821" s="42"/>
      <c r="AB22821" s="38"/>
    </row>
    <row r="22822">
      <c r="P22822" s="42"/>
      <c r="AB22822" s="38"/>
    </row>
    <row r="22823">
      <c r="P22823" s="42"/>
      <c r="AB22823" s="38"/>
    </row>
    <row r="22824">
      <c r="P22824" s="42"/>
      <c r="AB22824" s="38"/>
    </row>
    <row r="22825">
      <c r="P22825" s="42"/>
      <c r="AB22825" s="38"/>
    </row>
    <row r="22826">
      <c r="P22826" s="42"/>
      <c r="AB22826" s="38"/>
    </row>
    <row r="22827">
      <c r="P22827" s="42"/>
      <c r="AB22827" s="38"/>
    </row>
    <row r="22828">
      <c r="P22828" s="42"/>
      <c r="AB22828" s="38"/>
    </row>
    <row r="22829">
      <c r="P22829" s="42"/>
      <c r="AB22829" s="38"/>
    </row>
    <row r="22830">
      <c r="P22830" s="42"/>
      <c r="AB22830" s="38"/>
    </row>
    <row r="22831">
      <c r="P22831" s="42"/>
      <c r="AB22831" s="38"/>
    </row>
    <row r="22832">
      <c r="P22832" s="42"/>
      <c r="AB22832" s="38"/>
    </row>
    <row r="22833">
      <c r="P22833" s="42"/>
      <c r="AB22833" s="38"/>
    </row>
    <row r="22834">
      <c r="P22834" s="42"/>
      <c r="AB22834" s="38"/>
    </row>
    <row r="22835">
      <c r="P22835" s="42"/>
      <c r="AB22835" s="38"/>
    </row>
    <row r="22836">
      <c r="P22836" s="42"/>
      <c r="AB22836" s="38"/>
    </row>
    <row r="22837">
      <c r="P22837" s="42"/>
      <c r="AB22837" s="38"/>
    </row>
    <row r="22838">
      <c r="P22838" s="42"/>
      <c r="AB22838" s="38"/>
    </row>
    <row r="22839">
      <c r="P22839" s="42"/>
      <c r="AB22839" s="38"/>
    </row>
    <row r="22840">
      <c r="P22840" s="42"/>
      <c r="AB22840" s="38"/>
    </row>
    <row r="22841">
      <c r="P22841" s="42"/>
      <c r="AB22841" s="38"/>
    </row>
    <row r="22842">
      <c r="P22842" s="42"/>
      <c r="AB22842" s="38"/>
    </row>
    <row r="22843">
      <c r="P22843" s="42"/>
      <c r="AB22843" s="38"/>
    </row>
    <row r="22844">
      <c r="P22844" s="42"/>
      <c r="AB22844" s="38"/>
    </row>
    <row r="22845">
      <c r="P22845" s="42"/>
      <c r="AB22845" s="38"/>
    </row>
    <row r="22846">
      <c r="P22846" s="42"/>
      <c r="AB22846" s="38"/>
    </row>
    <row r="22847">
      <c r="P22847" s="42"/>
      <c r="AB22847" s="38"/>
    </row>
    <row r="22848">
      <c r="P22848" s="42"/>
      <c r="AB22848" s="38"/>
    </row>
    <row r="22849">
      <c r="P22849" s="42"/>
      <c r="AB22849" s="38"/>
    </row>
    <row r="22850">
      <c r="P22850" s="42"/>
      <c r="AB22850" s="38"/>
    </row>
    <row r="22851">
      <c r="P22851" s="42"/>
      <c r="AB22851" s="38"/>
    </row>
    <row r="22852">
      <c r="P22852" s="42"/>
      <c r="AB22852" s="38"/>
    </row>
    <row r="22853">
      <c r="P22853" s="42"/>
      <c r="AB22853" s="38"/>
    </row>
    <row r="22854">
      <c r="P22854" s="42"/>
      <c r="AB22854" s="38"/>
    </row>
    <row r="22855">
      <c r="P22855" s="42"/>
      <c r="AB22855" s="38"/>
    </row>
    <row r="22856">
      <c r="P22856" s="42"/>
      <c r="AB22856" s="38"/>
    </row>
    <row r="22857">
      <c r="P22857" s="42"/>
      <c r="AB22857" s="38"/>
    </row>
    <row r="22858">
      <c r="P22858" s="42"/>
      <c r="AB22858" s="38"/>
    </row>
    <row r="22859">
      <c r="P22859" s="42"/>
      <c r="AB22859" s="38"/>
    </row>
    <row r="22860">
      <c r="P22860" s="42"/>
      <c r="AB22860" s="38"/>
    </row>
    <row r="22861">
      <c r="P22861" s="42"/>
      <c r="AB22861" s="38"/>
    </row>
    <row r="22862">
      <c r="P22862" s="42"/>
      <c r="AB22862" s="38"/>
    </row>
    <row r="22863">
      <c r="P22863" s="42"/>
      <c r="AB22863" s="38"/>
    </row>
    <row r="22864">
      <c r="P22864" s="42"/>
      <c r="AB22864" s="38"/>
    </row>
    <row r="22865">
      <c r="P22865" s="42"/>
      <c r="AB22865" s="38"/>
    </row>
    <row r="22866">
      <c r="P22866" s="42"/>
      <c r="AB22866" s="38"/>
    </row>
    <row r="22867">
      <c r="P22867" s="42"/>
      <c r="AB22867" s="38"/>
    </row>
    <row r="22868">
      <c r="P22868" s="42"/>
      <c r="AB22868" s="38"/>
    </row>
    <row r="22869">
      <c r="P22869" s="42"/>
      <c r="AB22869" s="38"/>
    </row>
    <row r="22870">
      <c r="P22870" s="42"/>
      <c r="AB22870" s="38"/>
    </row>
    <row r="22871">
      <c r="P22871" s="42"/>
      <c r="AB22871" s="38"/>
    </row>
    <row r="22872">
      <c r="P22872" s="42"/>
      <c r="AB22872" s="38"/>
    </row>
    <row r="22873">
      <c r="P22873" s="42"/>
      <c r="AB22873" s="38"/>
    </row>
    <row r="22874">
      <c r="P22874" s="42"/>
      <c r="AB22874" s="38"/>
    </row>
    <row r="22875">
      <c r="P22875" s="42"/>
      <c r="AB22875" s="38"/>
    </row>
    <row r="22876">
      <c r="P22876" s="42"/>
      <c r="AB22876" s="38"/>
    </row>
    <row r="22877">
      <c r="P22877" s="42"/>
      <c r="AB22877" s="38"/>
    </row>
    <row r="22878">
      <c r="P22878" s="42"/>
      <c r="AB22878" s="38"/>
    </row>
    <row r="22879">
      <c r="P22879" s="42"/>
      <c r="AB22879" s="38"/>
    </row>
    <row r="22880">
      <c r="P22880" s="42"/>
      <c r="AB22880" s="38"/>
    </row>
    <row r="22881">
      <c r="P22881" s="42"/>
      <c r="AB22881" s="38"/>
    </row>
    <row r="22882">
      <c r="P22882" s="42"/>
      <c r="AB22882" s="38"/>
    </row>
    <row r="22883">
      <c r="P22883" s="42"/>
      <c r="AB22883" s="38"/>
    </row>
    <row r="22884">
      <c r="P22884" s="42"/>
      <c r="AB22884" s="38"/>
    </row>
    <row r="22885">
      <c r="P22885" s="42"/>
      <c r="AB22885" s="38"/>
    </row>
    <row r="22886">
      <c r="P22886" s="42"/>
      <c r="AB22886" s="38"/>
    </row>
    <row r="22887">
      <c r="P22887" s="42"/>
      <c r="AB22887" s="38"/>
    </row>
    <row r="22888">
      <c r="P22888" s="42"/>
      <c r="AB22888" s="38"/>
    </row>
    <row r="22889">
      <c r="P22889" s="42"/>
      <c r="AB22889" s="38"/>
    </row>
    <row r="22890">
      <c r="P22890" s="42"/>
      <c r="AB22890" s="38"/>
    </row>
    <row r="22891">
      <c r="P22891" s="42"/>
      <c r="AB22891" s="38"/>
    </row>
    <row r="22892">
      <c r="P22892" s="42"/>
      <c r="AB22892" s="38"/>
    </row>
    <row r="22893">
      <c r="P22893" s="42"/>
      <c r="AB22893" s="38"/>
    </row>
    <row r="22894">
      <c r="P22894" s="42"/>
      <c r="AB22894" s="38"/>
    </row>
    <row r="22895">
      <c r="P22895" s="42"/>
      <c r="AB22895" s="38"/>
    </row>
    <row r="22896">
      <c r="P22896" s="42"/>
      <c r="AB22896" s="38"/>
    </row>
    <row r="22897">
      <c r="P22897" s="42"/>
      <c r="AB22897" s="38"/>
    </row>
    <row r="22898">
      <c r="P22898" s="42"/>
      <c r="AB22898" s="38"/>
    </row>
    <row r="22899">
      <c r="P22899" s="42"/>
      <c r="AB22899" s="38"/>
    </row>
    <row r="22900">
      <c r="P22900" s="42"/>
      <c r="AB22900" s="38"/>
    </row>
    <row r="22901">
      <c r="P22901" s="42"/>
      <c r="AB22901" s="38"/>
    </row>
    <row r="22902">
      <c r="P22902" s="42"/>
      <c r="AB22902" s="38"/>
    </row>
    <row r="22903">
      <c r="P22903" s="42"/>
      <c r="AB22903" s="38"/>
    </row>
    <row r="22904">
      <c r="P22904" s="42"/>
      <c r="AB22904" s="38"/>
    </row>
    <row r="22905">
      <c r="P22905" s="42"/>
      <c r="AB22905" s="38"/>
    </row>
    <row r="22906">
      <c r="P22906" s="42"/>
      <c r="AB22906" s="38"/>
    </row>
    <row r="22907">
      <c r="P22907" s="42"/>
      <c r="AB22907" s="38"/>
    </row>
    <row r="22908">
      <c r="P22908" s="42"/>
      <c r="AB22908" s="38"/>
    </row>
    <row r="22909">
      <c r="P22909" s="42"/>
      <c r="AB22909" s="38"/>
    </row>
    <row r="22910">
      <c r="P22910" s="42"/>
      <c r="AB22910" s="38"/>
    </row>
    <row r="22911">
      <c r="P22911" s="42"/>
      <c r="AB22911" s="38"/>
    </row>
    <row r="22912">
      <c r="P22912" s="42"/>
      <c r="AB22912" s="38"/>
    </row>
    <row r="22913">
      <c r="P22913" s="42"/>
      <c r="AB22913" s="38"/>
    </row>
    <row r="22914">
      <c r="P22914" s="42"/>
      <c r="AB22914" s="38"/>
    </row>
    <row r="22915">
      <c r="P22915" s="42"/>
      <c r="AB22915" s="38"/>
    </row>
    <row r="22916">
      <c r="P22916" s="42"/>
      <c r="AB22916" s="38"/>
    </row>
    <row r="22917">
      <c r="P22917" s="42"/>
      <c r="AB22917" s="38"/>
    </row>
    <row r="22918">
      <c r="P22918" s="42"/>
      <c r="AB22918" s="38"/>
    </row>
    <row r="22919">
      <c r="P22919" s="42"/>
      <c r="AB22919" s="38"/>
    </row>
    <row r="22920">
      <c r="P22920" s="42"/>
      <c r="AB22920" s="38"/>
    </row>
    <row r="22921">
      <c r="P22921" s="42"/>
      <c r="AB22921" s="38"/>
    </row>
    <row r="22922">
      <c r="P22922" s="42"/>
      <c r="AB22922" s="38"/>
    </row>
    <row r="22923">
      <c r="P22923" s="42"/>
      <c r="AB22923" s="38"/>
    </row>
    <row r="22924">
      <c r="P22924" s="42"/>
      <c r="AB22924" s="38"/>
    </row>
    <row r="22925">
      <c r="P22925" s="42"/>
      <c r="AB22925" s="38"/>
    </row>
    <row r="22926">
      <c r="P22926" s="42"/>
      <c r="AB22926" s="38"/>
    </row>
    <row r="22927">
      <c r="P22927" s="42"/>
      <c r="AB22927" s="38"/>
    </row>
    <row r="22928">
      <c r="P22928" s="42"/>
      <c r="AB22928" s="38"/>
    </row>
    <row r="22929">
      <c r="P22929" s="42"/>
      <c r="AB22929" s="38"/>
    </row>
    <row r="22930">
      <c r="P22930" s="42"/>
      <c r="AB22930" s="38"/>
    </row>
    <row r="22931">
      <c r="P22931" s="42"/>
      <c r="AB22931" s="38"/>
    </row>
    <row r="22932">
      <c r="P22932" s="42"/>
      <c r="AB22932" s="38"/>
    </row>
    <row r="22933">
      <c r="P22933" s="42"/>
      <c r="AB22933" s="38"/>
    </row>
    <row r="22934">
      <c r="P22934" s="42"/>
      <c r="AB22934" s="38"/>
    </row>
    <row r="22935">
      <c r="P22935" s="42"/>
      <c r="AB22935" s="38"/>
    </row>
    <row r="22936">
      <c r="P22936" s="42"/>
      <c r="AB22936" s="38"/>
    </row>
    <row r="22937">
      <c r="P22937" s="42"/>
      <c r="AB22937" s="38"/>
    </row>
    <row r="22938">
      <c r="P22938" s="42"/>
      <c r="AB22938" s="38"/>
    </row>
    <row r="22939">
      <c r="P22939" s="42"/>
      <c r="AB22939" s="38"/>
    </row>
    <row r="22940">
      <c r="P22940" s="42"/>
      <c r="AB22940" s="38"/>
    </row>
    <row r="22941">
      <c r="P22941" s="42"/>
      <c r="AB22941" s="38"/>
    </row>
    <row r="22942">
      <c r="P22942" s="42"/>
      <c r="AB22942" s="38"/>
    </row>
    <row r="22943">
      <c r="P22943" s="42"/>
      <c r="AB22943" s="38"/>
    </row>
    <row r="22944">
      <c r="P22944" s="42"/>
      <c r="AB22944" s="38"/>
    </row>
    <row r="22945">
      <c r="P22945" s="42"/>
      <c r="AB22945" s="38"/>
    </row>
    <row r="22946">
      <c r="P22946" s="42"/>
      <c r="AB22946" s="38"/>
    </row>
    <row r="22947">
      <c r="P22947" s="42"/>
      <c r="AB22947" s="38"/>
    </row>
    <row r="22948">
      <c r="P22948" s="42"/>
      <c r="AB22948" s="38"/>
    </row>
    <row r="22949">
      <c r="P22949" s="42"/>
      <c r="AB22949" s="38"/>
    </row>
    <row r="22950">
      <c r="P22950" s="42"/>
      <c r="AB22950" s="38"/>
    </row>
    <row r="22951">
      <c r="P22951" s="42"/>
      <c r="AB22951" s="38"/>
    </row>
    <row r="22952">
      <c r="P22952" s="42"/>
      <c r="AB22952" s="38"/>
    </row>
    <row r="22953">
      <c r="P22953" s="42"/>
      <c r="AB22953" s="38"/>
    </row>
    <row r="22954">
      <c r="P22954" s="42"/>
      <c r="AB22954" s="38"/>
    </row>
    <row r="22955">
      <c r="P22955" s="42"/>
      <c r="AB22955" s="38"/>
    </row>
    <row r="22956">
      <c r="P22956" s="42"/>
      <c r="AB22956" s="38"/>
    </row>
    <row r="22957">
      <c r="P22957" s="42"/>
      <c r="AB22957" s="38"/>
    </row>
    <row r="22958">
      <c r="P22958" s="42"/>
      <c r="AB22958" s="38"/>
    </row>
    <row r="22959">
      <c r="P22959" s="42"/>
      <c r="AB22959" s="38"/>
    </row>
    <row r="22960">
      <c r="P22960" s="42"/>
      <c r="AB22960" s="38"/>
    </row>
    <row r="22961">
      <c r="P22961" s="42"/>
      <c r="AB22961" s="38"/>
    </row>
    <row r="22962">
      <c r="P22962" s="42"/>
      <c r="AB22962" s="38"/>
    </row>
    <row r="22963">
      <c r="P22963" s="42"/>
      <c r="AB22963" s="38"/>
    </row>
    <row r="22964">
      <c r="P22964" s="42"/>
      <c r="AB22964" s="38"/>
    </row>
    <row r="22965">
      <c r="P22965" s="42"/>
      <c r="AB22965" s="38"/>
    </row>
    <row r="22966">
      <c r="P22966" s="42"/>
      <c r="AB22966" s="38"/>
    </row>
    <row r="22967">
      <c r="P22967" s="42"/>
      <c r="AB22967" s="38"/>
    </row>
    <row r="22968">
      <c r="P22968" s="42"/>
      <c r="AB22968" s="38"/>
    </row>
    <row r="22969">
      <c r="P22969" s="42"/>
      <c r="AB22969" s="38"/>
    </row>
    <row r="22970">
      <c r="P22970" s="42"/>
      <c r="AB22970" s="38"/>
    </row>
    <row r="22971">
      <c r="P22971" s="42"/>
      <c r="AB22971" s="38"/>
    </row>
    <row r="22972">
      <c r="P22972" s="42"/>
      <c r="AB22972" s="38"/>
    </row>
    <row r="22973">
      <c r="P22973" s="42"/>
      <c r="AB22973" s="38"/>
    </row>
    <row r="22974">
      <c r="P22974" s="42"/>
      <c r="AB22974" s="38"/>
    </row>
    <row r="22975">
      <c r="P22975" s="42"/>
      <c r="AB22975" s="38"/>
    </row>
    <row r="22976">
      <c r="P22976" s="42"/>
      <c r="AB22976" s="38"/>
    </row>
    <row r="22977">
      <c r="P22977" s="42"/>
      <c r="AB22977" s="38"/>
    </row>
    <row r="22978">
      <c r="P22978" s="42"/>
      <c r="AB22978" s="38"/>
    </row>
    <row r="22979">
      <c r="P22979" s="42"/>
      <c r="AB22979" s="38"/>
    </row>
    <row r="22980">
      <c r="P22980" s="42"/>
      <c r="AB22980" s="38"/>
    </row>
    <row r="22981">
      <c r="P22981" s="42"/>
      <c r="AB22981" s="38"/>
    </row>
    <row r="22982">
      <c r="P22982" s="42"/>
      <c r="AB22982" s="38"/>
    </row>
    <row r="22983">
      <c r="P22983" s="42"/>
      <c r="AB22983" s="38"/>
    </row>
    <row r="22984">
      <c r="P22984" s="42"/>
      <c r="AB22984" s="38"/>
    </row>
    <row r="22985">
      <c r="P22985" s="42"/>
      <c r="AB22985" s="38"/>
    </row>
    <row r="22986">
      <c r="P22986" s="42"/>
      <c r="AB22986" s="38"/>
    </row>
    <row r="22987">
      <c r="P22987" s="42"/>
      <c r="AB22987" s="38"/>
    </row>
    <row r="22988">
      <c r="P22988" s="42"/>
      <c r="AB22988" s="38"/>
    </row>
    <row r="22989">
      <c r="P22989" s="42"/>
      <c r="AB22989" s="38"/>
    </row>
    <row r="22990">
      <c r="P22990" s="42"/>
      <c r="AB22990" s="38"/>
    </row>
    <row r="22991">
      <c r="P22991" s="42"/>
      <c r="AB22991" s="38"/>
    </row>
    <row r="22992">
      <c r="P22992" s="42"/>
      <c r="AB22992" s="38"/>
    </row>
    <row r="22993">
      <c r="P22993" s="42"/>
      <c r="AB22993" s="38"/>
    </row>
    <row r="22994">
      <c r="P22994" s="42"/>
      <c r="AB22994" s="38"/>
    </row>
    <row r="22995">
      <c r="P22995" s="42"/>
      <c r="AB22995" s="38"/>
    </row>
    <row r="22996">
      <c r="P22996" s="42"/>
      <c r="AB22996" s="38"/>
    </row>
    <row r="22997">
      <c r="P22997" s="42"/>
      <c r="AB22997" s="38"/>
    </row>
    <row r="22998">
      <c r="P22998" s="42"/>
      <c r="AB22998" s="38"/>
    </row>
    <row r="22999">
      <c r="P22999" s="42"/>
      <c r="AB22999" s="38"/>
    </row>
    <row r="23000">
      <c r="P23000" s="42"/>
      <c r="AB23000" s="38"/>
    </row>
    <row r="23001">
      <c r="P23001" s="42"/>
      <c r="AB23001" s="38"/>
    </row>
    <row r="23002">
      <c r="P23002" s="42"/>
      <c r="AB23002" s="38"/>
    </row>
    <row r="23003">
      <c r="P23003" s="42"/>
      <c r="AB23003" s="38"/>
    </row>
    <row r="23004">
      <c r="P23004" s="42"/>
      <c r="AB23004" s="38"/>
    </row>
    <row r="23005">
      <c r="P23005" s="42"/>
      <c r="AB23005" s="38"/>
    </row>
    <row r="23006">
      <c r="P23006" s="42"/>
      <c r="AB23006" s="38"/>
    </row>
    <row r="23007">
      <c r="P23007" s="42"/>
      <c r="AB23007" s="38"/>
    </row>
    <row r="23008">
      <c r="P23008" s="42"/>
      <c r="AB23008" s="38"/>
    </row>
    <row r="23009">
      <c r="P23009" s="42"/>
      <c r="AB23009" s="38"/>
    </row>
    <row r="23010">
      <c r="P23010" s="42"/>
      <c r="AB23010" s="38"/>
    </row>
    <row r="23011">
      <c r="P23011" s="42"/>
      <c r="AB23011" s="38"/>
    </row>
    <row r="23012">
      <c r="P23012" s="42"/>
      <c r="AB23012" s="38"/>
    </row>
    <row r="23013">
      <c r="P23013" s="42"/>
      <c r="AB23013" s="38"/>
    </row>
    <row r="23014">
      <c r="P23014" s="42"/>
      <c r="AB23014" s="38"/>
    </row>
    <row r="23015">
      <c r="P23015" s="42"/>
      <c r="AB23015" s="38"/>
    </row>
    <row r="23016">
      <c r="P23016" s="42"/>
      <c r="AB23016" s="38"/>
    </row>
    <row r="23017">
      <c r="P23017" s="42"/>
      <c r="AB23017" s="38"/>
    </row>
    <row r="23018">
      <c r="P23018" s="42"/>
      <c r="AB23018" s="38"/>
    </row>
    <row r="23019">
      <c r="P23019" s="42"/>
      <c r="AB23019" s="38"/>
    </row>
    <row r="23020">
      <c r="P23020" s="42"/>
      <c r="AB23020" s="38"/>
    </row>
    <row r="23021">
      <c r="P23021" s="42"/>
      <c r="AB23021" s="38"/>
    </row>
    <row r="23022">
      <c r="P23022" s="42"/>
      <c r="AB23022" s="38"/>
    </row>
    <row r="23023">
      <c r="P23023" s="42"/>
      <c r="AB23023" s="38"/>
    </row>
    <row r="23024">
      <c r="P23024" s="42"/>
      <c r="AB23024" s="38"/>
    </row>
    <row r="23025">
      <c r="P23025" s="42"/>
      <c r="AB23025" s="38"/>
    </row>
    <row r="23026">
      <c r="P23026" s="42"/>
      <c r="AB23026" s="38"/>
    </row>
    <row r="23027">
      <c r="P23027" s="42"/>
      <c r="AB23027" s="38"/>
    </row>
    <row r="23028">
      <c r="P23028" s="42"/>
      <c r="AB23028" s="38"/>
    </row>
    <row r="23029">
      <c r="P23029" s="42"/>
      <c r="AB23029" s="38"/>
    </row>
    <row r="23030">
      <c r="P23030" s="42"/>
      <c r="AB23030" s="38"/>
    </row>
    <row r="23031">
      <c r="P23031" s="42"/>
      <c r="AB23031" s="38"/>
    </row>
    <row r="23032">
      <c r="P23032" s="42"/>
      <c r="AB23032" s="38"/>
    </row>
    <row r="23033">
      <c r="P23033" s="42"/>
      <c r="AB23033" s="38"/>
    </row>
    <row r="23034">
      <c r="P23034" s="42"/>
      <c r="AB23034" s="38"/>
    </row>
    <row r="23035">
      <c r="P23035" s="42"/>
      <c r="AB23035" s="38"/>
    </row>
    <row r="23036">
      <c r="P23036" s="42"/>
      <c r="AB23036" s="38"/>
    </row>
    <row r="23037">
      <c r="P23037" s="42"/>
      <c r="AB23037" s="38"/>
    </row>
    <row r="23038">
      <c r="P23038" s="42"/>
      <c r="AB23038" s="38"/>
    </row>
    <row r="23039">
      <c r="P23039" s="42"/>
      <c r="AB23039" s="38"/>
    </row>
    <row r="23040">
      <c r="P23040" s="42"/>
      <c r="AB23040" s="38"/>
    </row>
    <row r="23041">
      <c r="P23041" s="42"/>
      <c r="AB23041" s="38"/>
    </row>
    <row r="23042">
      <c r="P23042" s="42"/>
      <c r="AB23042" s="38"/>
    </row>
    <row r="23043">
      <c r="P23043" s="42"/>
      <c r="AB23043" s="38"/>
    </row>
    <row r="23044">
      <c r="P23044" s="42"/>
      <c r="AB23044" s="38"/>
    </row>
    <row r="23045">
      <c r="P23045" s="42"/>
      <c r="AB23045" s="38"/>
    </row>
    <row r="23046">
      <c r="P23046" s="42"/>
      <c r="AB23046" s="38"/>
    </row>
    <row r="23047">
      <c r="P23047" s="42"/>
      <c r="AB23047" s="38"/>
    </row>
    <row r="23048">
      <c r="P23048" s="42"/>
      <c r="AB23048" s="38"/>
    </row>
    <row r="23049">
      <c r="P23049" s="42"/>
      <c r="AB23049" s="38"/>
    </row>
    <row r="23050">
      <c r="P23050" s="42"/>
      <c r="AB23050" s="38"/>
    </row>
    <row r="23051">
      <c r="P23051" s="42"/>
      <c r="AB23051" s="38"/>
    </row>
    <row r="23052">
      <c r="P23052" s="42"/>
      <c r="AB23052" s="38"/>
    </row>
    <row r="23053">
      <c r="P23053" s="42"/>
      <c r="AB23053" s="38"/>
    </row>
    <row r="23054">
      <c r="P23054" s="42"/>
      <c r="AB23054" s="38"/>
    </row>
    <row r="23055">
      <c r="P23055" s="42"/>
      <c r="AB23055" s="38"/>
    </row>
    <row r="23056">
      <c r="P23056" s="42"/>
      <c r="AB23056" s="38"/>
    </row>
    <row r="23057">
      <c r="P23057" s="42"/>
      <c r="AB23057" s="38"/>
    </row>
    <row r="23058">
      <c r="P23058" s="42"/>
      <c r="AB23058" s="38"/>
    </row>
    <row r="23059">
      <c r="P23059" s="42"/>
      <c r="AB23059" s="38"/>
    </row>
    <row r="23060">
      <c r="P23060" s="42"/>
      <c r="AB23060" s="38"/>
    </row>
    <row r="23061">
      <c r="P23061" s="42"/>
      <c r="AB23061" s="38"/>
    </row>
    <row r="23062">
      <c r="P23062" s="42"/>
      <c r="AB23062" s="38"/>
    </row>
    <row r="23063">
      <c r="P23063" s="42"/>
      <c r="AB23063" s="38"/>
    </row>
    <row r="23064">
      <c r="P23064" s="42"/>
      <c r="AB23064" s="38"/>
    </row>
    <row r="23065">
      <c r="P23065" s="42"/>
      <c r="AB23065" s="38"/>
    </row>
    <row r="23066">
      <c r="P23066" s="42"/>
      <c r="AB23066" s="38"/>
    </row>
    <row r="23067">
      <c r="P23067" s="42"/>
      <c r="AB23067" s="38"/>
    </row>
    <row r="23068">
      <c r="P23068" s="42"/>
      <c r="AB23068" s="38"/>
    </row>
    <row r="23069">
      <c r="P23069" s="42"/>
      <c r="AB23069" s="38"/>
    </row>
    <row r="23070">
      <c r="P23070" s="42"/>
      <c r="AB23070" s="38"/>
    </row>
    <row r="23071">
      <c r="P23071" s="42"/>
      <c r="AB23071" s="38"/>
    </row>
    <row r="23072">
      <c r="P23072" s="42"/>
      <c r="AB23072" s="38"/>
    </row>
    <row r="23073">
      <c r="P23073" s="42"/>
      <c r="AB23073" s="38"/>
    </row>
    <row r="23074">
      <c r="P23074" s="42"/>
      <c r="AB23074" s="38"/>
    </row>
    <row r="23075">
      <c r="P23075" s="42"/>
      <c r="AB23075" s="38"/>
    </row>
    <row r="23076">
      <c r="P23076" s="42"/>
      <c r="AB23076" s="38"/>
    </row>
    <row r="23077">
      <c r="P23077" s="42"/>
      <c r="AB23077" s="38"/>
    </row>
    <row r="23078">
      <c r="P23078" s="42"/>
      <c r="AB23078" s="38"/>
    </row>
    <row r="23079">
      <c r="P23079" s="42"/>
      <c r="AB23079" s="38"/>
    </row>
    <row r="23080">
      <c r="P23080" s="42"/>
      <c r="AB23080" s="38"/>
    </row>
    <row r="23081">
      <c r="P23081" s="42"/>
      <c r="AB23081" s="38"/>
    </row>
    <row r="23082">
      <c r="P23082" s="42"/>
      <c r="AB23082" s="38"/>
    </row>
    <row r="23083">
      <c r="P23083" s="42"/>
      <c r="AB23083" s="38"/>
    </row>
    <row r="23084">
      <c r="P23084" s="42"/>
      <c r="AB23084" s="38"/>
    </row>
    <row r="23085">
      <c r="P23085" s="42"/>
      <c r="AB23085" s="38"/>
    </row>
    <row r="23086">
      <c r="P23086" s="42"/>
      <c r="AB23086" s="38"/>
    </row>
    <row r="23087">
      <c r="P23087" s="42"/>
      <c r="AB23087" s="38"/>
    </row>
    <row r="23088">
      <c r="P23088" s="42"/>
      <c r="AB23088" s="38"/>
    </row>
    <row r="23089">
      <c r="P23089" s="42"/>
      <c r="AB23089" s="38"/>
    </row>
    <row r="23090">
      <c r="P23090" s="42"/>
      <c r="AB23090" s="38"/>
    </row>
    <row r="23091">
      <c r="P23091" s="42"/>
      <c r="AB23091" s="38"/>
    </row>
    <row r="23092">
      <c r="P23092" s="42"/>
      <c r="AB23092" s="38"/>
    </row>
    <row r="23093">
      <c r="P23093" s="42"/>
      <c r="AB23093" s="38"/>
    </row>
    <row r="23094">
      <c r="P23094" s="42"/>
      <c r="AB23094" s="38"/>
    </row>
    <row r="23095">
      <c r="P23095" s="42"/>
      <c r="AB23095" s="38"/>
    </row>
    <row r="23096">
      <c r="P23096" s="42"/>
      <c r="AB23096" s="38"/>
    </row>
    <row r="23097">
      <c r="P23097" s="42"/>
      <c r="AB23097" s="38"/>
    </row>
    <row r="23098">
      <c r="P23098" s="42"/>
      <c r="AB23098" s="38"/>
    </row>
    <row r="23099">
      <c r="P23099" s="42"/>
      <c r="AB23099" s="38"/>
    </row>
    <row r="23100">
      <c r="P23100" s="42"/>
      <c r="AB23100" s="38"/>
    </row>
    <row r="23101">
      <c r="P23101" s="42"/>
      <c r="AB23101" s="38"/>
    </row>
    <row r="23102">
      <c r="P23102" s="42"/>
      <c r="AB23102" s="38"/>
    </row>
    <row r="23103">
      <c r="P23103" s="42"/>
      <c r="AB23103" s="38"/>
    </row>
    <row r="23104">
      <c r="P23104" s="42"/>
      <c r="AB23104" s="38"/>
    </row>
    <row r="23105">
      <c r="P23105" s="42"/>
      <c r="AB23105" s="38"/>
    </row>
    <row r="23106">
      <c r="P23106" s="42"/>
      <c r="AB23106" s="38"/>
    </row>
    <row r="23107">
      <c r="P23107" s="42"/>
      <c r="AB23107" s="38"/>
    </row>
    <row r="23108">
      <c r="P23108" s="42"/>
      <c r="AB23108" s="38"/>
    </row>
    <row r="23109">
      <c r="P23109" s="42"/>
      <c r="AB23109" s="38"/>
    </row>
    <row r="23110">
      <c r="P23110" s="42"/>
      <c r="AB23110" s="38"/>
    </row>
    <row r="23111">
      <c r="P23111" s="42"/>
      <c r="AB23111" s="38"/>
    </row>
    <row r="23112">
      <c r="P23112" s="42"/>
      <c r="AB23112" s="38"/>
    </row>
    <row r="23113">
      <c r="P23113" s="42"/>
      <c r="AB23113" s="38"/>
    </row>
    <row r="23114">
      <c r="P23114" s="42"/>
      <c r="AB23114" s="38"/>
    </row>
    <row r="23115">
      <c r="P23115" s="42"/>
      <c r="AB23115" s="38"/>
    </row>
    <row r="23116">
      <c r="P23116" s="42"/>
      <c r="AB23116" s="38"/>
    </row>
    <row r="23117">
      <c r="P23117" s="42"/>
      <c r="AB23117" s="38"/>
    </row>
    <row r="23118">
      <c r="P23118" s="42"/>
      <c r="AB23118" s="38"/>
    </row>
    <row r="23119">
      <c r="P23119" s="42"/>
      <c r="AB23119" s="38"/>
    </row>
    <row r="23120">
      <c r="P23120" s="42"/>
      <c r="AB23120" s="38"/>
    </row>
    <row r="23121">
      <c r="P23121" s="42"/>
      <c r="AB23121" s="38"/>
    </row>
    <row r="23122">
      <c r="P23122" s="42"/>
      <c r="AB23122" s="38"/>
    </row>
    <row r="23123">
      <c r="P23123" s="42"/>
      <c r="AB23123" s="38"/>
    </row>
    <row r="23124">
      <c r="P23124" s="42"/>
      <c r="AB23124" s="38"/>
    </row>
    <row r="23125">
      <c r="P23125" s="42"/>
      <c r="AB23125" s="38"/>
    </row>
    <row r="23126">
      <c r="P23126" s="42"/>
      <c r="AB23126" s="38"/>
    </row>
    <row r="23127">
      <c r="P23127" s="42"/>
      <c r="AB23127" s="38"/>
    </row>
    <row r="23128">
      <c r="P23128" s="42"/>
      <c r="AB23128" s="38"/>
    </row>
    <row r="23129">
      <c r="P23129" s="42"/>
      <c r="AB23129" s="38"/>
    </row>
    <row r="23130">
      <c r="P23130" s="42"/>
      <c r="AB23130" s="38"/>
    </row>
    <row r="23131">
      <c r="P23131" s="42"/>
      <c r="AB23131" s="38"/>
    </row>
    <row r="23132">
      <c r="P23132" s="42"/>
      <c r="AB23132" s="38"/>
    </row>
    <row r="23133">
      <c r="P23133" s="42"/>
      <c r="AB23133" s="38"/>
    </row>
    <row r="23134">
      <c r="P23134" s="42"/>
      <c r="AB23134" s="38"/>
    </row>
    <row r="23135">
      <c r="P23135" s="42"/>
      <c r="AB23135" s="38"/>
    </row>
    <row r="23136">
      <c r="P23136" s="42"/>
      <c r="AB23136" s="38"/>
    </row>
    <row r="23137">
      <c r="P23137" s="42"/>
      <c r="AB23137" s="38"/>
    </row>
    <row r="23138">
      <c r="P23138" s="42"/>
      <c r="AB23138" s="38"/>
    </row>
    <row r="23139">
      <c r="P23139" s="42"/>
      <c r="AB23139" s="38"/>
    </row>
    <row r="23140">
      <c r="P23140" s="42"/>
      <c r="AB23140" s="38"/>
    </row>
    <row r="23141">
      <c r="P23141" s="42"/>
      <c r="AB23141" s="38"/>
    </row>
    <row r="23142">
      <c r="P23142" s="42"/>
      <c r="AB23142" s="38"/>
    </row>
    <row r="23143">
      <c r="P23143" s="42"/>
      <c r="AB23143" s="38"/>
    </row>
    <row r="23144">
      <c r="P23144" s="42"/>
      <c r="AB23144" s="38"/>
    </row>
    <row r="23145">
      <c r="P23145" s="42"/>
      <c r="AB23145" s="38"/>
    </row>
    <row r="23146">
      <c r="P23146" s="42"/>
      <c r="AB23146" s="38"/>
    </row>
    <row r="23147">
      <c r="P23147" s="42"/>
      <c r="AB23147" s="38"/>
    </row>
    <row r="23148">
      <c r="P23148" s="42"/>
      <c r="AB23148" s="38"/>
    </row>
    <row r="23149">
      <c r="P23149" s="42"/>
      <c r="AB23149" s="38"/>
    </row>
    <row r="23150">
      <c r="P23150" s="42"/>
      <c r="AB23150" s="38"/>
    </row>
    <row r="23151">
      <c r="P23151" s="42"/>
      <c r="AB23151" s="38"/>
    </row>
    <row r="23152">
      <c r="P23152" s="42"/>
      <c r="AB23152" s="38"/>
    </row>
    <row r="23153">
      <c r="P23153" s="42"/>
      <c r="AB23153" s="38"/>
    </row>
    <row r="23154">
      <c r="P23154" s="42"/>
      <c r="AB23154" s="38"/>
    </row>
    <row r="23155">
      <c r="P23155" s="42"/>
      <c r="AB23155" s="38"/>
    </row>
    <row r="23156">
      <c r="P23156" s="42"/>
      <c r="AB23156" s="38"/>
    </row>
    <row r="23157">
      <c r="P23157" s="42"/>
      <c r="AB23157" s="38"/>
    </row>
    <row r="23158">
      <c r="P23158" s="42"/>
      <c r="AB23158" s="38"/>
    </row>
    <row r="23159">
      <c r="P23159" s="42"/>
      <c r="AB23159" s="38"/>
    </row>
    <row r="23160">
      <c r="P23160" s="42"/>
      <c r="AB23160" s="38"/>
    </row>
    <row r="23161">
      <c r="P23161" s="42"/>
      <c r="AB23161" s="38"/>
    </row>
    <row r="23162">
      <c r="P23162" s="42"/>
      <c r="AB23162" s="38"/>
    </row>
    <row r="23163">
      <c r="P23163" s="42"/>
      <c r="AB23163" s="38"/>
    </row>
    <row r="23164">
      <c r="P23164" s="42"/>
      <c r="AB23164" s="38"/>
    </row>
    <row r="23165">
      <c r="P23165" s="42"/>
      <c r="AB23165" s="38"/>
    </row>
    <row r="23166">
      <c r="P23166" s="42"/>
      <c r="AB23166" s="38"/>
    </row>
    <row r="23167">
      <c r="P23167" s="42"/>
      <c r="AB23167" s="38"/>
    </row>
    <row r="23168">
      <c r="P23168" s="42"/>
      <c r="AB23168" s="38"/>
    </row>
    <row r="23169">
      <c r="P23169" s="42"/>
      <c r="AB23169" s="38"/>
    </row>
    <row r="23170">
      <c r="P23170" s="42"/>
      <c r="AB23170" s="38"/>
    </row>
    <row r="23171">
      <c r="P23171" s="42"/>
      <c r="AB23171" s="38"/>
    </row>
    <row r="23172">
      <c r="P23172" s="42"/>
      <c r="AB23172" s="38"/>
    </row>
    <row r="23173">
      <c r="P23173" s="42"/>
      <c r="AB23173" s="38"/>
    </row>
    <row r="23174">
      <c r="P23174" s="42"/>
      <c r="AB23174" s="38"/>
    </row>
    <row r="23175">
      <c r="P23175" s="42"/>
      <c r="AB23175" s="38"/>
    </row>
    <row r="23176">
      <c r="P23176" s="42"/>
      <c r="AB23176" s="38"/>
    </row>
    <row r="23177">
      <c r="P23177" s="42"/>
      <c r="AB23177" s="38"/>
    </row>
    <row r="23178">
      <c r="P23178" s="42"/>
      <c r="AB23178" s="38"/>
    </row>
    <row r="23179">
      <c r="P23179" s="42"/>
      <c r="AB23179" s="38"/>
    </row>
    <row r="23180">
      <c r="P23180" s="42"/>
      <c r="AB23180" s="38"/>
    </row>
    <row r="23181">
      <c r="P23181" s="42"/>
      <c r="AB23181" s="38"/>
    </row>
    <row r="23182">
      <c r="P23182" s="42"/>
      <c r="AB23182" s="38"/>
    </row>
    <row r="23183">
      <c r="P23183" s="42"/>
      <c r="AB23183" s="38"/>
    </row>
    <row r="23184">
      <c r="P23184" s="42"/>
      <c r="AB23184" s="38"/>
    </row>
    <row r="23185">
      <c r="P23185" s="42"/>
      <c r="AB23185" s="38"/>
    </row>
    <row r="23186">
      <c r="P23186" s="42"/>
      <c r="AB23186" s="38"/>
    </row>
    <row r="23187">
      <c r="P23187" s="42"/>
      <c r="AB23187" s="38"/>
    </row>
    <row r="23188">
      <c r="P23188" s="42"/>
      <c r="AB23188" s="38"/>
    </row>
    <row r="23189">
      <c r="P23189" s="42"/>
      <c r="AB23189" s="38"/>
    </row>
    <row r="23190">
      <c r="P23190" s="42"/>
      <c r="AB23190" s="38"/>
    </row>
    <row r="23191">
      <c r="P23191" s="42"/>
      <c r="AB23191" s="38"/>
    </row>
    <row r="23192">
      <c r="P23192" s="42"/>
      <c r="AB23192" s="38"/>
    </row>
    <row r="23193">
      <c r="P23193" s="42"/>
      <c r="AB23193" s="38"/>
    </row>
    <row r="23194">
      <c r="P23194" s="42"/>
      <c r="AB23194" s="38"/>
    </row>
    <row r="23195">
      <c r="P23195" s="42"/>
      <c r="AB23195" s="38"/>
    </row>
    <row r="23196">
      <c r="P23196" s="42"/>
      <c r="AB23196" s="38"/>
    </row>
    <row r="23197">
      <c r="P23197" s="42"/>
      <c r="AB23197" s="38"/>
    </row>
    <row r="23198">
      <c r="P23198" s="42"/>
      <c r="AB23198" s="38"/>
    </row>
    <row r="23199">
      <c r="P23199" s="42"/>
      <c r="AB23199" s="38"/>
    </row>
    <row r="23200">
      <c r="P23200" s="42"/>
      <c r="AB23200" s="38"/>
    </row>
    <row r="23201">
      <c r="P23201" s="42"/>
      <c r="AB23201" s="38"/>
    </row>
    <row r="23202">
      <c r="P23202" s="42"/>
      <c r="AB23202" s="38"/>
    </row>
    <row r="23203">
      <c r="P23203" s="42"/>
      <c r="AB23203" s="38"/>
    </row>
    <row r="23204">
      <c r="P23204" s="42"/>
      <c r="AB23204" s="38"/>
    </row>
    <row r="23205">
      <c r="P23205" s="42"/>
      <c r="AB23205" s="38"/>
    </row>
    <row r="23206">
      <c r="P23206" s="42"/>
      <c r="AB23206" s="38"/>
    </row>
    <row r="23207">
      <c r="P23207" s="42"/>
      <c r="AB23207" s="38"/>
    </row>
    <row r="23208">
      <c r="P23208" s="42"/>
      <c r="AB23208" s="38"/>
    </row>
    <row r="23209">
      <c r="P23209" s="42"/>
      <c r="AB23209" s="38"/>
    </row>
    <row r="23210">
      <c r="P23210" s="42"/>
      <c r="AB23210" s="38"/>
    </row>
    <row r="23211">
      <c r="P23211" s="42"/>
      <c r="AB23211" s="38"/>
    </row>
    <row r="23212">
      <c r="P23212" s="42"/>
      <c r="AB23212" s="38"/>
    </row>
    <row r="23213">
      <c r="P23213" s="42"/>
      <c r="AB23213" s="38"/>
    </row>
    <row r="23214">
      <c r="P23214" s="42"/>
      <c r="AB23214" s="38"/>
    </row>
    <row r="23215">
      <c r="P23215" s="42"/>
      <c r="AB23215" s="38"/>
    </row>
    <row r="23216">
      <c r="P23216" s="42"/>
      <c r="AB23216" s="38"/>
    </row>
    <row r="23217">
      <c r="P23217" s="42"/>
      <c r="AB23217" s="38"/>
    </row>
    <row r="23218">
      <c r="P23218" s="42"/>
      <c r="AB23218" s="38"/>
    </row>
    <row r="23219">
      <c r="P23219" s="42"/>
      <c r="AB23219" s="38"/>
    </row>
    <row r="23220">
      <c r="P23220" s="42"/>
      <c r="AB23220" s="38"/>
    </row>
    <row r="23221">
      <c r="P23221" s="42"/>
      <c r="AB23221" s="38"/>
    </row>
    <row r="23222">
      <c r="P23222" s="42"/>
      <c r="AB23222" s="38"/>
    </row>
    <row r="23223">
      <c r="P23223" s="42"/>
      <c r="AB23223" s="38"/>
    </row>
    <row r="23224">
      <c r="P23224" s="42"/>
      <c r="AB23224" s="38"/>
    </row>
    <row r="23225">
      <c r="P23225" s="42"/>
      <c r="AB23225" s="38"/>
    </row>
    <row r="23226">
      <c r="P23226" s="42"/>
      <c r="AB23226" s="38"/>
    </row>
    <row r="23227">
      <c r="P23227" s="42"/>
      <c r="AB23227" s="38"/>
    </row>
    <row r="23228">
      <c r="P23228" s="42"/>
      <c r="AB23228" s="38"/>
    </row>
    <row r="23229">
      <c r="P23229" s="42"/>
      <c r="AB23229" s="38"/>
    </row>
    <row r="23230">
      <c r="P23230" s="42"/>
      <c r="AB23230" s="38"/>
    </row>
    <row r="23231">
      <c r="P23231" s="42"/>
      <c r="AB23231" s="38"/>
    </row>
    <row r="23232">
      <c r="P23232" s="42"/>
      <c r="AB23232" s="38"/>
    </row>
    <row r="23233">
      <c r="P23233" s="42"/>
      <c r="AB23233" s="38"/>
    </row>
    <row r="23234">
      <c r="P23234" s="42"/>
      <c r="AB23234" s="38"/>
    </row>
    <row r="23235">
      <c r="P23235" s="42"/>
      <c r="AB23235" s="38"/>
    </row>
    <row r="23236">
      <c r="P23236" s="42"/>
      <c r="AB23236" s="38"/>
    </row>
    <row r="23237">
      <c r="P23237" s="42"/>
      <c r="AB23237" s="38"/>
    </row>
    <row r="23238">
      <c r="P23238" s="42"/>
      <c r="AB23238" s="38"/>
    </row>
    <row r="23239">
      <c r="P23239" s="42"/>
      <c r="AB23239" s="38"/>
    </row>
    <row r="23240">
      <c r="P23240" s="42"/>
      <c r="AB23240" s="38"/>
    </row>
    <row r="23241">
      <c r="P23241" s="42"/>
      <c r="AB23241" s="38"/>
    </row>
    <row r="23242">
      <c r="P23242" s="42"/>
      <c r="AB23242" s="38"/>
    </row>
    <row r="23243">
      <c r="P23243" s="42"/>
      <c r="AB23243" s="38"/>
    </row>
    <row r="23244">
      <c r="P23244" s="42"/>
      <c r="AB23244" s="38"/>
    </row>
    <row r="23245">
      <c r="P23245" s="42"/>
      <c r="AB23245" s="38"/>
    </row>
    <row r="23246">
      <c r="P23246" s="42"/>
      <c r="AB23246" s="38"/>
    </row>
    <row r="23247">
      <c r="P23247" s="42"/>
      <c r="AB23247" s="38"/>
    </row>
    <row r="23248">
      <c r="P23248" s="42"/>
      <c r="AB23248" s="38"/>
    </row>
    <row r="23249">
      <c r="P23249" s="42"/>
      <c r="AB23249" s="38"/>
    </row>
    <row r="23250">
      <c r="P23250" s="42"/>
      <c r="AB23250" s="38"/>
    </row>
    <row r="23251">
      <c r="P23251" s="42"/>
      <c r="AB23251" s="38"/>
    </row>
    <row r="23252">
      <c r="P23252" s="42"/>
      <c r="AB23252" s="38"/>
    </row>
    <row r="23253">
      <c r="P23253" s="42"/>
      <c r="AB23253" s="38"/>
    </row>
    <row r="23254">
      <c r="P23254" s="42"/>
      <c r="AB23254" s="38"/>
    </row>
    <row r="23255">
      <c r="P23255" s="42"/>
      <c r="AB23255" s="38"/>
    </row>
    <row r="23256">
      <c r="P23256" s="42"/>
      <c r="AB23256" s="38"/>
    </row>
    <row r="23257">
      <c r="P23257" s="42"/>
      <c r="AB23257" s="38"/>
    </row>
    <row r="23258">
      <c r="P23258" s="42"/>
      <c r="AB23258" s="38"/>
    </row>
    <row r="23259">
      <c r="P23259" s="42"/>
      <c r="AB23259" s="38"/>
    </row>
    <row r="23260">
      <c r="P23260" s="42"/>
      <c r="AB23260" s="38"/>
    </row>
    <row r="23261">
      <c r="P23261" s="42"/>
      <c r="AB23261" s="38"/>
    </row>
    <row r="23262">
      <c r="P23262" s="42"/>
      <c r="AB23262" s="38"/>
    </row>
    <row r="23263">
      <c r="P23263" s="42"/>
      <c r="AB23263" s="38"/>
    </row>
    <row r="23264">
      <c r="P23264" s="42"/>
      <c r="AB23264" s="38"/>
    </row>
    <row r="23265">
      <c r="P23265" s="42"/>
      <c r="AB23265" s="38"/>
    </row>
    <row r="23266">
      <c r="P23266" s="42"/>
      <c r="AB23266" s="38"/>
    </row>
    <row r="23267">
      <c r="P23267" s="42"/>
      <c r="AB23267" s="38"/>
    </row>
    <row r="23268">
      <c r="P23268" s="42"/>
      <c r="AB23268" s="38"/>
    </row>
    <row r="23269">
      <c r="P23269" s="42"/>
      <c r="AB23269" s="38"/>
    </row>
    <row r="23270">
      <c r="P23270" s="42"/>
      <c r="AB23270" s="38"/>
    </row>
    <row r="23271">
      <c r="P23271" s="42"/>
      <c r="AB23271" s="38"/>
    </row>
    <row r="23272">
      <c r="P23272" s="42"/>
      <c r="AB23272" s="38"/>
    </row>
    <row r="23273">
      <c r="P23273" s="42"/>
      <c r="AB23273" s="38"/>
    </row>
    <row r="23274">
      <c r="P23274" s="42"/>
      <c r="AB23274" s="38"/>
    </row>
    <row r="23275">
      <c r="P23275" s="42"/>
      <c r="AB23275" s="38"/>
    </row>
    <row r="23276">
      <c r="P23276" s="42"/>
      <c r="AB23276" s="38"/>
    </row>
    <row r="23277">
      <c r="P23277" s="42"/>
      <c r="AB23277" s="38"/>
    </row>
    <row r="23278">
      <c r="P23278" s="42"/>
      <c r="AB23278" s="38"/>
    </row>
    <row r="23279">
      <c r="P23279" s="42"/>
      <c r="AB23279" s="38"/>
    </row>
    <row r="23280">
      <c r="P23280" s="42"/>
      <c r="AB23280" s="38"/>
    </row>
    <row r="23281">
      <c r="P23281" s="42"/>
      <c r="AB23281" s="38"/>
    </row>
    <row r="23282">
      <c r="P23282" s="42"/>
      <c r="AB23282" s="38"/>
    </row>
    <row r="23283">
      <c r="P23283" s="42"/>
      <c r="AB23283" s="38"/>
    </row>
    <row r="23284">
      <c r="P23284" s="42"/>
      <c r="AB23284" s="38"/>
    </row>
    <row r="23285">
      <c r="P23285" s="42"/>
      <c r="AB23285" s="38"/>
    </row>
    <row r="23286">
      <c r="P23286" s="42"/>
      <c r="AB23286" s="38"/>
    </row>
    <row r="23287">
      <c r="P23287" s="42"/>
      <c r="AB23287" s="38"/>
    </row>
    <row r="23288">
      <c r="P23288" s="42"/>
      <c r="AB23288" s="38"/>
    </row>
    <row r="23289">
      <c r="P23289" s="42"/>
      <c r="AB23289" s="38"/>
    </row>
    <row r="23290">
      <c r="P23290" s="42"/>
      <c r="AB23290" s="38"/>
    </row>
    <row r="23291">
      <c r="P23291" s="42"/>
      <c r="AB23291" s="38"/>
    </row>
    <row r="23292">
      <c r="P23292" s="42"/>
      <c r="AB23292" s="38"/>
    </row>
    <row r="23293">
      <c r="P23293" s="42"/>
      <c r="AB23293" s="38"/>
    </row>
    <row r="23294">
      <c r="P23294" s="42"/>
      <c r="AB23294" s="38"/>
    </row>
    <row r="23295">
      <c r="P23295" s="42"/>
      <c r="AB23295" s="38"/>
    </row>
    <row r="23296">
      <c r="P23296" s="42"/>
      <c r="AB23296" s="38"/>
    </row>
    <row r="23297">
      <c r="P23297" s="42"/>
      <c r="AB23297" s="38"/>
    </row>
    <row r="23298">
      <c r="P23298" s="42"/>
      <c r="AB23298" s="38"/>
    </row>
    <row r="23299">
      <c r="P23299" s="42"/>
      <c r="AB23299" s="38"/>
    </row>
    <row r="23300">
      <c r="P23300" s="42"/>
      <c r="AB23300" s="38"/>
    </row>
    <row r="23301">
      <c r="P23301" s="42"/>
      <c r="AB23301" s="38"/>
    </row>
    <row r="23302">
      <c r="P23302" s="42"/>
      <c r="AB23302" s="38"/>
    </row>
    <row r="23303">
      <c r="P23303" s="42"/>
      <c r="AB23303" s="38"/>
    </row>
    <row r="23304">
      <c r="P23304" s="42"/>
      <c r="AB23304" s="38"/>
    </row>
    <row r="23305">
      <c r="P23305" s="42"/>
      <c r="AB23305" s="38"/>
    </row>
    <row r="23306">
      <c r="P23306" s="42"/>
      <c r="AB23306" s="38"/>
    </row>
    <row r="23307">
      <c r="P23307" s="42"/>
      <c r="AB23307" s="38"/>
    </row>
    <row r="23308">
      <c r="P23308" s="42"/>
      <c r="AB23308" s="38"/>
    </row>
    <row r="23309">
      <c r="P23309" s="42"/>
      <c r="AB23309" s="38"/>
    </row>
    <row r="23310">
      <c r="P23310" s="42"/>
      <c r="AB23310" s="38"/>
    </row>
    <row r="23311">
      <c r="P23311" s="42"/>
      <c r="AB23311" s="38"/>
    </row>
    <row r="23312">
      <c r="P23312" s="42"/>
      <c r="AB23312" s="38"/>
    </row>
    <row r="23313">
      <c r="P23313" s="42"/>
      <c r="AB23313" s="38"/>
    </row>
    <row r="23314">
      <c r="P23314" s="42"/>
      <c r="AB23314" s="38"/>
    </row>
    <row r="23315">
      <c r="P23315" s="42"/>
      <c r="AB23315" s="38"/>
    </row>
    <row r="23316">
      <c r="P23316" s="42"/>
      <c r="AB23316" s="38"/>
    </row>
    <row r="23317">
      <c r="P23317" s="42"/>
      <c r="AB23317" s="38"/>
    </row>
    <row r="23318">
      <c r="P23318" s="42"/>
      <c r="AB23318" s="38"/>
    </row>
    <row r="23319">
      <c r="P23319" s="42"/>
      <c r="AB23319" s="38"/>
    </row>
    <row r="23320">
      <c r="P23320" s="42"/>
      <c r="AB23320" s="38"/>
    </row>
    <row r="23321">
      <c r="P23321" s="42"/>
      <c r="AB23321" s="38"/>
    </row>
    <row r="23322">
      <c r="P23322" s="42"/>
      <c r="AB23322" s="38"/>
    </row>
    <row r="23323">
      <c r="P23323" s="42"/>
      <c r="AB23323" s="38"/>
    </row>
    <row r="23324">
      <c r="P23324" s="42"/>
      <c r="AB23324" s="38"/>
    </row>
    <row r="23325">
      <c r="P23325" s="42"/>
      <c r="AB23325" s="38"/>
    </row>
    <row r="23326">
      <c r="P23326" s="42"/>
      <c r="AB23326" s="38"/>
    </row>
    <row r="23327">
      <c r="P23327" s="42"/>
      <c r="AB23327" s="38"/>
    </row>
    <row r="23328">
      <c r="P23328" s="42"/>
      <c r="AB23328" s="38"/>
    </row>
    <row r="23329">
      <c r="P23329" s="42"/>
      <c r="AB23329" s="38"/>
    </row>
    <row r="23330">
      <c r="P23330" s="42"/>
      <c r="AB23330" s="38"/>
    </row>
    <row r="23331">
      <c r="P23331" s="42"/>
      <c r="AB23331" s="38"/>
    </row>
    <row r="23332">
      <c r="P23332" s="42"/>
      <c r="AB23332" s="38"/>
    </row>
    <row r="23333">
      <c r="P23333" s="42"/>
      <c r="AB23333" s="38"/>
    </row>
    <row r="23334">
      <c r="P23334" s="42"/>
      <c r="AB23334" s="38"/>
    </row>
    <row r="23335">
      <c r="P23335" s="42"/>
      <c r="AB23335" s="38"/>
    </row>
    <row r="23336">
      <c r="P23336" s="42"/>
      <c r="AB23336" s="38"/>
    </row>
    <row r="23337">
      <c r="P23337" s="42"/>
      <c r="AB23337" s="38"/>
    </row>
    <row r="23338">
      <c r="P23338" s="42"/>
      <c r="AB23338" s="38"/>
    </row>
    <row r="23339">
      <c r="P23339" s="42"/>
      <c r="AB23339" s="38"/>
    </row>
    <row r="23340">
      <c r="P23340" s="42"/>
      <c r="AB23340" s="38"/>
    </row>
    <row r="23341">
      <c r="P23341" s="42"/>
      <c r="AB23341" s="38"/>
    </row>
    <row r="23342">
      <c r="P23342" s="42"/>
      <c r="AB23342" s="38"/>
    </row>
    <row r="23343">
      <c r="P23343" s="42"/>
      <c r="AB23343" s="38"/>
    </row>
    <row r="23344">
      <c r="P23344" s="42"/>
      <c r="AB23344" s="38"/>
    </row>
    <row r="23345">
      <c r="P23345" s="42"/>
      <c r="AB23345" s="38"/>
    </row>
    <row r="23346">
      <c r="P23346" s="42"/>
      <c r="AB23346" s="38"/>
    </row>
    <row r="23347">
      <c r="P23347" s="42"/>
      <c r="AB23347" s="38"/>
    </row>
    <row r="23348">
      <c r="P23348" s="42"/>
      <c r="AB23348" s="38"/>
    </row>
    <row r="23349">
      <c r="P23349" s="42"/>
      <c r="AB23349" s="38"/>
    </row>
    <row r="23350">
      <c r="P23350" s="42"/>
      <c r="AB23350" s="38"/>
    </row>
    <row r="23351">
      <c r="P23351" s="42"/>
      <c r="AB23351" s="38"/>
    </row>
    <row r="23352">
      <c r="P23352" s="42"/>
      <c r="AB23352" s="38"/>
    </row>
    <row r="23353">
      <c r="P23353" s="42"/>
      <c r="AB23353" s="38"/>
    </row>
    <row r="23354">
      <c r="P23354" s="42"/>
      <c r="AB23354" s="38"/>
    </row>
    <row r="23355">
      <c r="P23355" s="42"/>
      <c r="AB23355" s="38"/>
    </row>
    <row r="23356">
      <c r="P23356" s="42"/>
      <c r="AB23356" s="38"/>
    </row>
    <row r="23357">
      <c r="P23357" s="42"/>
      <c r="AB23357" s="38"/>
    </row>
    <row r="23358">
      <c r="P23358" s="42"/>
      <c r="AB23358" s="38"/>
    </row>
    <row r="23359">
      <c r="P23359" s="42"/>
      <c r="AB23359" s="38"/>
    </row>
    <row r="23360">
      <c r="P23360" s="42"/>
      <c r="AB23360" s="38"/>
    </row>
    <row r="23361">
      <c r="P23361" s="42"/>
      <c r="AB23361" s="38"/>
    </row>
    <row r="23362">
      <c r="P23362" s="42"/>
      <c r="AB23362" s="38"/>
    </row>
    <row r="23363">
      <c r="P23363" s="42"/>
      <c r="AB23363" s="38"/>
    </row>
    <row r="23364">
      <c r="P23364" s="42"/>
      <c r="AB23364" s="38"/>
    </row>
    <row r="23365">
      <c r="P23365" s="42"/>
      <c r="AB23365" s="38"/>
    </row>
    <row r="23366">
      <c r="P23366" s="42"/>
      <c r="AB23366" s="38"/>
    </row>
    <row r="23367">
      <c r="P23367" s="42"/>
      <c r="AB23367" s="38"/>
    </row>
    <row r="23368">
      <c r="P23368" s="42"/>
      <c r="AB23368" s="38"/>
    </row>
    <row r="23369">
      <c r="P23369" s="42"/>
      <c r="AB23369" s="38"/>
    </row>
    <row r="23370">
      <c r="P23370" s="42"/>
      <c r="AB23370" s="38"/>
    </row>
    <row r="23371">
      <c r="P23371" s="42"/>
      <c r="AB23371" s="38"/>
    </row>
    <row r="23372">
      <c r="P23372" s="42"/>
      <c r="AB23372" s="38"/>
    </row>
    <row r="23373">
      <c r="P23373" s="42"/>
      <c r="AB23373" s="38"/>
    </row>
    <row r="23374">
      <c r="P23374" s="42"/>
      <c r="AB23374" s="38"/>
    </row>
    <row r="23375">
      <c r="P23375" s="42"/>
      <c r="AB23375" s="38"/>
    </row>
    <row r="23376">
      <c r="P23376" s="42"/>
      <c r="AB23376" s="38"/>
    </row>
    <row r="23377">
      <c r="P23377" s="42"/>
      <c r="AB23377" s="38"/>
    </row>
    <row r="23378">
      <c r="P23378" s="42"/>
      <c r="AB23378" s="38"/>
    </row>
    <row r="23379">
      <c r="P23379" s="42"/>
      <c r="AB23379" s="38"/>
    </row>
    <row r="23380">
      <c r="P23380" s="42"/>
      <c r="AB23380" s="38"/>
    </row>
    <row r="23381">
      <c r="P23381" s="42"/>
      <c r="AB23381" s="38"/>
    </row>
    <row r="23382">
      <c r="P23382" s="42"/>
      <c r="AB23382" s="38"/>
    </row>
    <row r="23383">
      <c r="P23383" s="42"/>
      <c r="AB23383" s="38"/>
    </row>
    <row r="23384">
      <c r="P23384" s="42"/>
      <c r="AB23384" s="38"/>
    </row>
    <row r="23385">
      <c r="P23385" s="42"/>
      <c r="AB23385" s="38"/>
    </row>
    <row r="23386">
      <c r="P23386" s="42"/>
      <c r="AB23386" s="38"/>
    </row>
    <row r="23387">
      <c r="P23387" s="42"/>
      <c r="AB23387" s="38"/>
    </row>
    <row r="23388">
      <c r="P23388" s="42"/>
      <c r="AB23388" s="38"/>
    </row>
    <row r="23389">
      <c r="P23389" s="42"/>
      <c r="AB23389" s="38"/>
    </row>
    <row r="23390">
      <c r="P23390" s="42"/>
      <c r="AB23390" s="38"/>
    </row>
    <row r="23391">
      <c r="P23391" s="42"/>
      <c r="AB23391" s="38"/>
    </row>
    <row r="23392">
      <c r="P23392" s="42"/>
      <c r="AB23392" s="38"/>
    </row>
    <row r="23393">
      <c r="P23393" s="42"/>
      <c r="AB23393" s="38"/>
    </row>
    <row r="23394">
      <c r="P23394" s="42"/>
      <c r="AB23394" s="38"/>
    </row>
    <row r="23395">
      <c r="P23395" s="42"/>
      <c r="AB23395" s="38"/>
    </row>
    <row r="23396">
      <c r="P23396" s="42"/>
      <c r="AB23396" s="38"/>
    </row>
    <row r="23397">
      <c r="P23397" s="42"/>
      <c r="AB23397" s="38"/>
    </row>
    <row r="23398">
      <c r="P23398" s="42"/>
      <c r="AB23398" s="38"/>
    </row>
    <row r="23399">
      <c r="P23399" s="42"/>
      <c r="AB23399" s="38"/>
    </row>
    <row r="23400">
      <c r="P23400" s="42"/>
      <c r="AB23400" s="38"/>
    </row>
    <row r="23401">
      <c r="P23401" s="42"/>
      <c r="AB23401" s="38"/>
    </row>
    <row r="23402">
      <c r="P23402" s="42"/>
      <c r="AB23402" s="38"/>
    </row>
    <row r="23403">
      <c r="P23403" s="42"/>
      <c r="AB23403" s="38"/>
    </row>
    <row r="23404">
      <c r="P23404" s="42"/>
      <c r="AB23404" s="38"/>
    </row>
    <row r="23405">
      <c r="P23405" s="42"/>
      <c r="AB23405" s="38"/>
    </row>
    <row r="23406">
      <c r="P23406" s="42"/>
      <c r="AB23406" s="38"/>
    </row>
    <row r="23407">
      <c r="P23407" s="42"/>
      <c r="AB23407" s="38"/>
    </row>
    <row r="23408">
      <c r="P23408" s="42"/>
      <c r="AB23408" s="38"/>
    </row>
    <row r="23409">
      <c r="P23409" s="42"/>
      <c r="AB23409" s="38"/>
    </row>
    <row r="23410">
      <c r="P23410" s="42"/>
      <c r="AB23410" s="38"/>
    </row>
    <row r="23411">
      <c r="P23411" s="42"/>
      <c r="AB23411" s="38"/>
    </row>
    <row r="23412">
      <c r="P23412" s="42"/>
      <c r="AB23412" s="38"/>
    </row>
    <row r="23413">
      <c r="P23413" s="42"/>
      <c r="AB23413" s="38"/>
    </row>
    <row r="23414">
      <c r="P23414" s="42"/>
      <c r="AB23414" s="38"/>
    </row>
    <row r="23415">
      <c r="P23415" s="42"/>
      <c r="AB23415" s="38"/>
    </row>
    <row r="23416">
      <c r="P23416" s="42"/>
      <c r="AB23416" s="38"/>
    </row>
    <row r="23417">
      <c r="P23417" s="42"/>
      <c r="AB23417" s="38"/>
    </row>
    <row r="23418">
      <c r="P23418" s="42"/>
      <c r="AB23418" s="38"/>
    </row>
    <row r="23419">
      <c r="P23419" s="42"/>
      <c r="AB23419" s="38"/>
    </row>
    <row r="23420">
      <c r="P23420" s="42"/>
      <c r="AB23420" s="38"/>
    </row>
    <row r="23421">
      <c r="P23421" s="42"/>
      <c r="AB23421" s="38"/>
    </row>
    <row r="23422">
      <c r="P23422" s="42"/>
      <c r="AB23422" s="38"/>
    </row>
    <row r="23423">
      <c r="P23423" s="42"/>
      <c r="AB23423" s="38"/>
    </row>
    <row r="23424">
      <c r="P23424" s="42"/>
      <c r="AB23424" s="38"/>
    </row>
    <row r="23425">
      <c r="P23425" s="42"/>
      <c r="AB23425" s="38"/>
    </row>
    <row r="23426">
      <c r="P23426" s="42"/>
      <c r="AB23426" s="38"/>
    </row>
    <row r="23427">
      <c r="P23427" s="42"/>
      <c r="AB23427" s="38"/>
    </row>
    <row r="23428">
      <c r="P23428" s="42"/>
      <c r="AB23428" s="38"/>
    </row>
    <row r="23429">
      <c r="P23429" s="42"/>
      <c r="AB23429" s="38"/>
    </row>
    <row r="23430">
      <c r="P23430" s="42"/>
      <c r="AB23430" s="38"/>
    </row>
    <row r="23431">
      <c r="P23431" s="42"/>
      <c r="AB23431" s="38"/>
    </row>
    <row r="23432">
      <c r="P23432" s="42"/>
      <c r="AB23432" s="38"/>
    </row>
    <row r="23433">
      <c r="P23433" s="42"/>
      <c r="AB23433" s="38"/>
    </row>
    <row r="23434">
      <c r="P23434" s="42"/>
      <c r="AB23434" s="38"/>
    </row>
    <row r="23435">
      <c r="P23435" s="42"/>
      <c r="AB23435" s="38"/>
    </row>
    <row r="23436">
      <c r="P23436" s="42"/>
      <c r="AB23436" s="38"/>
    </row>
    <row r="23437">
      <c r="P23437" s="42"/>
      <c r="AB23437" s="38"/>
    </row>
    <row r="23438">
      <c r="P23438" s="42"/>
      <c r="AB23438" s="38"/>
    </row>
    <row r="23439">
      <c r="P23439" s="42"/>
      <c r="AB23439" s="38"/>
    </row>
    <row r="23440">
      <c r="P23440" s="42"/>
      <c r="AB23440" s="38"/>
    </row>
    <row r="23441">
      <c r="P23441" s="42"/>
      <c r="AB23441" s="38"/>
    </row>
    <row r="23442">
      <c r="P23442" s="42"/>
      <c r="AB23442" s="38"/>
    </row>
    <row r="23443">
      <c r="P23443" s="42"/>
      <c r="AB23443" s="38"/>
    </row>
    <row r="23444">
      <c r="P23444" s="42"/>
      <c r="AB23444" s="38"/>
    </row>
    <row r="23445">
      <c r="P23445" s="42"/>
      <c r="AB23445" s="38"/>
    </row>
    <row r="23446">
      <c r="P23446" s="42"/>
      <c r="AB23446" s="38"/>
    </row>
    <row r="23447">
      <c r="P23447" s="42"/>
      <c r="AB23447" s="38"/>
    </row>
    <row r="23448">
      <c r="P23448" s="42"/>
      <c r="AB23448" s="38"/>
    </row>
    <row r="23449">
      <c r="P23449" s="42"/>
      <c r="AB23449" s="38"/>
    </row>
    <row r="23450">
      <c r="P23450" s="42"/>
      <c r="AB23450" s="38"/>
    </row>
    <row r="23451">
      <c r="P23451" s="42"/>
      <c r="AB23451" s="38"/>
    </row>
    <row r="23452">
      <c r="P23452" s="42"/>
      <c r="AB23452" s="38"/>
    </row>
    <row r="23453">
      <c r="P23453" s="42"/>
      <c r="AB23453" s="38"/>
    </row>
    <row r="23454">
      <c r="P23454" s="42"/>
      <c r="AB23454" s="38"/>
    </row>
    <row r="23455">
      <c r="P23455" s="42"/>
      <c r="AB23455" s="38"/>
    </row>
    <row r="23456">
      <c r="P23456" s="42"/>
      <c r="AB23456" s="38"/>
    </row>
    <row r="23457">
      <c r="P23457" s="42"/>
      <c r="AB23457" s="38"/>
    </row>
    <row r="23458">
      <c r="P23458" s="42"/>
      <c r="AB23458" s="38"/>
    </row>
    <row r="23459">
      <c r="P23459" s="42"/>
      <c r="AB23459" s="38"/>
    </row>
    <row r="23460">
      <c r="P23460" s="42"/>
      <c r="AB23460" s="38"/>
    </row>
    <row r="23461">
      <c r="P23461" s="42"/>
      <c r="AB23461" s="38"/>
    </row>
    <row r="23462">
      <c r="P23462" s="42"/>
      <c r="AB23462" s="38"/>
    </row>
    <row r="23463">
      <c r="P23463" s="42"/>
      <c r="AB23463" s="38"/>
    </row>
    <row r="23464">
      <c r="P23464" s="42"/>
      <c r="AB23464" s="38"/>
    </row>
    <row r="23465">
      <c r="P23465" s="42"/>
      <c r="AB23465" s="38"/>
    </row>
    <row r="23466">
      <c r="P23466" s="42"/>
      <c r="AB23466" s="38"/>
    </row>
    <row r="23467">
      <c r="P23467" s="42"/>
      <c r="AB23467" s="38"/>
    </row>
    <row r="23468">
      <c r="P23468" s="42"/>
      <c r="AB23468" s="38"/>
    </row>
    <row r="23469">
      <c r="P23469" s="42"/>
      <c r="AB23469" s="38"/>
    </row>
    <row r="23470">
      <c r="P23470" s="42"/>
      <c r="AB23470" s="38"/>
    </row>
    <row r="23471">
      <c r="P23471" s="42"/>
      <c r="AB23471" s="38"/>
    </row>
    <row r="23472">
      <c r="P23472" s="42"/>
      <c r="AB23472" s="38"/>
    </row>
    <row r="23473">
      <c r="P23473" s="42"/>
      <c r="AB23473" s="38"/>
    </row>
    <row r="23474">
      <c r="P23474" s="42"/>
      <c r="AB23474" s="38"/>
    </row>
    <row r="23475">
      <c r="P23475" s="42"/>
      <c r="AB23475" s="38"/>
    </row>
    <row r="23476">
      <c r="P23476" s="42"/>
      <c r="AB23476" s="38"/>
    </row>
    <row r="23477">
      <c r="P23477" s="42"/>
      <c r="AB23477" s="38"/>
    </row>
    <row r="23478">
      <c r="P23478" s="42"/>
      <c r="AB23478" s="38"/>
    </row>
    <row r="23479">
      <c r="P23479" s="42"/>
      <c r="AB23479" s="38"/>
    </row>
    <row r="23480">
      <c r="P23480" s="42"/>
      <c r="AB23480" s="38"/>
    </row>
    <row r="23481">
      <c r="P23481" s="42"/>
      <c r="AB23481" s="38"/>
    </row>
    <row r="23482">
      <c r="P23482" s="42"/>
      <c r="AB23482" s="38"/>
    </row>
    <row r="23483">
      <c r="P23483" s="42"/>
      <c r="AB23483" s="38"/>
    </row>
    <row r="23484">
      <c r="P23484" s="42"/>
      <c r="AB23484" s="38"/>
    </row>
    <row r="23485">
      <c r="P23485" s="42"/>
      <c r="AB23485" s="38"/>
    </row>
    <row r="23486">
      <c r="P23486" s="42"/>
      <c r="AB23486" s="38"/>
    </row>
    <row r="23487">
      <c r="P23487" s="42"/>
      <c r="AB23487" s="38"/>
    </row>
    <row r="23488">
      <c r="P23488" s="42"/>
      <c r="AB23488" s="38"/>
    </row>
    <row r="23489">
      <c r="P23489" s="42"/>
      <c r="AB23489" s="38"/>
    </row>
    <row r="23490">
      <c r="P23490" s="42"/>
      <c r="AB23490" s="38"/>
    </row>
    <row r="23491">
      <c r="P23491" s="42"/>
      <c r="AB23491" s="38"/>
    </row>
    <row r="23492">
      <c r="P23492" s="42"/>
      <c r="AB23492" s="38"/>
    </row>
    <row r="23493">
      <c r="P23493" s="42"/>
      <c r="AB23493" s="38"/>
    </row>
    <row r="23494">
      <c r="P23494" s="42"/>
      <c r="AB23494" s="38"/>
    </row>
    <row r="23495">
      <c r="P23495" s="42"/>
      <c r="AB23495" s="38"/>
    </row>
    <row r="23496">
      <c r="P23496" s="42"/>
      <c r="AB23496" s="38"/>
    </row>
    <row r="23497">
      <c r="P23497" s="42"/>
      <c r="AB23497" s="38"/>
    </row>
    <row r="23498">
      <c r="P23498" s="42"/>
      <c r="AB23498" s="38"/>
    </row>
    <row r="23499">
      <c r="P23499" s="42"/>
      <c r="AB23499" s="38"/>
    </row>
    <row r="23500">
      <c r="P23500" s="42"/>
      <c r="AB23500" s="38"/>
    </row>
    <row r="23501">
      <c r="P23501" s="42"/>
      <c r="AB23501" s="38"/>
    </row>
    <row r="23502">
      <c r="P23502" s="42"/>
      <c r="AB23502" s="38"/>
    </row>
    <row r="23503">
      <c r="P23503" s="42"/>
      <c r="AB23503" s="38"/>
    </row>
    <row r="23504">
      <c r="P23504" s="42"/>
      <c r="AB23504" s="38"/>
    </row>
    <row r="23505">
      <c r="P23505" s="42"/>
      <c r="AB23505" s="38"/>
    </row>
    <row r="23506">
      <c r="P23506" s="42"/>
      <c r="AB23506" s="38"/>
    </row>
    <row r="23507">
      <c r="P23507" s="42"/>
      <c r="AB23507" s="38"/>
    </row>
    <row r="23508">
      <c r="P23508" s="42"/>
      <c r="AB23508" s="38"/>
    </row>
    <row r="23509">
      <c r="P23509" s="42"/>
      <c r="AB23509" s="38"/>
    </row>
    <row r="23510">
      <c r="P23510" s="42"/>
      <c r="AB23510" s="38"/>
    </row>
    <row r="23511">
      <c r="P23511" s="42"/>
      <c r="AB23511" s="38"/>
    </row>
    <row r="23512">
      <c r="P23512" s="42"/>
      <c r="AB23512" s="38"/>
    </row>
    <row r="23513">
      <c r="P23513" s="42"/>
      <c r="AB23513" s="38"/>
    </row>
    <row r="23514">
      <c r="P23514" s="42"/>
      <c r="AB23514" s="38"/>
    </row>
    <row r="23515">
      <c r="P23515" s="42"/>
      <c r="AB23515" s="38"/>
    </row>
    <row r="23516">
      <c r="P23516" s="42"/>
      <c r="AB23516" s="38"/>
    </row>
    <row r="23517">
      <c r="P23517" s="42"/>
      <c r="AB23517" s="38"/>
    </row>
    <row r="23518">
      <c r="P23518" s="42"/>
      <c r="AB23518" s="38"/>
    </row>
    <row r="23519">
      <c r="P23519" s="42"/>
      <c r="AB23519" s="38"/>
    </row>
    <row r="23520">
      <c r="P23520" s="42"/>
      <c r="AB23520" s="38"/>
    </row>
    <row r="23521">
      <c r="P23521" s="42"/>
      <c r="AB23521" s="38"/>
    </row>
    <row r="23522">
      <c r="P23522" s="42"/>
      <c r="AB23522" s="38"/>
    </row>
    <row r="23523">
      <c r="P23523" s="42"/>
      <c r="AB23523" s="38"/>
    </row>
    <row r="23524">
      <c r="P23524" s="42"/>
      <c r="AB23524" s="38"/>
    </row>
    <row r="23525">
      <c r="P23525" s="42"/>
      <c r="AB23525" s="38"/>
    </row>
    <row r="23526">
      <c r="P23526" s="42"/>
      <c r="AB23526" s="38"/>
    </row>
    <row r="23527">
      <c r="P23527" s="42"/>
      <c r="AB23527" s="38"/>
    </row>
    <row r="23528">
      <c r="P23528" s="42"/>
      <c r="AB23528" s="38"/>
    </row>
    <row r="23529">
      <c r="P23529" s="42"/>
      <c r="AB23529" s="38"/>
    </row>
    <row r="23530">
      <c r="P23530" s="42"/>
      <c r="AB23530" s="38"/>
    </row>
    <row r="23531">
      <c r="P23531" s="42"/>
      <c r="AB23531" s="38"/>
    </row>
    <row r="23532">
      <c r="P23532" s="42"/>
      <c r="AB23532" s="38"/>
    </row>
    <row r="23533">
      <c r="P23533" s="42"/>
      <c r="AB23533" s="38"/>
    </row>
    <row r="23534">
      <c r="P23534" s="42"/>
      <c r="AB23534" s="38"/>
    </row>
    <row r="23535">
      <c r="P23535" s="42"/>
      <c r="AB23535" s="38"/>
    </row>
    <row r="23536">
      <c r="P23536" s="42"/>
      <c r="AB23536" s="38"/>
    </row>
    <row r="23537">
      <c r="P23537" s="42"/>
      <c r="AB23537" s="38"/>
    </row>
    <row r="23538">
      <c r="P23538" s="42"/>
      <c r="AB23538" s="38"/>
    </row>
    <row r="23539">
      <c r="P23539" s="42"/>
      <c r="AB23539" s="38"/>
    </row>
    <row r="23540">
      <c r="P23540" s="42"/>
      <c r="AB23540" s="38"/>
    </row>
    <row r="23541">
      <c r="P23541" s="42"/>
      <c r="AB23541" s="38"/>
    </row>
    <row r="23542">
      <c r="P23542" s="42"/>
      <c r="AB23542" s="38"/>
    </row>
    <row r="23543">
      <c r="P23543" s="42"/>
      <c r="AB23543" s="38"/>
    </row>
    <row r="23544">
      <c r="P23544" s="42"/>
      <c r="AB23544" s="38"/>
    </row>
    <row r="23545">
      <c r="P23545" s="42"/>
      <c r="AB23545" s="38"/>
    </row>
    <row r="23546">
      <c r="P23546" s="42"/>
      <c r="AB23546" s="38"/>
    </row>
    <row r="23547">
      <c r="P23547" s="42"/>
      <c r="AB23547" s="38"/>
    </row>
    <row r="23548">
      <c r="P23548" s="42"/>
      <c r="AB23548" s="38"/>
    </row>
    <row r="23549">
      <c r="P23549" s="42"/>
      <c r="AB23549" s="38"/>
    </row>
    <row r="23550">
      <c r="P23550" s="42"/>
      <c r="AB23550" s="38"/>
    </row>
    <row r="23551">
      <c r="P23551" s="42"/>
      <c r="AB23551" s="38"/>
    </row>
    <row r="23552">
      <c r="P23552" s="42"/>
      <c r="AB23552" s="38"/>
    </row>
    <row r="23553">
      <c r="P23553" s="42"/>
      <c r="AB23553" s="38"/>
    </row>
    <row r="23554">
      <c r="P23554" s="42"/>
      <c r="AB23554" s="38"/>
    </row>
    <row r="23555">
      <c r="P23555" s="42"/>
      <c r="AB23555" s="38"/>
    </row>
    <row r="23556">
      <c r="P23556" s="42"/>
      <c r="AB23556" s="38"/>
    </row>
    <row r="23557">
      <c r="P23557" s="42"/>
      <c r="AB23557" s="38"/>
    </row>
    <row r="23558">
      <c r="P23558" s="42"/>
      <c r="AB23558" s="38"/>
    </row>
    <row r="23559">
      <c r="P23559" s="42"/>
      <c r="AB23559" s="38"/>
    </row>
    <row r="23560">
      <c r="P23560" s="42"/>
      <c r="AB23560" s="38"/>
    </row>
    <row r="23561">
      <c r="P23561" s="42"/>
      <c r="AB23561" s="38"/>
    </row>
    <row r="23562">
      <c r="P23562" s="42"/>
      <c r="AB23562" s="38"/>
    </row>
    <row r="23563">
      <c r="P23563" s="42"/>
      <c r="AB23563" s="38"/>
    </row>
    <row r="23564">
      <c r="P23564" s="42"/>
      <c r="AB23564" s="38"/>
    </row>
    <row r="23565">
      <c r="P23565" s="42"/>
      <c r="AB23565" s="38"/>
    </row>
    <row r="23566">
      <c r="P23566" s="42"/>
      <c r="AB23566" s="38"/>
    </row>
    <row r="23567">
      <c r="P23567" s="42"/>
      <c r="AB23567" s="38"/>
    </row>
    <row r="23568">
      <c r="P23568" s="42"/>
      <c r="AB23568" s="38"/>
    </row>
    <row r="23569">
      <c r="P23569" s="42"/>
      <c r="AB23569" s="38"/>
    </row>
    <row r="23570">
      <c r="P23570" s="42"/>
      <c r="AB23570" s="38"/>
    </row>
    <row r="23571">
      <c r="P23571" s="42"/>
      <c r="AB23571" s="38"/>
    </row>
    <row r="23572">
      <c r="P23572" s="42"/>
      <c r="AB23572" s="38"/>
    </row>
    <row r="23573">
      <c r="P23573" s="42"/>
      <c r="AB23573" s="38"/>
    </row>
    <row r="23574">
      <c r="P23574" s="42"/>
      <c r="AB23574" s="38"/>
    </row>
    <row r="23575">
      <c r="P23575" s="42"/>
      <c r="AB23575" s="38"/>
    </row>
    <row r="23576">
      <c r="P23576" s="42"/>
      <c r="AB23576" s="38"/>
    </row>
    <row r="23577">
      <c r="P23577" s="42"/>
      <c r="AB23577" s="38"/>
    </row>
    <row r="23578">
      <c r="P23578" s="42"/>
      <c r="AB23578" s="38"/>
    </row>
    <row r="23579">
      <c r="P23579" s="42"/>
      <c r="AB23579" s="38"/>
    </row>
    <row r="23580">
      <c r="P23580" s="42"/>
      <c r="AB23580" s="38"/>
    </row>
    <row r="23581">
      <c r="P23581" s="42"/>
      <c r="AB23581" s="38"/>
    </row>
    <row r="23582">
      <c r="P23582" s="42"/>
      <c r="AB23582" s="38"/>
    </row>
    <row r="23583">
      <c r="P23583" s="42"/>
      <c r="AB23583" s="38"/>
    </row>
    <row r="23584">
      <c r="P23584" s="42"/>
      <c r="AB23584" s="38"/>
    </row>
    <row r="23585">
      <c r="P23585" s="42"/>
      <c r="AB23585" s="38"/>
    </row>
    <row r="23586">
      <c r="P23586" s="42"/>
      <c r="AB23586" s="38"/>
    </row>
    <row r="23587">
      <c r="P23587" s="42"/>
      <c r="AB23587" s="38"/>
    </row>
    <row r="23588">
      <c r="P23588" s="42"/>
      <c r="AB23588" s="38"/>
    </row>
    <row r="23589">
      <c r="P23589" s="42"/>
      <c r="AB23589" s="38"/>
    </row>
    <row r="23590">
      <c r="P23590" s="42"/>
      <c r="AB23590" s="38"/>
    </row>
    <row r="23591">
      <c r="P23591" s="42"/>
      <c r="AB23591" s="38"/>
    </row>
    <row r="23592">
      <c r="P23592" s="42"/>
      <c r="AB23592" s="38"/>
    </row>
    <row r="23593">
      <c r="P23593" s="42"/>
      <c r="AB23593" s="38"/>
    </row>
    <row r="23594">
      <c r="P23594" s="42"/>
      <c r="AB23594" s="38"/>
    </row>
    <row r="23595">
      <c r="P23595" s="42"/>
      <c r="AB23595" s="38"/>
    </row>
    <row r="23596">
      <c r="P23596" s="42"/>
      <c r="AB23596" s="38"/>
    </row>
    <row r="23597">
      <c r="P23597" s="42"/>
      <c r="AB23597" s="38"/>
    </row>
    <row r="23598">
      <c r="P23598" s="42"/>
      <c r="AB23598" s="38"/>
    </row>
    <row r="23599">
      <c r="P23599" s="42"/>
      <c r="AB23599" s="38"/>
    </row>
    <row r="23600">
      <c r="P23600" s="42"/>
      <c r="AB23600" s="38"/>
    </row>
    <row r="23601">
      <c r="P23601" s="42"/>
      <c r="AB23601" s="38"/>
    </row>
    <row r="23602">
      <c r="P23602" s="42"/>
      <c r="AB23602" s="38"/>
    </row>
    <row r="23603">
      <c r="P23603" s="42"/>
      <c r="AB23603" s="38"/>
    </row>
    <row r="23604">
      <c r="P23604" s="42"/>
      <c r="AB23604" s="38"/>
    </row>
    <row r="23605">
      <c r="P23605" s="42"/>
      <c r="AB23605" s="38"/>
    </row>
    <row r="23606">
      <c r="P23606" s="42"/>
      <c r="AB23606" s="38"/>
    </row>
    <row r="23607">
      <c r="P23607" s="42"/>
      <c r="AB23607" s="38"/>
    </row>
    <row r="23608">
      <c r="P23608" s="42"/>
      <c r="AB23608" s="38"/>
    </row>
    <row r="23609">
      <c r="P23609" s="42"/>
      <c r="AB23609" s="38"/>
    </row>
    <row r="23610">
      <c r="P23610" s="42"/>
      <c r="AB23610" s="38"/>
    </row>
    <row r="23611">
      <c r="P23611" s="42"/>
      <c r="AB23611" s="38"/>
    </row>
    <row r="23612">
      <c r="P23612" s="42"/>
      <c r="AB23612" s="38"/>
    </row>
    <row r="23613">
      <c r="P23613" s="42"/>
      <c r="AB23613" s="38"/>
    </row>
    <row r="23614">
      <c r="P23614" s="42"/>
      <c r="AB23614" s="38"/>
    </row>
    <row r="23615">
      <c r="P23615" s="42"/>
      <c r="AB23615" s="38"/>
    </row>
    <row r="23616">
      <c r="P23616" s="42"/>
      <c r="AB23616" s="38"/>
    </row>
    <row r="23617">
      <c r="P23617" s="42"/>
      <c r="AB23617" s="38"/>
    </row>
    <row r="23618">
      <c r="P23618" s="42"/>
      <c r="AB23618" s="38"/>
    </row>
    <row r="23619">
      <c r="P23619" s="42"/>
      <c r="AB23619" s="38"/>
    </row>
    <row r="23620">
      <c r="P23620" s="42"/>
      <c r="AB23620" s="38"/>
    </row>
    <row r="23621">
      <c r="P23621" s="42"/>
      <c r="AB23621" s="38"/>
    </row>
    <row r="23622">
      <c r="P23622" s="42"/>
      <c r="AB23622" s="38"/>
    </row>
    <row r="23623">
      <c r="P23623" s="42"/>
      <c r="AB23623" s="38"/>
    </row>
    <row r="23624">
      <c r="P23624" s="42"/>
      <c r="AB23624" s="38"/>
    </row>
    <row r="23625">
      <c r="P23625" s="42"/>
      <c r="AB23625" s="38"/>
    </row>
    <row r="23626">
      <c r="P23626" s="42"/>
      <c r="AB23626" s="38"/>
    </row>
    <row r="23627">
      <c r="P23627" s="42"/>
      <c r="AB23627" s="38"/>
    </row>
    <row r="23628">
      <c r="P23628" s="42"/>
      <c r="AB23628" s="38"/>
    </row>
    <row r="23629">
      <c r="P23629" s="42"/>
      <c r="AB23629" s="38"/>
    </row>
    <row r="23630">
      <c r="P23630" s="42"/>
      <c r="AB23630" s="38"/>
    </row>
    <row r="23631">
      <c r="P23631" s="42"/>
      <c r="AB23631" s="38"/>
    </row>
    <row r="23632">
      <c r="P23632" s="42"/>
      <c r="AB23632" s="38"/>
    </row>
    <row r="23633">
      <c r="P23633" s="42"/>
      <c r="AB23633" s="38"/>
    </row>
    <row r="23634">
      <c r="P23634" s="42"/>
      <c r="AB23634" s="38"/>
    </row>
    <row r="23635">
      <c r="P23635" s="42"/>
      <c r="AB23635" s="38"/>
    </row>
    <row r="23636">
      <c r="P23636" s="42"/>
      <c r="AB23636" s="38"/>
    </row>
    <row r="23637">
      <c r="P23637" s="42"/>
      <c r="AB23637" s="38"/>
    </row>
    <row r="23638">
      <c r="P23638" s="42"/>
      <c r="AB23638" s="38"/>
    </row>
    <row r="23639">
      <c r="P23639" s="42"/>
      <c r="AB23639" s="38"/>
    </row>
    <row r="23640">
      <c r="P23640" s="42"/>
      <c r="AB23640" s="38"/>
    </row>
    <row r="23641">
      <c r="P23641" s="42"/>
      <c r="AB23641" s="38"/>
    </row>
    <row r="23642">
      <c r="P23642" s="42"/>
      <c r="AB23642" s="38"/>
    </row>
    <row r="23643">
      <c r="P23643" s="42"/>
      <c r="AB23643" s="38"/>
    </row>
    <row r="23644">
      <c r="P23644" s="42"/>
      <c r="AB23644" s="38"/>
    </row>
    <row r="23645">
      <c r="P23645" s="42"/>
      <c r="AB23645" s="38"/>
    </row>
    <row r="23646">
      <c r="P23646" s="42"/>
      <c r="AB23646" s="38"/>
    </row>
    <row r="23647">
      <c r="P23647" s="42"/>
      <c r="AB23647" s="38"/>
    </row>
    <row r="23648">
      <c r="P23648" s="42"/>
      <c r="AB23648" s="38"/>
    </row>
    <row r="23649">
      <c r="P23649" s="42"/>
      <c r="AB23649" s="38"/>
    </row>
    <row r="23650">
      <c r="P23650" s="42"/>
      <c r="AB23650" s="38"/>
    </row>
    <row r="23651">
      <c r="P23651" s="42"/>
      <c r="AB23651" s="38"/>
    </row>
    <row r="23652">
      <c r="P23652" s="42"/>
      <c r="AB23652" s="38"/>
    </row>
    <row r="23653">
      <c r="P23653" s="42"/>
      <c r="AB23653" s="38"/>
    </row>
    <row r="23654">
      <c r="P23654" s="42"/>
      <c r="AB23654" s="38"/>
    </row>
    <row r="23655">
      <c r="P23655" s="42"/>
      <c r="AB23655" s="38"/>
    </row>
    <row r="23656">
      <c r="P23656" s="42"/>
      <c r="AB23656" s="38"/>
    </row>
    <row r="23657">
      <c r="P23657" s="42"/>
      <c r="AB23657" s="38"/>
    </row>
    <row r="23658">
      <c r="P23658" s="42"/>
      <c r="AB23658" s="38"/>
    </row>
    <row r="23659">
      <c r="P23659" s="42"/>
      <c r="AB23659" s="38"/>
    </row>
    <row r="23660">
      <c r="P23660" s="42"/>
      <c r="AB23660" s="38"/>
    </row>
    <row r="23661">
      <c r="P23661" s="42"/>
      <c r="AB23661" s="38"/>
    </row>
    <row r="23662">
      <c r="P23662" s="42"/>
      <c r="AB23662" s="38"/>
    </row>
    <row r="23663">
      <c r="P23663" s="42"/>
      <c r="AB23663" s="38"/>
    </row>
    <row r="23664">
      <c r="P23664" s="42"/>
      <c r="AB23664" s="38"/>
    </row>
    <row r="23665">
      <c r="P23665" s="42"/>
      <c r="AB23665" s="38"/>
    </row>
    <row r="23666">
      <c r="P23666" s="42"/>
      <c r="AB23666" s="38"/>
    </row>
    <row r="23667">
      <c r="P23667" s="42"/>
      <c r="AB23667" s="38"/>
    </row>
    <row r="23668">
      <c r="P23668" s="42"/>
      <c r="AB23668" s="38"/>
    </row>
    <row r="23669">
      <c r="P23669" s="42"/>
      <c r="AB23669" s="38"/>
    </row>
    <row r="23670">
      <c r="P23670" s="42"/>
      <c r="AB23670" s="38"/>
    </row>
    <row r="23671">
      <c r="P23671" s="42"/>
      <c r="AB23671" s="38"/>
    </row>
    <row r="23672">
      <c r="P23672" s="42"/>
      <c r="AB23672" s="38"/>
    </row>
    <row r="23673">
      <c r="P23673" s="42"/>
      <c r="AB23673" s="38"/>
    </row>
    <row r="23674">
      <c r="P23674" s="42"/>
      <c r="AB23674" s="38"/>
    </row>
    <row r="23675">
      <c r="P23675" s="42"/>
      <c r="AB23675" s="38"/>
    </row>
    <row r="23676">
      <c r="P23676" s="42"/>
      <c r="AB23676" s="38"/>
    </row>
    <row r="23677">
      <c r="P23677" s="42"/>
      <c r="AB23677" s="38"/>
    </row>
    <row r="23678">
      <c r="P23678" s="42"/>
      <c r="AB23678" s="38"/>
    </row>
    <row r="23679">
      <c r="P23679" s="42"/>
      <c r="AB23679" s="38"/>
    </row>
    <row r="23680">
      <c r="P23680" s="42"/>
      <c r="AB23680" s="38"/>
    </row>
    <row r="23681">
      <c r="P23681" s="42"/>
      <c r="AB23681" s="38"/>
    </row>
    <row r="23682">
      <c r="P23682" s="42"/>
      <c r="AB23682" s="38"/>
    </row>
    <row r="23683">
      <c r="P23683" s="42"/>
      <c r="AB23683" s="38"/>
    </row>
    <row r="23684">
      <c r="P23684" s="42"/>
      <c r="AB23684" s="38"/>
    </row>
    <row r="23685">
      <c r="P23685" s="42"/>
      <c r="AB23685" s="38"/>
    </row>
    <row r="23686">
      <c r="P23686" s="42"/>
      <c r="AB23686" s="38"/>
    </row>
    <row r="23687">
      <c r="P23687" s="42"/>
      <c r="AB23687" s="38"/>
    </row>
    <row r="23688">
      <c r="P23688" s="42"/>
      <c r="AB23688" s="38"/>
    </row>
    <row r="23689">
      <c r="P23689" s="42"/>
      <c r="AB23689" s="38"/>
    </row>
    <row r="23690">
      <c r="P23690" s="42"/>
      <c r="AB23690" s="38"/>
    </row>
    <row r="23691">
      <c r="P23691" s="42"/>
      <c r="AB23691" s="38"/>
    </row>
    <row r="23692">
      <c r="P23692" s="42"/>
      <c r="AB23692" s="38"/>
    </row>
    <row r="23693">
      <c r="P23693" s="42"/>
      <c r="AB23693" s="38"/>
    </row>
    <row r="23694">
      <c r="P23694" s="42"/>
      <c r="AB23694" s="38"/>
    </row>
    <row r="23695">
      <c r="P23695" s="42"/>
      <c r="AB23695" s="38"/>
    </row>
    <row r="23696">
      <c r="P23696" s="42"/>
      <c r="AB23696" s="38"/>
    </row>
    <row r="23697">
      <c r="P23697" s="42"/>
      <c r="AB23697" s="38"/>
    </row>
    <row r="23698">
      <c r="P23698" s="42"/>
      <c r="AB23698" s="38"/>
    </row>
    <row r="23699">
      <c r="P23699" s="42"/>
      <c r="AB23699" s="38"/>
    </row>
    <row r="23700">
      <c r="P23700" s="42"/>
      <c r="AB23700" s="38"/>
    </row>
    <row r="23701">
      <c r="P23701" s="42"/>
      <c r="AB23701" s="38"/>
    </row>
    <row r="23702">
      <c r="P23702" s="42"/>
      <c r="AB23702" s="38"/>
    </row>
    <row r="23703">
      <c r="P23703" s="42"/>
      <c r="AB23703" s="38"/>
    </row>
    <row r="23704">
      <c r="P23704" s="42"/>
      <c r="AB23704" s="38"/>
    </row>
    <row r="23705">
      <c r="P23705" s="42"/>
      <c r="AB23705" s="38"/>
    </row>
    <row r="23706">
      <c r="P23706" s="42"/>
      <c r="AB23706" s="38"/>
    </row>
    <row r="23707">
      <c r="P23707" s="42"/>
      <c r="AB23707" s="38"/>
    </row>
    <row r="23708">
      <c r="P23708" s="42"/>
      <c r="AB23708" s="38"/>
    </row>
    <row r="23709">
      <c r="P23709" s="42"/>
      <c r="AB23709" s="38"/>
    </row>
    <row r="23710">
      <c r="P23710" s="42"/>
      <c r="AB23710" s="38"/>
    </row>
    <row r="23711">
      <c r="P23711" s="42"/>
      <c r="AB23711" s="38"/>
    </row>
    <row r="23712">
      <c r="P23712" s="42"/>
      <c r="AB23712" s="38"/>
    </row>
    <row r="23713">
      <c r="P23713" s="42"/>
      <c r="AB23713" s="38"/>
    </row>
    <row r="23714">
      <c r="P23714" s="42"/>
      <c r="AB23714" s="38"/>
    </row>
    <row r="23715">
      <c r="P23715" s="42"/>
      <c r="AB23715" s="38"/>
    </row>
    <row r="23716">
      <c r="P23716" s="42"/>
      <c r="AB23716" s="38"/>
    </row>
    <row r="23717">
      <c r="P23717" s="42"/>
      <c r="AB23717" s="38"/>
    </row>
    <row r="23718">
      <c r="P23718" s="42"/>
      <c r="AB23718" s="38"/>
    </row>
    <row r="23719">
      <c r="P23719" s="42"/>
      <c r="AB23719" s="38"/>
    </row>
    <row r="23720">
      <c r="P23720" s="42"/>
      <c r="AB23720" s="38"/>
    </row>
    <row r="23721">
      <c r="P23721" s="42"/>
      <c r="AB23721" s="38"/>
    </row>
    <row r="23722">
      <c r="P23722" s="42"/>
      <c r="AB23722" s="38"/>
    </row>
    <row r="23723">
      <c r="P23723" s="42"/>
      <c r="AB23723" s="38"/>
    </row>
    <row r="23724">
      <c r="P23724" s="42"/>
      <c r="AB23724" s="38"/>
    </row>
    <row r="23725">
      <c r="P23725" s="42"/>
      <c r="AB23725" s="38"/>
    </row>
    <row r="23726">
      <c r="P23726" s="42"/>
      <c r="AB23726" s="38"/>
    </row>
    <row r="23727">
      <c r="P23727" s="42"/>
      <c r="AB23727" s="38"/>
    </row>
    <row r="23728">
      <c r="P23728" s="42"/>
      <c r="AB23728" s="38"/>
    </row>
    <row r="23729">
      <c r="P23729" s="42"/>
      <c r="AB23729" s="38"/>
    </row>
    <row r="23730">
      <c r="P23730" s="42"/>
      <c r="AB23730" s="38"/>
    </row>
    <row r="23731">
      <c r="P23731" s="42"/>
      <c r="AB23731" s="38"/>
    </row>
    <row r="23732">
      <c r="P23732" s="42"/>
      <c r="AB23732" s="38"/>
    </row>
    <row r="23733">
      <c r="P23733" s="42"/>
      <c r="AB23733" s="38"/>
    </row>
    <row r="23734">
      <c r="P23734" s="42"/>
      <c r="AB23734" s="38"/>
    </row>
    <row r="23735">
      <c r="P23735" s="42"/>
      <c r="AB23735" s="38"/>
    </row>
    <row r="23736">
      <c r="P23736" s="42"/>
      <c r="AB23736" s="38"/>
    </row>
    <row r="23737">
      <c r="P23737" s="42"/>
      <c r="AB23737" s="38"/>
    </row>
    <row r="23738">
      <c r="P23738" s="42"/>
      <c r="AB23738" s="38"/>
    </row>
    <row r="23739">
      <c r="P23739" s="42"/>
      <c r="AB23739" s="38"/>
    </row>
    <row r="23740">
      <c r="P23740" s="42"/>
      <c r="AB23740" s="38"/>
    </row>
    <row r="23741">
      <c r="P23741" s="42"/>
      <c r="AB23741" s="38"/>
    </row>
    <row r="23742">
      <c r="P23742" s="42"/>
      <c r="AB23742" s="38"/>
    </row>
    <row r="23743">
      <c r="P23743" s="42"/>
      <c r="AB23743" s="38"/>
    </row>
    <row r="23744">
      <c r="P23744" s="42"/>
      <c r="AB23744" s="38"/>
    </row>
    <row r="23745">
      <c r="P23745" s="42"/>
      <c r="AB23745" s="38"/>
    </row>
    <row r="23746">
      <c r="P23746" s="42"/>
      <c r="AB23746" s="38"/>
    </row>
    <row r="23747">
      <c r="P23747" s="42"/>
      <c r="AB23747" s="38"/>
    </row>
    <row r="23748">
      <c r="P23748" s="42"/>
      <c r="AB23748" s="38"/>
    </row>
    <row r="23749">
      <c r="P23749" s="42"/>
      <c r="AB23749" s="38"/>
    </row>
    <row r="23750">
      <c r="P23750" s="42"/>
      <c r="AB23750" s="38"/>
    </row>
    <row r="23751">
      <c r="P23751" s="42"/>
      <c r="AB23751" s="38"/>
    </row>
    <row r="23752">
      <c r="P23752" s="42"/>
      <c r="AB23752" s="38"/>
    </row>
    <row r="23753">
      <c r="P23753" s="42"/>
      <c r="AB23753" s="38"/>
    </row>
    <row r="23754">
      <c r="P23754" s="42"/>
      <c r="AB23754" s="38"/>
    </row>
    <row r="23755">
      <c r="P23755" s="42"/>
      <c r="AB23755" s="38"/>
    </row>
    <row r="23756">
      <c r="P23756" s="42"/>
      <c r="AB23756" s="38"/>
    </row>
    <row r="23757">
      <c r="P23757" s="42"/>
      <c r="AB23757" s="38"/>
    </row>
    <row r="23758">
      <c r="P23758" s="42"/>
      <c r="AB23758" s="38"/>
    </row>
    <row r="23759">
      <c r="P23759" s="42"/>
      <c r="AB23759" s="38"/>
    </row>
    <row r="23760">
      <c r="P23760" s="42"/>
      <c r="AB23760" s="38"/>
    </row>
    <row r="23761">
      <c r="P23761" s="42"/>
      <c r="AB23761" s="38"/>
    </row>
    <row r="23762">
      <c r="P23762" s="42"/>
      <c r="AB23762" s="38"/>
    </row>
    <row r="23763">
      <c r="P23763" s="42"/>
      <c r="AB23763" s="38"/>
    </row>
    <row r="23764">
      <c r="P23764" s="42"/>
      <c r="AB23764" s="38"/>
    </row>
    <row r="23765">
      <c r="P23765" s="42"/>
      <c r="AB23765" s="38"/>
    </row>
    <row r="23766">
      <c r="P23766" s="42"/>
      <c r="AB23766" s="38"/>
    </row>
    <row r="23767">
      <c r="P23767" s="42"/>
      <c r="AB23767" s="38"/>
    </row>
    <row r="23768">
      <c r="P23768" s="42"/>
      <c r="AB23768" s="38"/>
    </row>
    <row r="23769">
      <c r="P23769" s="42"/>
      <c r="AB23769" s="38"/>
    </row>
    <row r="23770">
      <c r="P23770" s="42"/>
      <c r="AB23770" s="38"/>
    </row>
    <row r="23771">
      <c r="P23771" s="42"/>
      <c r="AB23771" s="38"/>
    </row>
    <row r="23772">
      <c r="P23772" s="42"/>
      <c r="AB23772" s="38"/>
    </row>
    <row r="23773">
      <c r="P23773" s="42"/>
      <c r="AB23773" s="38"/>
    </row>
    <row r="23774">
      <c r="P23774" s="42"/>
      <c r="AB23774" s="38"/>
    </row>
    <row r="23775">
      <c r="P23775" s="42"/>
      <c r="AB23775" s="38"/>
    </row>
    <row r="23776">
      <c r="P23776" s="42"/>
      <c r="AB23776" s="38"/>
    </row>
    <row r="23777">
      <c r="P23777" s="42"/>
      <c r="AB23777" s="38"/>
    </row>
    <row r="23778">
      <c r="P23778" s="42"/>
      <c r="AB23778" s="38"/>
    </row>
    <row r="23779">
      <c r="P23779" s="42"/>
      <c r="AB23779" s="38"/>
    </row>
    <row r="23780">
      <c r="P23780" s="42"/>
      <c r="AB23780" s="38"/>
    </row>
    <row r="23781">
      <c r="P23781" s="42"/>
      <c r="AB23781" s="38"/>
    </row>
    <row r="23782">
      <c r="P23782" s="42"/>
      <c r="AB23782" s="38"/>
    </row>
    <row r="23783">
      <c r="P23783" s="42"/>
      <c r="AB23783" s="38"/>
    </row>
    <row r="23784">
      <c r="P23784" s="42"/>
      <c r="AB23784" s="38"/>
    </row>
    <row r="23785">
      <c r="P23785" s="42"/>
      <c r="AB23785" s="38"/>
    </row>
    <row r="23786">
      <c r="P23786" s="42"/>
      <c r="AB23786" s="38"/>
    </row>
    <row r="23787">
      <c r="P23787" s="42"/>
      <c r="AB23787" s="38"/>
    </row>
    <row r="23788">
      <c r="P23788" s="42"/>
      <c r="AB23788" s="38"/>
    </row>
    <row r="23789">
      <c r="P23789" s="42"/>
      <c r="AB23789" s="38"/>
    </row>
    <row r="23790">
      <c r="P23790" s="42"/>
      <c r="AB23790" s="38"/>
    </row>
    <row r="23791">
      <c r="P23791" s="42"/>
      <c r="AB23791" s="38"/>
    </row>
    <row r="23792">
      <c r="P23792" s="42"/>
      <c r="AB23792" s="38"/>
    </row>
    <row r="23793">
      <c r="P23793" s="42"/>
      <c r="AB23793" s="38"/>
    </row>
    <row r="23794">
      <c r="P23794" s="42"/>
      <c r="AB23794" s="38"/>
    </row>
    <row r="23795">
      <c r="P23795" s="42"/>
      <c r="AB23795" s="38"/>
    </row>
    <row r="23796">
      <c r="P23796" s="42"/>
      <c r="AB23796" s="38"/>
    </row>
    <row r="23797">
      <c r="P23797" s="42"/>
      <c r="AB23797" s="38"/>
    </row>
    <row r="23798">
      <c r="P23798" s="42"/>
      <c r="AB23798" s="38"/>
    </row>
    <row r="23799">
      <c r="P23799" s="42"/>
      <c r="AB23799" s="38"/>
    </row>
    <row r="23800">
      <c r="P23800" s="42"/>
      <c r="AB23800" s="38"/>
    </row>
    <row r="23801">
      <c r="P23801" s="42"/>
      <c r="AB23801" s="38"/>
    </row>
    <row r="23802">
      <c r="P23802" s="42"/>
      <c r="AB23802" s="38"/>
    </row>
    <row r="23803">
      <c r="P23803" s="42"/>
      <c r="AB23803" s="38"/>
    </row>
    <row r="23804">
      <c r="P23804" s="42"/>
      <c r="AB23804" s="38"/>
    </row>
    <row r="23805">
      <c r="P23805" s="42"/>
      <c r="AB23805" s="38"/>
    </row>
    <row r="23806">
      <c r="P23806" s="42"/>
      <c r="AB23806" s="38"/>
    </row>
    <row r="23807">
      <c r="P23807" s="42"/>
      <c r="AB23807" s="38"/>
    </row>
    <row r="23808">
      <c r="P23808" s="42"/>
      <c r="AB23808" s="38"/>
    </row>
    <row r="23809">
      <c r="P23809" s="42"/>
      <c r="AB23809" s="38"/>
    </row>
    <row r="23810">
      <c r="P23810" s="42"/>
      <c r="AB23810" s="38"/>
    </row>
    <row r="23811">
      <c r="P23811" s="42"/>
      <c r="AB23811" s="38"/>
    </row>
    <row r="23812">
      <c r="P23812" s="42"/>
      <c r="AB23812" s="38"/>
    </row>
    <row r="23813">
      <c r="P23813" s="42"/>
      <c r="AB23813" s="38"/>
    </row>
    <row r="23814">
      <c r="P23814" s="42"/>
      <c r="AB23814" s="38"/>
    </row>
    <row r="23815">
      <c r="P23815" s="42"/>
      <c r="AB23815" s="38"/>
    </row>
    <row r="23816">
      <c r="P23816" s="42"/>
      <c r="AB23816" s="38"/>
    </row>
    <row r="23817">
      <c r="P23817" s="42"/>
      <c r="AB23817" s="38"/>
    </row>
    <row r="23818">
      <c r="P23818" s="42"/>
      <c r="AB23818" s="38"/>
    </row>
    <row r="23819">
      <c r="P23819" s="42"/>
      <c r="AB23819" s="38"/>
    </row>
    <row r="23820">
      <c r="P23820" s="42"/>
      <c r="AB23820" s="38"/>
    </row>
    <row r="23821">
      <c r="P23821" s="42"/>
      <c r="AB23821" s="38"/>
    </row>
    <row r="23822">
      <c r="P23822" s="42"/>
      <c r="AB23822" s="38"/>
    </row>
    <row r="23823">
      <c r="P23823" s="42"/>
      <c r="AB23823" s="38"/>
    </row>
    <row r="23824">
      <c r="P23824" s="42"/>
      <c r="AB23824" s="38"/>
    </row>
    <row r="23825">
      <c r="P23825" s="42"/>
      <c r="AB23825" s="38"/>
    </row>
    <row r="23826">
      <c r="P23826" s="42"/>
      <c r="AB23826" s="38"/>
    </row>
    <row r="23827">
      <c r="P23827" s="42"/>
      <c r="AB23827" s="38"/>
    </row>
    <row r="23828">
      <c r="P23828" s="42"/>
      <c r="AB23828" s="38"/>
    </row>
    <row r="23829">
      <c r="P23829" s="42"/>
      <c r="AB23829" s="38"/>
    </row>
    <row r="23830">
      <c r="P23830" s="42"/>
      <c r="AB23830" s="38"/>
    </row>
    <row r="23831">
      <c r="P23831" s="42"/>
      <c r="AB23831" s="38"/>
    </row>
    <row r="23832">
      <c r="P23832" s="42"/>
      <c r="AB23832" s="38"/>
    </row>
    <row r="23833">
      <c r="P23833" s="42"/>
      <c r="AB23833" s="38"/>
    </row>
    <row r="23834">
      <c r="P23834" s="42"/>
      <c r="AB23834" s="38"/>
    </row>
    <row r="23835">
      <c r="P23835" s="42"/>
      <c r="AB23835" s="38"/>
    </row>
    <row r="23836">
      <c r="P23836" s="42"/>
      <c r="AB23836" s="38"/>
    </row>
    <row r="23837">
      <c r="P23837" s="42"/>
      <c r="AB23837" s="38"/>
    </row>
    <row r="23838">
      <c r="P23838" s="42"/>
      <c r="AB23838" s="38"/>
    </row>
    <row r="23839">
      <c r="P23839" s="42"/>
      <c r="AB23839" s="38"/>
    </row>
    <row r="23840">
      <c r="P23840" s="42"/>
      <c r="AB23840" s="38"/>
    </row>
    <row r="23841">
      <c r="P23841" s="42"/>
      <c r="AB23841" s="38"/>
    </row>
    <row r="23842">
      <c r="P23842" s="42"/>
      <c r="AB23842" s="38"/>
    </row>
    <row r="23843">
      <c r="P23843" s="42"/>
      <c r="AB23843" s="38"/>
    </row>
    <row r="23844">
      <c r="P23844" s="42"/>
      <c r="AB23844" s="38"/>
    </row>
    <row r="23845">
      <c r="P23845" s="42"/>
      <c r="AB23845" s="38"/>
    </row>
    <row r="23846">
      <c r="P23846" s="42"/>
      <c r="AB23846" s="38"/>
    </row>
    <row r="23847">
      <c r="P23847" s="42"/>
      <c r="AB23847" s="38"/>
    </row>
    <row r="23848">
      <c r="P23848" s="42"/>
      <c r="AB23848" s="38"/>
    </row>
    <row r="23849">
      <c r="P23849" s="42"/>
      <c r="AB23849" s="38"/>
    </row>
    <row r="23850">
      <c r="P23850" s="42"/>
      <c r="AB23850" s="38"/>
    </row>
    <row r="23851">
      <c r="P23851" s="42"/>
      <c r="AB23851" s="38"/>
    </row>
    <row r="23852">
      <c r="P23852" s="42"/>
      <c r="AB23852" s="38"/>
    </row>
    <row r="23853">
      <c r="P23853" s="42"/>
      <c r="AB23853" s="38"/>
    </row>
    <row r="23854">
      <c r="P23854" s="42"/>
      <c r="AB23854" s="38"/>
    </row>
    <row r="23855">
      <c r="P23855" s="42"/>
      <c r="AB23855" s="38"/>
    </row>
    <row r="23856">
      <c r="P23856" s="42"/>
      <c r="AB23856" s="38"/>
    </row>
    <row r="23857">
      <c r="P23857" s="42"/>
      <c r="AB23857" s="38"/>
    </row>
    <row r="23858">
      <c r="P23858" s="42"/>
      <c r="AB23858" s="38"/>
    </row>
    <row r="23859">
      <c r="P23859" s="42"/>
      <c r="AB23859" s="38"/>
    </row>
    <row r="23860">
      <c r="P23860" s="42"/>
      <c r="AB23860" s="38"/>
    </row>
    <row r="23861">
      <c r="P23861" s="42"/>
      <c r="AB23861" s="38"/>
    </row>
    <row r="23862">
      <c r="P23862" s="42"/>
      <c r="AB23862" s="38"/>
    </row>
    <row r="23863">
      <c r="P23863" s="42"/>
      <c r="AB23863" s="38"/>
    </row>
    <row r="23864">
      <c r="P23864" s="42"/>
      <c r="AB23864" s="38"/>
    </row>
    <row r="23865">
      <c r="P23865" s="42"/>
      <c r="AB23865" s="38"/>
    </row>
    <row r="23866">
      <c r="P23866" s="42"/>
      <c r="AB23866" s="38"/>
    </row>
    <row r="23867">
      <c r="P23867" s="42"/>
      <c r="AB23867" s="38"/>
    </row>
    <row r="23868">
      <c r="P23868" s="42"/>
      <c r="AB23868" s="38"/>
    </row>
    <row r="23869">
      <c r="P23869" s="42"/>
      <c r="AB23869" s="38"/>
    </row>
    <row r="23870">
      <c r="P23870" s="42"/>
      <c r="AB23870" s="38"/>
    </row>
    <row r="23871">
      <c r="P23871" s="42"/>
      <c r="AB23871" s="38"/>
    </row>
    <row r="23872">
      <c r="P23872" s="42"/>
      <c r="AB23872" s="38"/>
    </row>
    <row r="23873">
      <c r="P23873" s="42"/>
      <c r="AB23873" s="38"/>
    </row>
    <row r="23874">
      <c r="P23874" s="42"/>
      <c r="AB23874" s="38"/>
    </row>
    <row r="23875">
      <c r="P23875" s="42"/>
      <c r="AB23875" s="38"/>
    </row>
    <row r="23876">
      <c r="P23876" s="42"/>
      <c r="AB23876" s="38"/>
    </row>
    <row r="23877">
      <c r="P23877" s="42"/>
      <c r="AB23877" s="38"/>
    </row>
    <row r="23878">
      <c r="P23878" s="42"/>
      <c r="AB23878" s="38"/>
    </row>
    <row r="23879">
      <c r="P23879" s="42"/>
      <c r="AB23879" s="38"/>
    </row>
    <row r="23880">
      <c r="P23880" s="42"/>
      <c r="AB23880" s="38"/>
    </row>
    <row r="23881">
      <c r="P23881" s="42"/>
      <c r="AB23881" s="38"/>
    </row>
    <row r="23882">
      <c r="P23882" s="42"/>
      <c r="AB23882" s="38"/>
    </row>
    <row r="23883">
      <c r="P23883" s="42"/>
      <c r="AB23883" s="38"/>
    </row>
    <row r="23884">
      <c r="P23884" s="42"/>
      <c r="AB23884" s="38"/>
    </row>
    <row r="23885">
      <c r="P23885" s="42"/>
      <c r="AB23885" s="38"/>
    </row>
    <row r="23886">
      <c r="P23886" s="42"/>
      <c r="AB23886" s="38"/>
    </row>
    <row r="23887">
      <c r="P23887" s="42"/>
      <c r="AB23887" s="38"/>
    </row>
    <row r="23888">
      <c r="P23888" s="42"/>
      <c r="AB23888" s="38"/>
    </row>
    <row r="23889">
      <c r="P23889" s="42"/>
      <c r="AB23889" s="38"/>
    </row>
    <row r="23890">
      <c r="P23890" s="42"/>
      <c r="AB23890" s="38"/>
    </row>
    <row r="23891">
      <c r="P23891" s="42"/>
      <c r="AB23891" s="38"/>
    </row>
    <row r="23892">
      <c r="P23892" s="42"/>
      <c r="AB23892" s="38"/>
    </row>
    <row r="23893">
      <c r="P23893" s="42"/>
      <c r="AB23893" s="38"/>
    </row>
    <row r="23894">
      <c r="P23894" s="42"/>
      <c r="AB23894" s="38"/>
    </row>
    <row r="23895">
      <c r="P23895" s="42"/>
      <c r="AB23895" s="38"/>
    </row>
    <row r="23896">
      <c r="P23896" s="42"/>
      <c r="AB23896" s="38"/>
    </row>
    <row r="23897">
      <c r="P23897" s="42"/>
      <c r="AB23897" s="38"/>
    </row>
    <row r="23898">
      <c r="P23898" s="42"/>
      <c r="AB23898" s="38"/>
    </row>
    <row r="23899">
      <c r="P23899" s="42"/>
      <c r="AB23899" s="38"/>
    </row>
    <row r="23900">
      <c r="P23900" s="42"/>
      <c r="AB23900" s="38"/>
    </row>
    <row r="23901">
      <c r="P23901" s="42"/>
      <c r="AB23901" s="38"/>
    </row>
    <row r="23902">
      <c r="P23902" s="42"/>
      <c r="AB23902" s="38"/>
    </row>
    <row r="23903">
      <c r="P23903" s="42"/>
      <c r="AB23903" s="38"/>
    </row>
    <row r="23904">
      <c r="P23904" s="42"/>
      <c r="AB23904" s="38"/>
    </row>
    <row r="23905">
      <c r="P23905" s="42"/>
      <c r="AB23905" s="38"/>
    </row>
    <row r="23906">
      <c r="P23906" s="42"/>
      <c r="AB23906" s="38"/>
    </row>
    <row r="23907">
      <c r="P23907" s="42"/>
      <c r="AB23907" s="38"/>
    </row>
    <row r="23908">
      <c r="P23908" s="42"/>
      <c r="AB23908" s="38"/>
    </row>
    <row r="23909">
      <c r="P23909" s="42"/>
      <c r="AB23909" s="38"/>
    </row>
    <row r="23910">
      <c r="P23910" s="42"/>
      <c r="AB23910" s="38"/>
    </row>
    <row r="23911">
      <c r="P23911" s="42"/>
      <c r="AB23911" s="38"/>
    </row>
    <row r="23912">
      <c r="P23912" s="42"/>
      <c r="AB23912" s="38"/>
    </row>
    <row r="23913">
      <c r="P23913" s="42"/>
      <c r="AB23913" s="38"/>
    </row>
    <row r="23914">
      <c r="P23914" s="42"/>
      <c r="AB23914" s="38"/>
    </row>
    <row r="23915">
      <c r="P23915" s="42"/>
      <c r="AB23915" s="38"/>
    </row>
    <row r="23916">
      <c r="P23916" s="42"/>
      <c r="AB23916" s="38"/>
    </row>
    <row r="23917">
      <c r="P23917" s="42"/>
      <c r="AB23917" s="38"/>
    </row>
    <row r="23918">
      <c r="P23918" s="42"/>
      <c r="AB23918" s="38"/>
    </row>
    <row r="23919">
      <c r="P23919" s="42"/>
      <c r="AB23919" s="38"/>
    </row>
    <row r="23920">
      <c r="P23920" s="42"/>
      <c r="AB23920" s="38"/>
    </row>
    <row r="23921">
      <c r="P23921" s="42"/>
      <c r="AB23921" s="38"/>
    </row>
    <row r="23922">
      <c r="P23922" s="42"/>
      <c r="AB23922" s="38"/>
    </row>
    <row r="23923">
      <c r="P23923" s="42"/>
      <c r="AB23923" s="38"/>
    </row>
    <row r="23924">
      <c r="P23924" s="42"/>
      <c r="AB23924" s="38"/>
    </row>
    <row r="23925">
      <c r="P23925" s="42"/>
      <c r="AB23925" s="38"/>
    </row>
    <row r="23926">
      <c r="P23926" s="42"/>
      <c r="AB23926" s="38"/>
    </row>
    <row r="23927">
      <c r="P23927" s="42"/>
      <c r="AB23927" s="38"/>
    </row>
    <row r="23928">
      <c r="P23928" s="42"/>
      <c r="AB23928" s="38"/>
    </row>
    <row r="23929">
      <c r="P23929" s="42"/>
      <c r="AB23929" s="38"/>
    </row>
    <row r="23930">
      <c r="P23930" s="42"/>
      <c r="AB23930" s="38"/>
    </row>
    <row r="23931">
      <c r="P23931" s="42"/>
      <c r="AB23931" s="38"/>
    </row>
    <row r="23932">
      <c r="P23932" s="42"/>
      <c r="AB23932" s="38"/>
    </row>
    <row r="23933">
      <c r="P23933" s="42"/>
      <c r="AB23933" s="38"/>
    </row>
    <row r="23934">
      <c r="P23934" s="42"/>
      <c r="AB23934" s="38"/>
    </row>
    <row r="23935">
      <c r="P23935" s="42"/>
      <c r="AB23935" s="38"/>
    </row>
    <row r="23936">
      <c r="P23936" s="42"/>
      <c r="AB23936" s="38"/>
    </row>
    <row r="23937">
      <c r="P23937" s="42"/>
      <c r="AB23937" s="38"/>
    </row>
    <row r="23938">
      <c r="P23938" s="42"/>
      <c r="AB23938" s="38"/>
    </row>
    <row r="23939">
      <c r="P23939" s="42"/>
      <c r="AB23939" s="38"/>
    </row>
    <row r="23940">
      <c r="P23940" s="42"/>
      <c r="AB23940" s="38"/>
    </row>
    <row r="23941">
      <c r="P23941" s="42"/>
      <c r="AB23941" s="38"/>
    </row>
    <row r="23942">
      <c r="P23942" s="42"/>
      <c r="AB23942" s="38"/>
    </row>
    <row r="23943">
      <c r="P23943" s="42"/>
      <c r="AB23943" s="38"/>
    </row>
    <row r="23944">
      <c r="P23944" s="42"/>
      <c r="AB23944" s="38"/>
    </row>
    <row r="23945">
      <c r="P23945" s="42"/>
      <c r="AB23945" s="38"/>
    </row>
    <row r="23946">
      <c r="P23946" s="42"/>
      <c r="AB23946" s="38"/>
    </row>
    <row r="23947">
      <c r="P23947" s="42"/>
      <c r="AB23947" s="38"/>
    </row>
    <row r="23948">
      <c r="P23948" s="42"/>
      <c r="AB23948" s="38"/>
    </row>
    <row r="23949">
      <c r="P23949" s="42"/>
      <c r="AB23949" s="38"/>
    </row>
    <row r="23950">
      <c r="P23950" s="42"/>
      <c r="AB23950" s="38"/>
    </row>
    <row r="23951">
      <c r="P23951" s="42"/>
      <c r="AB23951" s="38"/>
    </row>
    <row r="23952">
      <c r="P23952" s="42"/>
      <c r="AB23952" s="38"/>
    </row>
    <row r="23953">
      <c r="P23953" s="42"/>
      <c r="AB23953" s="38"/>
    </row>
    <row r="23954">
      <c r="P23954" s="42"/>
      <c r="AB23954" s="38"/>
    </row>
    <row r="23955">
      <c r="P23955" s="42"/>
      <c r="AB23955" s="38"/>
    </row>
    <row r="23956">
      <c r="P23956" s="42"/>
      <c r="AB23956" s="38"/>
    </row>
    <row r="23957">
      <c r="P23957" s="42"/>
      <c r="AB23957" s="38"/>
    </row>
    <row r="23958">
      <c r="P23958" s="42"/>
      <c r="AB23958" s="38"/>
    </row>
    <row r="23959">
      <c r="P23959" s="42"/>
      <c r="AB23959" s="38"/>
    </row>
    <row r="23960">
      <c r="P23960" s="42"/>
      <c r="AB23960" s="38"/>
    </row>
    <row r="23961">
      <c r="P23961" s="42"/>
      <c r="AB23961" s="38"/>
    </row>
    <row r="23962">
      <c r="P23962" s="42"/>
      <c r="AB23962" s="38"/>
    </row>
    <row r="23963">
      <c r="P23963" s="42"/>
      <c r="AB23963" s="38"/>
    </row>
    <row r="23964">
      <c r="P23964" s="42"/>
      <c r="AB23964" s="38"/>
    </row>
    <row r="23965">
      <c r="P23965" s="42"/>
      <c r="AB23965" s="38"/>
    </row>
    <row r="23966">
      <c r="P23966" s="42"/>
      <c r="AB23966" s="38"/>
    </row>
    <row r="23967">
      <c r="P23967" s="42"/>
      <c r="AB23967" s="38"/>
    </row>
    <row r="23968">
      <c r="P23968" s="42"/>
      <c r="AB23968" s="38"/>
    </row>
    <row r="23969">
      <c r="P23969" s="42"/>
      <c r="AB23969" s="38"/>
    </row>
    <row r="23970">
      <c r="P23970" s="42"/>
      <c r="AB23970" s="38"/>
    </row>
    <row r="23971">
      <c r="P23971" s="42"/>
      <c r="AB23971" s="38"/>
    </row>
    <row r="23972">
      <c r="P23972" s="42"/>
      <c r="AB23972" s="38"/>
    </row>
    <row r="23973">
      <c r="P23973" s="42"/>
      <c r="AB23973" s="38"/>
    </row>
    <row r="23974">
      <c r="P23974" s="42"/>
      <c r="AB23974" s="38"/>
    </row>
    <row r="23975">
      <c r="P23975" s="42"/>
      <c r="AB23975" s="38"/>
    </row>
    <row r="23976">
      <c r="P23976" s="42"/>
      <c r="AB23976" s="38"/>
    </row>
    <row r="23977">
      <c r="P23977" s="42"/>
      <c r="AB23977" s="38"/>
    </row>
    <row r="23978">
      <c r="P23978" s="42"/>
      <c r="AB23978" s="38"/>
    </row>
    <row r="23979">
      <c r="P23979" s="42"/>
      <c r="AB23979" s="38"/>
    </row>
    <row r="23980">
      <c r="P23980" s="42"/>
      <c r="AB23980" s="38"/>
    </row>
    <row r="23981">
      <c r="P23981" s="42"/>
      <c r="AB23981" s="38"/>
    </row>
    <row r="23982">
      <c r="P23982" s="42"/>
      <c r="AB23982" s="38"/>
    </row>
    <row r="23983">
      <c r="P23983" s="42"/>
      <c r="AB23983" s="38"/>
    </row>
    <row r="23984">
      <c r="P23984" s="42"/>
      <c r="AB23984" s="38"/>
    </row>
    <row r="23985">
      <c r="P23985" s="42"/>
      <c r="AB23985" s="38"/>
    </row>
    <row r="23986">
      <c r="P23986" s="42"/>
      <c r="AB23986" s="38"/>
    </row>
    <row r="23987">
      <c r="P23987" s="42"/>
      <c r="AB23987" s="38"/>
    </row>
    <row r="23988">
      <c r="P23988" s="42"/>
      <c r="AB23988" s="38"/>
    </row>
    <row r="23989">
      <c r="P23989" s="42"/>
      <c r="AB23989" s="38"/>
    </row>
    <row r="23990">
      <c r="P23990" s="42"/>
      <c r="AB23990" s="38"/>
    </row>
    <row r="23991">
      <c r="P23991" s="42"/>
      <c r="AB23991" s="38"/>
    </row>
    <row r="23992">
      <c r="P23992" s="42"/>
      <c r="AB23992" s="38"/>
    </row>
    <row r="23993">
      <c r="P23993" s="42"/>
      <c r="AB23993" s="38"/>
    </row>
    <row r="23994">
      <c r="P23994" s="42"/>
      <c r="AB23994" s="38"/>
    </row>
    <row r="23995">
      <c r="P23995" s="42"/>
      <c r="AB23995" s="38"/>
    </row>
    <row r="23996">
      <c r="P23996" s="42"/>
      <c r="AB23996" s="38"/>
    </row>
    <row r="23997">
      <c r="P23997" s="42"/>
      <c r="AB23997" s="38"/>
    </row>
    <row r="23998">
      <c r="P23998" s="42"/>
      <c r="AB23998" s="38"/>
    </row>
    <row r="23999">
      <c r="P23999" s="42"/>
      <c r="AB23999" s="38"/>
    </row>
    <row r="24000">
      <c r="P24000" s="42"/>
      <c r="AB24000" s="38"/>
    </row>
    <row r="24001">
      <c r="P24001" s="42"/>
      <c r="AB24001" s="38"/>
    </row>
    <row r="24002">
      <c r="P24002" s="42"/>
      <c r="AB24002" s="38"/>
    </row>
    <row r="24003">
      <c r="P24003" s="42"/>
      <c r="AB24003" s="38"/>
    </row>
    <row r="24004">
      <c r="P24004" s="42"/>
      <c r="AB24004" s="38"/>
    </row>
    <row r="24005">
      <c r="P24005" s="42"/>
      <c r="AB24005" s="38"/>
    </row>
    <row r="24006">
      <c r="P24006" s="42"/>
      <c r="AB24006" s="38"/>
    </row>
    <row r="24007">
      <c r="P24007" s="42"/>
      <c r="AB24007" s="38"/>
    </row>
    <row r="24008">
      <c r="P24008" s="42"/>
      <c r="AB24008" s="38"/>
    </row>
    <row r="24009">
      <c r="P24009" s="42"/>
      <c r="AB24009" s="38"/>
    </row>
    <row r="24010">
      <c r="P24010" s="42"/>
      <c r="AB24010" s="38"/>
    </row>
    <row r="24011">
      <c r="P24011" s="42"/>
      <c r="AB24011" s="38"/>
    </row>
    <row r="24012">
      <c r="P24012" s="42"/>
      <c r="AB24012" s="38"/>
    </row>
    <row r="24013">
      <c r="P24013" s="42"/>
      <c r="AB24013" s="38"/>
    </row>
    <row r="24014">
      <c r="P24014" s="42"/>
      <c r="AB24014" s="38"/>
    </row>
    <row r="24015">
      <c r="P24015" s="42"/>
      <c r="AB24015" s="38"/>
    </row>
    <row r="24016">
      <c r="P24016" s="42"/>
      <c r="AB24016" s="38"/>
    </row>
    <row r="24017">
      <c r="P24017" s="42"/>
      <c r="AB24017" s="38"/>
    </row>
    <row r="24018">
      <c r="P24018" s="42"/>
      <c r="AB24018" s="38"/>
    </row>
    <row r="24019">
      <c r="P24019" s="42"/>
      <c r="AB24019" s="38"/>
    </row>
    <row r="24020">
      <c r="P24020" s="42"/>
      <c r="AB24020" s="38"/>
    </row>
    <row r="24021">
      <c r="P24021" s="42"/>
      <c r="AB24021" s="38"/>
    </row>
    <row r="24022">
      <c r="P24022" s="42"/>
      <c r="AB24022" s="38"/>
    </row>
    <row r="24023">
      <c r="P24023" s="42"/>
      <c r="AB24023" s="38"/>
    </row>
    <row r="24024">
      <c r="P24024" s="42"/>
      <c r="AB24024" s="38"/>
    </row>
    <row r="24025">
      <c r="P24025" s="42"/>
      <c r="AB24025" s="38"/>
    </row>
    <row r="24026">
      <c r="P24026" s="42"/>
      <c r="AB24026" s="38"/>
    </row>
    <row r="24027">
      <c r="P24027" s="42"/>
      <c r="AB24027" s="38"/>
    </row>
    <row r="24028">
      <c r="P24028" s="42"/>
      <c r="AB24028" s="38"/>
    </row>
    <row r="24029">
      <c r="P24029" s="42"/>
      <c r="AB24029" s="38"/>
    </row>
    <row r="24030">
      <c r="P24030" s="42"/>
      <c r="AB24030" s="38"/>
    </row>
    <row r="24031">
      <c r="P24031" s="42"/>
      <c r="AB24031" s="38"/>
    </row>
    <row r="24032">
      <c r="P24032" s="42"/>
      <c r="AB24032" s="38"/>
    </row>
    <row r="24033">
      <c r="P24033" s="42"/>
      <c r="AB24033" s="38"/>
    </row>
    <row r="24034">
      <c r="P24034" s="42"/>
      <c r="AB24034" s="38"/>
    </row>
    <row r="24035">
      <c r="P24035" s="42"/>
      <c r="AB24035" s="38"/>
    </row>
    <row r="24036">
      <c r="P24036" s="42"/>
      <c r="AB24036" s="38"/>
    </row>
    <row r="24037">
      <c r="P24037" s="42"/>
      <c r="AB24037" s="38"/>
    </row>
    <row r="24038">
      <c r="P24038" s="42"/>
      <c r="AB24038" s="38"/>
    </row>
    <row r="24039">
      <c r="P24039" s="42"/>
      <c r="AB24039" s="38"/>
    </row>
    <row r="24040">
      <c r="P24040" s="42"/>
      <c r="AB24040" s="38"/>
    </row>
    <row r="24041">
      <c r="P24041" s="42"/>
      <c r="AB24041" s="38"/>
    </row>
    <row r="24042">
      <c r="P24042" s="42"/>
      <c r="AB24042" s="38"/>
    </row>
    <row r="24043">
      <c r="P24043" s="42"/>
      <c r="AB24043" s="38"/>
    </row>
    <row r="24044">
      <c r="P24044" s="42"/>
      <c r="AB24044" s="38"/>
    </row>
    <row r="24045">
      <c r="P24045" s="42"/>
      <c r="AB24045" s="38"/>
    </row>
    <row r="24046">
      <c r="P24046" s="42"/>
      <c r="AB24046" s="38"/>
    </row>
    <row r="24047">
      <c r="P24047" s="42"/>
      <c r="AB24047" s="38"/>
    </row>
    <row r="24048">
      <c r="P24048" s="42"/>
      <c r="AB24048" s="38"/>
    </row>
    <row r="24049">
      <c r="P24049" s="42"/>
      <c r="AB24049" s="38"/>
    </row>
    <row r="24050">
      <c r="P24050" s="42"/>
      <c r="AB24050" s="38"/>
    </row>
    <row r="24051">
      <c r="P24051" s="42"/>
      <c r="AB24051" s="38"/>
    </row>
    <row r="24052">
      <c r="P24052" s="42"/>
      <c r="AB24052" s="38"/>
    </row>
    <row r="24053">
      <c r="P24053" s="42"/>
      <c r="AB24053" s="38"/>
    </row>
    <row r="24054">
      <c r="P24054" s="42"/>
      <c r="AB24054" s="38"/>
    </row>
    <row r="24055">
      <c r="P24055" s="42"/>
      <c r="AB24055" s="38"/>
    </row>
    <row r="24056">
      <c r="P24056" s="42"/>
      <c r="AB24056" s="38"/>
    </row>
    <row r="24057">
      <c r="P24057" s="42"/>
      <c r="AB24057" s="38"/>
    </row>
    <row r="24058">
      <c r="P24058" s="42"/>
      <c r="AB24058" s="38"/>
    </row>
    <row r="24059">
      <c r="P24059" s="42"/>
      <c r="AB24059" s="38"/>
    </row>
    <row r="24060">
      <c r="P24060" s="42"/>
      <c r="AB24060" s="38"/>
    </row>
    <row r="24061">
      <c r="P24061" s="42"/>
      <c r="AB24061" s="38"/>
    </row>
    <row r="24062">
      <c r="P24062" s="42"/>
      <c r="AB24062" s="38"/>
    </row>
    <row r="24063">
      <c r="P24063" s="42"/>
      <c r="AB24063" s="38"/>
    </row>
    <row r="24064">
      <c r="P24064" s="42"/>
      <c r="AB24064" s="38"/>
    </row>
    <row r="24065">
      <c r="P24065" s="42"/>
      <c r="AB24065" s="38"/>
    </row>
    <row r="24066">
      <c r="P24066" s="42"/>
      <c r="AB24066" s="38"/>
    </row>
    <row r="24067">
      <c r="P24067" s="42"/>
      <c r="AB24067" s="38"/>
    </row>
    <row r="24068">
      <c r="P24068" s="42"/>
      <c r="AB24068" s="38"/>
    </row>
    <row r="24069">
      <c r="P24069" s="42"/>
      <c r="AB24069" s="38"/>
    </row>
    <row r="24070">
      <c r="P24070" s="42"/>
      <c r="AB24070" s="38"/>
    </row>
    <row r="24071">
      <c r="P24071" s="42"/>
      <c r="AB24071" s="38"/>
    </row>
    <row r="24072">
      <c r="P24072" s="42"/>
      <c r="AB24072" s="38"/>
    </row>
    <row r="24073">
      <c r="P24073" s="42"/>
      <c r="AB24073" s="38"/>
    </row>
    <row r="24074">
      <c r="P24074" s="42"/>
      <c r="AB24074" s="38"/>
    </row>
    <row r="24075">
      <c r="P24075" s="42"/>
      <c r="AB24075" s="38"/>
    </row>
    <row r="24076">
      <c r="P24076" s="42"/>
      <c r="AB24076" s="38"/>
    </row>
    <row r="24077">
      <c r="P24077" s="42"/>
      <c r="AB24077" s="38"/>
    </row>
    <row r="24078">
      <c r="P24078" s="42"/>
      <c r="AB24078" s="38"/>
    </row>
    <row r="24079">
      <c r="P24079" s="42"/>
      <c r="AB24079" s="38"/>
    </row>
    <row r="24080">
      <c r="P24080" s="42"/>
      <c r="AB24080" s="38"/>
    </row>
    <row r="24081">
      <c r="P24081" s="42"/>
      <c r="AB24081" s="38"/>
    </row>
    <row r="24082">
      <c r="P24082" s="42"/>
      <c r="AB24082" s="38"/>
    </row>
    <row r="24083">
      <c r="P24083" s="42"/>
      <c r="AB24083" s="38"/>
    </row>
    <row r="24084">
      <c r="P24084" s="42"/>
      <c r="AB24084" s="38"/>
    </row>
    <row r="24085">
      <c r="P24085" s="42"/>
      <c r="AB24085" s="38"/>
    </row>
    <row r="24086">
      <c r="P24086" s="42"/>
      <c r="AB24086" s="38"/>
    </row>
    <row r="24087">
      <c r="P24087" s="42"/>
      <c r="AB24087" s="38"/>
    </row>
    <row r="24088">
      <c r="P24088" s="42"/>
      <c r="AB24088" s="38"/>
    </row>
    <row r="24089">
      <c r="P24089" s="42"/>
      <c r="AB24089" s="38"/>
    </row>
    <row r="24090">
      <c r="P24090" s="42"/>
      <c r="AB24090" s="38"/>
    </row>
    <row r="24091">
      <c r="P24091" s="42"/>
      <c r="AB24091" s="38"/>
    </row>
    <row r="24092">
      <c r="P24092" s="42"/>
      <c r="AB24092" s="38"/>
    </row>
    <row r="24093">
      <c r="P24093" s="42"/>
      <c r="AB24093" s="38"/>
    </row>
    <row r="24094">
      <c r="P24094" s="42"/>
      <c r="AB24094" s="38"/>
    </row>
    <row r="24095">
      <c r="P24095" s="42"/>
      <c r="AB24095" s="38"/>
    </row>
    <row r="24096">
      <c r="P24096" s="42"/>
      <c r="AB24096" s="38"/>
    </row>
    <row r="24097">
      <c r="P24097" s="42"/>
      <c r="AB24097" s="38"/>
    </row>
    <row r="24098">
      <c r="P24098" s="42"/>
      <c r="AB24098" s="38"/>
    </row>
    <row r="24099">
      <c r="P24099" s="42"/>
      <c r="AB24099" s="38"/>
    </row>
    <row r="24100">
      <c r="P24100" s="42"/>
      <c r="AB24100" s="38"/>
    </row>
    <row r="24101">
      <c r="P24101" s="42"/>
      <c r="AB24101" s="38"/>
    </row>
    <row r="24102">
      <c r="P24102" s="42"/>
      <c r="AB24102" s="38"/>
    </row>
    <row r="24103">
      <c r="P24103" s="42"/>
      <c r="AB24103" s="38"/>
    </row>
    <row r="24104">
      <c r="P24104" s="42"/>
      <c r="AB24104" s="38"/>
    </row>
    <row r="24105">
      <c r="P24105" s="42"/>
      <c r="AB24105" s="38"/>
    </row>
    <row r="24106">
      <c r="P24106" s="42"/>
      <c r="AB24106" s="38"/>
    </row>
    <row r="24107">
      <c r="P24107" s="42"/>
      <c r="AB24107" s="38"/>
    </row>
    <row r="24108">
      <c r="P24108" s="42"/>
      <c r="AB24108" s="38"/>
    </row>
    <row r="24109">
      <c r="P24109" s="42"/>
      <c r="AB24109" s="38"/>
    </row>
    <row r="24110">
      <c r="P24110" s="42"/>
      <c r="AB24110" s="38"/>
    </row>
    <row r="24111">
      <c r="P24111" s="42"/>
      <c r="AB24111" s="38"/>
    </row>
    <row r="24112">
      <c r="P24112" s="42"/>
      <c r="AB24112" s="38"/>
    </row>
    <row r="24113">
      <c r="P24113" s="42"/>
      <c r="AB24113" s="38"/>
    </row>
    <row r="24114">
      <c r="P24114" s="42"/>
      <c r="AB24114" s="38"/>
    </row>
    <row r="24115">
      <c r="P24115" s="42"/>
      <c r="AB24115" s="38"/>
    </row>
    <row r="24116">
      <c r="P24116" s="42"/>
      <c r="AB24116" s="38"/>
    </row>
    <row r="24117">
      <c r="P24117" s="42"/>
      <c r="AB24117" s="38"/>
    </row>
    <row r="24118">
      <c r="P24118" s="42"/>
      <c r="AB24118" s="38"/>
    </row>
    <row r="24119">
      <c r="P24119" s="42"/>
      <c r="AB24119" s="38"/>
    </row>
    <row r="24120">
      <c r="P24120" s="42"/>
      <c r="AB24120" s="38"/>
    </row>
    <row r="24121">
      <c r="P24121" s="42"/>
      <c r="AB24121" s="38"/>
    </row>
    <row r="24122">
      <c r="P24122" s="42"/>
      <c r="AB24122" s="38"/>
    </row>
    <row r="24123">
      <c r="P24123" s="42"/>
      <c r="AB24123" s="38"/>
    </row>
    <row r="24124">
      <c r="P24124" s="42"/>
      <c r="AB24124" s="38"/>
    </row>
    <row r="24125">
      <c r="P24125" s="42"/>
      <c r="AB24125" s="38"/>
    </row>
    <row r="24126">
      <c r="P24126" s="42"/>
      <c r="AB24126" s="38"/>
    </row>
    <row r="24127">
      <c r="P24127" s="42"/>
      <c r="AB24127" s="38"/>
    </row>
    <row r="24128">
      <c r="P24128" s="42"/>
      <c r="AB24128" s="38"/>
    </row>
    <row r="24129">
      <c r="P24129" s="42"/>
      <c r="AB24129" s="38"/>
    </row>
    <row r="24130">
      <c r="P24130" s="42"/>
      <c r="AB24130" s="38"/>
    </row>
    <row r="24131">
      <c r="P24131" s="42"/>
      <c r="AB24131" s="38"/>
    </row>
    <row r="24132">
      <c r="P24132" s="42"/>
      <c r="AB24132" s="38"/>
    </row>
    <row r="24133">
      <c r="P24133" s="42"/>
      <c r="AB24133" s="38"/>
    </row>
    <row r="24134">
      <c r="P24134" s="42"/>
      <c r="AB24134" s="38"/>
    </row>
    <row r="24135">
      <c r="P24135" s="42"/>
      <c r="AB24135" s="38"/>
    </row>
    <row r="24136">
      <c r="P24136" s="42"/>
      <c r="AB24136" s="38"/>
    </row>
    <row r="24137">
      <c r="P24137" s="42"/>
      <c r="AB24137" s="38"/>
    </row>
    <row r="24138">
      <c r="P24138" s="42"/>
      <c r="AB24138" s="38"/>
    </row>
    <row r="24139">
      <c r="P24139" s="42"/>
      <c r="AB24139" s="38"/>
    </row>
    <row r="24140">
      <c r="P24140" s="42"/>
      <c r="AB24140" s="38"/>
    </row>
    <row r="24141">
      <c r="P24141" s="42"/>
      <c r="AB24141" s="38"/>
    </row>
    <row r="24142">
      <c r="P24142" s="42"/>
      <c r="AB24142" s="38"/>
    </row>
    <row r="24143">
      <c r="P24143" s="42"/>
      <c r="AB24143" s="38"/>
    </row>
    <row r="24144">
      <c r="P24144" s="42"/>
      <c r="AB24144" s="38"/>
    </row>
    <row r="24145">
      <c r="P24145" s="42"/>
      <c r="AB24145" s="38"/>
    </row>
    <row r="24146">
      <c r="P24146" s="42"/>
      <c r="AB24146" s="38"/>
    </row>
    <row r="24147">
      <c r="P24147" s="42"/>
      <c r="AB24147" s="38"/>
    </row>
    <row r="24148">
      <c r="P24148" s="42"/>
      <c r="AB24148" s="38"/>
    </row>
    <row r="24149">
      <c r="P24149" s="42"/>
      <c r="AB24149" s="38"/>
    </row>
    <row r="24150">
      <c r="P24150" s="42"/>
      <c r="AB24150" s="38"/>
    </row>
    <row r="24151">
      <c r="P24151" s="42"/>
      <c r="AB24151" s="38"/>
    </row>
    <row r="24152">
      <c r="P24152" s="42"/>
      <c r="AB24152" s="38"/>
    </row>
    <row r="24153">
      <c r="P24153" s="42"/>
      <c r="AB24153" s="38"/>
    </row>
    <row r="24154">
      <c r="P24154" s="42"/>
      <c r="AB24154" s="38"/>
    </row>
    <row r="24155">
      <c r="P24155" s="42"/>
      <c r="AB24155" s="38"/>
    </row>
    <row r="24156">
      <c r="P24156" s="42"/>
      <c r="AB24156" s="38"/>
    </row>
    <row r="24157">
      <c r="P24157" s="42"/>
      <c r="AB24157" s="38"/>
    </row>
    <row r="24158">
      <c r="P24158" s="42"/>
      <c r="AB24158" s="38"/>
    </row>
    <row r="24159">
      <c r="P24159" s="42"/>
      <c r="AB24159" s="38"/>
    </row>
    <row r="24160">
      <c r="P24160" s="42"/>
      <c r="AB24160" s="38"/>
    </row>
    <row r="24161">
      <c r="P24161" s="42"/>
      <c r="AB24161" s="38"/>
    </row>
    <row r="24162">
      <c r="P24162" s="42"/>
      <c r="AB24162" s="38"/>
    </row>
    <row r="24163">
      <c r="P24163" s="42"/>
      <c r="AB24163" s="38"/>
    </row>
    <row r="24164">
      <c r="P24164" s="42"/>
      <c r="AB24164" s="38"/>
    </row>
    <row r="24165">
      <c r="P24165" s="42"/>
      <c r="AB24165" s="38"/>
    </row>
    <row r="24166">
      <c r="P24166" s="42"/>
      <c r="AB24166" s="38"/>
    </row>
    <row r="24167">
      <c r="P24167" s="42"/>
      <c r="AB24167" s="38"/>
    </row>
    <row r="24168">
      <c r="P24168" s="42"/>
      <c r="AB24168" s="38"/>
    </row>
    <row r="24169">
      <c r="P24169" s="42"/>
      <c r="AB24169" s="38"/>
    </row>
    <row r="24170">
      <c r="P24170" s="42"/>
      <c r="AB24170" s="38"/>
    </row>
    <row r="24171">
      <c r="P24171" s="42"/>
      <c r="AB24171" s="38"/>
    </row>
    <row r="24172">
      <c r="P24172" s="42"/>
      <c r="AB24172" s="38"/>
    </row>
    <row r="24173">
      <c r="P24173" s="42"/>
      <c r="AB24173" s="38"/>
    </row>
    <row r="24174">
      <c r="P24174" s="42"/>
      <c r="AB24174" s="38"/>
    </row>
    <row r="24175">
      <c r="P24175" s="42"/>
      <c r="AB24175" s="38"/>
    </row>
    <row r="24176">
      <c r="P24176" s="42"/>
      <c r="AB24176" s="38"/>
    </row>
    <row r="24177">
      <c r="P24177" s="42"/>
      <c r="AB24177" s="38"/>
    </row>
    <row r="24178">
      <c r="P24178" s="42"/>
      <c r="AB24178" s="38"/>
    </row>
    <row r="24179">
      <c r="P24179" s="42"/>
      <c r="AB24179" s="38"/>
    </row>
    <row r="24180">
      <c r="P24180" s="42"/>
      <c r="AB24180" s="38"/>
    </row>
    <row r="24181">
      <c r="P24181" s="42"/>
      <c r="AB24181" s="38"/>
    </row>
    <row r="24182">
      <c r="P24182" s="42"/>
      <c r="AB24182" s="38"/>
    </row>
    <row r="24183">
      <c r="P24183" s="42"/>
      <c r="AB24183" s="38"/>
    </row>
    <row r="24184">
      <c r="P24184" s="42"/>
      <c r="AB24184" s="38"/>
    </row>
    <row r="24185">
      <c r="P24185" s="42"/>
      <c r="AB24185" s="38"/>
    </row>
    <row r="24186">
      <c r="P24186" s="42"/>
      <c r="AB24186" s="38"/>
    </row>
    <row r="24187">
      <c r="P24187" s="42"/>
      <c r="AB24187" s="38"/>
    </row>
    <row r="24188">
      <c r="P24188" s="42"/>
      <c r="AB24188" s="38"/>
    </row>
    <row r="24189">
      <c r="P24189" s="42"/>
      <c r="AB24189" s="38"/>
    </row>
    <row r="24190">
      <c r="P24190" s="42"/>
      <c r="AB24190" s="38"/>
    </row>
    <row r="24191">
      <c r="P24191" s="42"/>
      <c r="AB24191" s="38"/>
    </row>
    <row r="24192">
      <c r="P24192" s="42"/>
      <c r="AB24192" s="38"/>
    </row>
    <row r="24193">
      <c r="P24193" s="42"/>
      <c r="AB24193" s="38"/>
    </row>
    <row r="24194">
      <c r="P24194" s="42"/>
      <c r="AB24194" s="38"/>
    </row>
    <row r="24195">
      <c r="P24195" s="42"/>
      <c r="AB24195" s="38"/>
    </row>
    <row r="24196">
      <c r="P24196" s="42"/>
      <c r="AB24196" s="38"/>
    </row>
    <row r="24197">
      <c r="P24197" s="42"/>
      <c r="AB24197" s="38"/>
    </row>
    <row r="24198">
      <c r="P24198" s="42"/>
      <c r="AB24198" s="38"/>
    </row>
    <row r="24199">
      <c r="P24199" s="42"/>
      <c r="AB24199" s="38"/>
    </row>
    <row r="24200">
      <c r="P24200" s="42"/>
      <c r="AB24200" s="38"/>
    </row>
    <row r="24201">
      <c r="P24201" s="42"/>
      <c r="AB24201" s="38"/>
    </row>
    <row r="24202">
      <c r="P24202" s="42"/>
      <c r="AB24202" s="38"/>
    </row>
    <row r="24203">
      <c r="P24203" s="42"/>
      <c r="AB24203" s="38"/>
    </row>
    <row r="24204">
      <c r="P24204" s="42"/>
      <c r="AB24204" s="38"/>
    </row>
    <row r="24205">
      <c r="P24205" s="42"/>
      <c r="AB24205" s="38"/>
    </row>
    <row r="24206">
      <c r="P24206" s="42"/>
      <c r="AB24206" s="38"/>
    </row>
    <row r="24207">
      <c r="P24207" s="42"/>
      <c r="AB24207" s="38"/>
    </row>
    <row r="24208">
      <c r="P24208" s="42"/>
      <c r="AB24208" s="38"/>
    </row>
    <row r="24209">
      <c r="P24209" s="42"/>
      <c r="AB24209" s="38"/>
    </row>
    <row r="24210">
      <c r="P24210" s="42"/>
      <c r="AB24210" s="38"/>
    </row>
    <row r="24211">
      <c r="P24211" s="42"/>
      <c r="AB24211" s="38"/>
    </row>
    <row r="24212">
      <c r="P24212" s="42"/>
      <c r="AB24212" s="38"/>
    </row>
    <row r="24213">
      <c r="P24213" s="42"/>
      <c r="AB24213" s="38"/>
    </row>
    <row r="24214">
      <c r="P24214" s="42"/>
      <c r="AB24214" s="38"/>
    </row>
    <row r="24215">
      <c r="P24215" s="42"/>
      <c r="AB24215" s="38"/>
    </row>
    <row r="24216">
      <c r="P24216" s="42"/>
      <c r="AB24216" s="38"/>
    </row>
    <row r="24217">
      <c r="P24217" s="42"/>
      <c r="AB24217" s="38"/>
    </row>
    <row r="24218">
      <c r="P24218" s="42"/>
      <c r="AB24218" s="38"/>
    </row>
    <row r="24219">
      <c r="P24219" s="42"/>
      <c r="AB24219" s="38"/>
    </row>
    <row r="24220">
      <c r="P24220" s="42"/>
      <c r="AB24220" s="38"/>
    </row>
    <row r="24221">
      <c r="P24221" s="42"/>
      <c r="AB24221" s="38"/>
    </row>
    <row r="24222">
      <c r="P24222" s="42"/>
      <c r="AB24222" s="38"/>
    </row>
    <row r="24223">
      <c r="P24223" s="42"/>
      <c r="AB24223" s="38"/>
    </row>
    <row r="24224">
      <c r="P24224" s="42"/>
      <c r="AB24224" s="38"/>
    </row>
    <row r="24225">
      <c r="P24225" s="42"/>
      <c r="AB24225" s="38"/>
    </row>
    <row r="24226">
      <c r="P24226" s="42"/>
      <c r="AB24226" s="38"/>
    </row>
    <row r="24227">
      <c r="P24227" s="42"/>
      <c r="AB24227" s="38"/>
    </row>
    <row r="24228">
      <c r="P24228" s="42"/>
      <c r="AB24228" s="38"/>
    </row>
    <row r="24229">
      <c r="P24229" s="42"/>
      <c r="AB24229" s="38"/>
    </row>
    <row r="24230">
      <c r="P24230" s="42"/>
      <c r="AB24230" s="38"/>
    </row>
    <row r="24231">
      <c r="P24231" s="42"/>
      <c r="AB24231" s="38"/>
    </row>
    <row r="24232">
      <c r="P24232" s="42"/>
      <c r="AB24232" s="38"/>
    </row>
    <row r="24233">
      <c r="P24233" s="42"/>
      <c r="AB24233" s="38"/>
    </row>
    <row r="24234">
      <c r="P24234" s="42"/>
      <c r="AB24234" s="38"/>
    </row>
    <row r="24235">
      <c r="P24235" s="42"/>
      <c r="AB24235" s="38"/>
    </row>
    <row r="24236">
      <c r="P24236" s="42"/>
      <c r="AB24236" s="38"/>
    </row>
    <row r="24237">
      <c r="P24237" s="42"/>
      <c r="AB24237" s="38"/>
    </row>
    <row r="24238">
      <c r="P24238" s="42"/>
      <c r="AB24238" s="38"/>
    </row>
    <row r="24239">
      <c r="P24239" s="42"/>
      <c r="AB24239" s="38"/>
    </row>
    <row r="24240">
      <c r="P24240" s="42"/>
      <c r="AB24240" s="38"/>
    </row>
    <row r="24241">
      <c r="P24241" s="42"/>
      <c r="AB24241" s="38"/>
    </row>
    <row r="24242">
      <c r="P24242" s="42"/>
      <c r="AB24242" s="38"/>
    </row>
    <row r="24243">
      <c r="P24243" s="42"/>
      <c r="AB24243" s="38"/>
    </row>
    <row r="24244">
      <c r="P24244" s="42"/>
      <c r="AB24244" s="38"/>
    </row>
    <row r="24245">
      <c r="P24245" s="42"/>
      <c r="AB24245" s="38"/>
    </row>
    <row r="24246">
      <c r="P24246" s="42"/>
      <c r="AB24246" s="38"/>
    </row>
    <row r="24247">
      <c r="P24247" s="42"/>
      <c r="AB24247" s="38"/>
    </row>
    <row r="24248">
      <c r="P24248" s="42"/>
      <c r="AB24248" s="38"/>
    </row>
    <row r="24249">
      <c r="P24249" s="42"/>
      <c r="AB24249" s="38"/>
    </row>
    <row r="24250">
      <c r="P24250" s="42"/>
      <c r="AB24250" s="38"/>
    </row>
    <row r="24251">
      <c r="P24251" s="42"/>
      <c r="AB24251" s="38"/>
    </row>
    <row r="24252">
      <c r="P24252" s="42"/>
      <c r="AB24252" s="38"/>
    </row>
    <row r="24253">
      <c r="P24253" s="42"/>
      <c r="AB24253" s="38"/>
    </row>
    <row r="24254">
      <c r="P24254" s="42"/>
      <c r="AB24254" s="38"/>
    </row>
    <row r="24255">
      <c r="P24255" s="42"/>
      <c r="AB24255" s="38"/>
    </row>
    <row r="24256">
      <c r="P24256" s="42"/>
      <c r="AB24256" s="38"/>
    </row>
    <row r="24257">
      <c r="P24257" s="42"/>
      <c r="AB24257" s="38"/>
    </row>
    <row r="24258">
      <c r="P24258" s="42"/>
      <c r="AB24258" s="38"/>
    </row>
    <row r="24259">
      <c r="P24259" s="42"/>
      <c r="AB24259" s="38"/>
    </row>
    <row r="24260">
      <c r="P24260" s="42"/>
      <c r="AB24260" s="38"/>
    </row>
    <row r="24261">
      <c r="P24261" s="42"/>
      <c r="AB24261" s="38"/>
    </row>
    <row r="24262">
      <c r="P24262" s="42"/>
      <c r="AB24262" s="38"/>
    </row>
    <row r="24263">
      <c r="P24263" s="42"/>
      <c r="AB24263" s="38"/>
    </row>
    <row r="24264">
      <c r="P24264" s="42"/>
      <c r="AB24264" s="38"/>
    </row>
    <row r="24265">
      <c r="P24265" s="42"/>
      <c r="AB24265" s="38"/>
    </row>
    <row r="24266">
      <c r="P24266" s="42"/>
      <c r="AB24266" s="38"/>
    </row>
    <row r="24267">
      <c r="P24267" s="42"/>
      <c r="AB24267" s="38"/>
    </row>
    <row r="24268">
      <c r="P24268" s="42"/>
      <c r="AB24268" s="38"/>
    </row>
    <row r="24269">
      <c r="P24269" s="42"/>
      <c r="AB24269" s="38"/>
    </row>
    <row r="24270">
      <c r="P24270" s="42"/>
      <c r="AB24270" s="38"/>
    </row>
    <row r="24271">
      <c r="P24271" s="42"/>
      <c r="AB24271" s="38"/>
    </row>
    <row r="24272">
      <c r="P24272" s="42"/>
      <c r="AB24272" s="38"/>
    </row>
    <row r="24273">
      <c r="P24273" s="42"/>
      <c r="AB24273" s="38"/>
    </row>
    <row r="24274">
      <c r="P24274" s="42"/>
      <c r="AB24274" s="38"/>
    </row>
    <row r="24275">
      <c r="P24275" s="42"/>
      <c r="AB24275" s="38"/>
    </row>
    <row r="24276">
      <c r="P24276" s="42"/>
      <c r="AB24276" s="38"/>
    </row>
    <row r="24277">
      <c r="P24277" s="42"/>
      <c r="AB24277" s="38"/>
    </row>
    <row r="24278">
      <c r="P24278" s="42"/>
      <c r="AB24278" s="38"/>
    </row>
    <row r="24279">
      <c r="P24279" s="42"/>
      <c r="AB24279" s="38"/>
    </row>
    <row r="24280">
      <c r="P24280" s="42"/>
      <c r="AB24280" s="38"/>
    </row>
    <row r="24281">
      <c r="P24281" s="42"/>
      <c r="AB24281" s="38"/>
    </row>
    <row r="24282">
      <c r="P24282" s="42"/>
      <c r="AB24282" s="38"/>
    </row>
    <row r="24283">
      <c r="P24283" s="42"/>
      <c r="AB24283" s="38"/>
    </row>
    <row r="24284">
      <c r="P24284" s="42"/>
      <c r="AB24284" s="38"/>
    </row>
    <row r="24285">
      <c r="P24285" s="42"/>
      <c r="AB24285" s="38"/>
    </row>
    <row r="24286">
      <c r="P24286" s="42"/>
      <c r="AB24286" s="38"/>
    </row>
    <row r="24287">
      <c r="P24287" s="42"/>
      <c r="AB24287" s="38"/>
    </row>
    <row r="24288">
      <c r="P24288" s="42"/>
      <c r="AB24288" s="38"/>
    </row>
    <row r="24289">
      <c r="P24289" s="42"/>
      <c r="AB24289" s="38"/>
    </row>
    <row r="24290">
      <c r="P24290" s="42"/>
      <c r="AB24290" s="38"/>
    </row>
    <row r="24291">
      <c r="P24291" s="42"/>
      <c r="AB24291" s="38"/>
    </row>
    <row r="24292">
      <c r="P24292" s="42"/>
      <c r="AB24292" s="38"/>
    </row>
    <row r="24293">
      <c r="P24293" s="42"/>
      <c r="AB24293" s="38"/>
    </row>
    <row r="24294">
      <c r="P24294" s="42"/>
      <c r="AB24294" s="38"/>
    </row>
    <row r="24295">
      <c r="P24295" s="42"/>
      <c r="AB24295" s="38"/>
    </row>
    <row r="24296">
      <c r="P24296" s="42"/>
      <c r="AB24296" s="38"/>
    </row>
    <row r="24297">
      <c r="P24297" s="42"/>
      <c r="AB24297" s="38"/>
    </row>
    <row r="24298">
      <c r="P24298" s="42"/>
      <c r="AB24298" s="38"/>
    </row>
    <row r="24299">
      <c r="P24299" s="42"/>
      <c r="AB24299" s="38"/>
    </row>
    <row r="24300">
      <c r="P24300" s="42"/>
      <c r="AB24300" s="38"/>
    </row>
    <row r="24301">
      <c r="P24301" s="42"/>
      <c r="AB24301" s="38"/>
    </row>
    <row r="24302">
      <c r="P24302" s="42"/>
      <c r="AB24302" s="38"/>
    </row>
    <row r="24303">
      <c r="P24303" s="42"/>
      <c r="AB24303" s="38"/>
    </row>
    <row r="24304">
      <c r="P24304" s="42"/>
      <c r="AB24304" s="38"/>
    </row>
    <row r="24305">
      <c r="P24305" s="42"/>
      <c r="AB24305" s="38"/>
    </row>
    <row r="24306">
      <c r="P24306" s="42"/>
      <c r="AB24306" s="38"/>
    </row>
    <row r="24307">
      <c r="P24307" s="42"/>
      <c r="AB24307" s="38"/>
    </row>
    <row r="24308">
      <c r="P24308" s="42"/>
      <c r="AB24308" s="38"/>
    </row>
    <row r="24309">
      <c r="P24309" s="42"/>
      <c r="AB24309" s="38"/>
    </row>
    <row r="24310">
      <c r="P24310" s="42"/>
      <c r="AB24310" s="38"/>
    </row>
    <row r="24311">
      <c r="P24311" s="42"/>
      <c r="AB24311" s="38"/>
    </row>
    <row r="24312">
      <c r="P24312" s="42"/>
      <c r="AB24312" s="38"/>
    </row>
    <row r="24313">
      <c r="P24313" s="42"/>
      <c r="AB24313" s="38"/>
    </row>
    <row r="24314">
      <c r="P24314" s="42"/>
      <c r="AB24314" s="38"/>
    </row>
    <row r="24315">
      <c r="P24315" s="42"/>
      <c r="AB24315" s="38"/>
    </row>
    <row r="24316">
      <c r="P24316" s="42"/>
      <c r="AB24316" s="38"/>
    </row>
    <row r="24317">
      <c r="P24317" s="42"/>
      <c r="AB24317" s="38"/>
    </row>
    <row r="24318">
      <c r="P24318" s="42"/>
      <c r="AB24318" s="38"/>
    </row>
    <row r="24319">
      <c r="P24319" s="42"/>
      <c r="AB24319" s="38"/>
    </row>
    <row r="24320">
      <c r="P24320" s="42"/>
      <c r="AB24320" s="38"/>
    </row>
    <row r="24321">
      <c r="P24321" s="42"/>
      <c r="AB24321" s="38"/>
    </row>
    <row r="24322">
      <c r="P24322" s="42"/>
      <c r="AB24322" s="38"/>
    </row>
    <row r="24323">
      <c r="P24323" s="42"/>
      <c r="AB24323" s="38"/>
    </row>
    <row r="24324">
      <c r="P24324" s="42"/>
      <c r="AB24324" s="38"/>
    </row>
    <row r="24325">
      <c r="P24325" s="42"/>
      <c r="AB24325" s="38"/>
    </row>
    <row r="24326">
      <c r="P24326" s="42"/>
      <c r="AB24326" s="38"/>
    </row>
    <row r="24327">
      <c r="P24327" s="42"/>
      <c r="AB24327" s="38"/>
    </row>
    <row r="24328">
      <c r="P24328" s="42"/>
      <c r="AB24328" s="38"/>
    </row>
    <row r="24329">
      <c r="P24329" s="42"/>
      <c r="AB24329" s="38"/>
    </row>
    <row r="24330">
      <c r="P24330" s="42"/>
      <c r="AB24330" s="38"/>
    </row>
    <row r="24331">
      <c r="P24331" s="42"/>
      <c r="AB24331" s="38"/>
    </row>
    <row r="24332">
      <c r="P24332" s="42"/>
      <c r="AB24332" s="38"/>
    </row>
    <row r="24333">
      <c r="P24333" s="42"/>
      <c r="AB24333" s="38"/>
    </row>
    <row r="24334">
      <c r="P24334" s="42"/>
      <c r="AB24334" s="38"/>
    </row>
    <row r="24335">
      <c r="P24335" s="42"/>
      <c r="AB24335" s="38"/>
    </row>
    <row r="24336">
      <c r="P24336" s="42"/>
      <c r="AB24336" s="38"/>
    </row>
    <row r="24337">
      <c r="P24337" s="42"/>
      <c r="AB24337" s="38"/>
    </row>
    <row r="24338">
      <c r="P24338" s="42"/>
      <c r="AB24338" s="38"/>
    </row>
    <row r="24339">
      <c r="P24339" s="42"/>
      <c r="AB24339" s="38"/>
    </row>
    <row r="24340">
      <c r="P24340" s="42"/>
      <c r="AB24340" s="38"/>
    </row>
    <row r="24341">
      <c r="P24341" s="42"/>
      <c r="AB24341" s="38"/>
    </row>
    <row r="24342">
      <c r="P24342" s="42"/>
      <c r="AB24342" s="38"/>
    </row>
    <row r="24343">
      <c r="P24343" s="42"/>
      <c r="AB24343" s="38"/>
    </row>
    <row r="24344">
      <c r="P24344" s="42"/>
      <c r="AB24344" s="38"/>
    </row>
    <row r="24345">
      <c r="P24345" s="42"/>
      <c r="AB24345" s="38"/>
    </row>
    <row r="24346">
      <c r="P24346" s="42"/>
      <c r="AB24346" s="38"/>
    </row>
    <row r="24347">
      <c r="P24347" s="42"/>
      <c r="AB24347" s="38"/>
    </row>
    <row r="24348">
      <c r="P24348" s="42"/>
      <c r="AB24348" s="38"/>
    </row>
    <row r="24349">
      <c r="P24349" s="42"/>
      <c r="AB24349" s="38"/>
    </row>
    <row r="24350">
      <c r="P24350" s="42"/>
      <c r="AB24350" s="38"/>
    </row>
    <row r="24351">
      <c r="P24351" s="42"/>
      <c r="AB24351" s="38"/>
    </row>
    <row r="24352">
      <c r="P24352" s="42"/>
      <c r="AB24352" s="38"/>
    </row>
    <row r="24353">
      <c r="P24353" s="42"/>
      <c r="AB24353" s="38"/>
    </row>
    <row r="24354">
      <c r="P24354" s="42"/>
      <c r="AB24354" s="38"/>
    </row>
    <row r="24355">
      <c r="P24355" s="42"/>
      <c r="AB24355" s="38"/>
    </row>
    <row r="24356">
      <c r="P24356" s="42"/>
      <c r="AB24356" s="38"/>
    </row>
    <row r="24357">
      <c r="P24357" s="42"/>
      <c r="AB24357" s="38"/>
    </row>
    <row r="24358">
      <c r="P24358" s="42"/>
      <c r="AB24358" s="38"/>
    </row>
    <row r="24359">
      <c r="P24359" s="42"/>
      <c r="AB24359" s="38"/>
    </row>
    <row r="24360">
      <c r="P24360" s="42"/>
      <c r="AB24360" s="38"/>
    </row>
    <row r="24361">
      <c r="P24361" s="42"/>
      <c r="AB24361" s="38"/>
    </row>
    <row r="24362">
      <c r="P24362" s="42"/>
      <c r="AB24362" s="38"/>
    </row>
    <row r="24363">
      <c r="P24363" s="42"/>
      <c r="AB24363" s="38"/>
    </row>
    <row r="24364">
      <c r="P24364" s="42"/>
      <c r="AB24364" s="38"/>
    </row>
    <row r="24365">
      <c r="P24365" s="42"/>
      <c r="AB24365" s="38"/>
    </row>
    <row r="24366">
      <c r="P24366" s="42"/>
      <c r="AB24366" s="38"/>
    </row>
    <row r="24367">
      <c r="P24367" s="42"/>
      <c r="AB24367" s="38"/>
    </row>
    <row r="24368">
      <c r="P24368" s="42"/>
      <c r="AB24368" s="38"/>
    </row>
    <row r="24369">
      <c r="P24369" s="42"/>
      <c r="AB24369" s="38"/>
    </row>
    <row r="24370">
      <c r="P24370" s="42"/>
      <c r="AB24370" s="38"/>
    </row>
    <row r="24371">
      <c r="P24371" s="42"/>
      <c r="AB24371" s="38"/>
    </row>
    <row r="24372">
      <c r="P24372" s="42"/>
      <c r="AB24372" s="38"/>
    </row>
    <row r="24373">
      <c r="P24373" s="42"/>
      <c r="AB24373" s="38"/>
    </row>
    <row r="24374">
      <c r="P24374" s="42"/>
      <c r="AB24374" s="38"/>
    </row>
    <row r="24375">
      <c r="P24375" s="42"/>
      <c r="AB24375" s="38"/>
    </row>
    <row r="24376">
      <c r="P24376" s="42"/>
      <c r="AB24376" s="38"/>
    </row>
    <row r="24377">
      <c r="P24377" s="42"/>
      <c r="AB24377" s="38"/>
    </row>
    <row r="24378">
      <c r="P24378" s="42"/>
      <c r="AB24378" s="38"/>
    </row>
    <row r="24379">
      <c r="P24379" s="42"/>
      <c r="AB24379" s="38"/>
    </row>
    <row r="24380">
      <c r="P24380" s="42"/>
      <c r="AB24380" s="38"/>
    </row>
    <row r="24381">
      <c r="P24381" s="42"/>
      <c r="AB24381" s="38"/>
    </row>
    <row r="24382">
      <c r="P24382" s="42"/>
      <c r="AB24382" s="38"/>
    </row>
    <row r="24383">
      <c r="P24383" s="42"/>
      <c r="AB24383" s="38"/>
    </row>
    <row r="24384">
      <c r="P24384" s="42"/>
      <c r="AB24384" s="38"/>
    </row>
    <row r="24385">
      <c r="P24385" s="42"/>
      <c r="AB24385" s="38"/>
    </row>
    <row r="24386">
      <c r="P24386" s="42"/>
      <c r="AB24386" s="38"/>
    </row>
    <row r="24387">
      <c r="P24387" s="42"/>
      <c r="AB24387" s="38"/>
    </row>
    <row r="24388">
      <c r="P24388" s="42"/>
      <c r="AB24388" s="38"/>
    </row>
    <row r="24389">
      <c r="P24389" s="42"/>
      <c r="AB24389" s="38"/>
    </row>
    <row r="24390">
      <c r="P24390" s="42"/>
      <c r="AB24390" s="38"/>
    </row>
    <row r="24391">
      <c r="P24391" s="42"/>
      <c r="AB24391" s="38"/>
    </row>
    <row r="24392">
      <c r="P24392" s="42"/>
      <c r="AB24392" s="38"/>
    </row>
    <row r="24393">
      <c r="P24393" s="42"/>
      <c r="AB24393" s="38"/>
    </row>
    <row r="24394">
      <c r="P24394" s="42"/>
      <c r="AB24394" s="38"/>
    </row>
    <row r="24395">
      <c r="P24395" s="42"/>
      <c r="AB24395" s="38"/>
    </row>
    <row r="24396">
      <c r="P24396" s="42"/>
      <c r="AB24396" s="38"/>
    </row>
    <row r="24397">
      <c r="P24397" s="42"/>
      <c r="AB24397" s="38"/>
    </row>
    <row r="24398">
      <c r="P24398" s="42"/>
      <c r="AB24398" s="38"/>
    </row>
    <row r="24399">
      <c r="P24399" s="42"/>
      <c r="AB24399" s="38"/>
    </row>
    <row r="24400">
      <c r="P24400" s="42"/>
      <c r="AB24400" s="38"/>
    </row>
    <row r="24401">
      <c r="P24401" s="42"/>
      <c r="AB24401" s="38"/>
    </row>
    <row r="24402">
      <c r="P24402" s="42"/>
      <c r="AB24402" s="38"/>
    </row>
    <row r="24403">
      <c r="P24403" s="42"/>
      <c r="AB24403" s="38"/>
    </row>
    <row r="24404">
      <c r="P24404" s="42"/>
      <c r="AB24404" s="38"/>
    </row>
    <row r="24405">
      <c r="P24405" s="42"/>
      <c r="AB24405" s="38"/>
    </row>
    <row r="24406">
      <c r="P24406" s="42"/>
      <c r="AB24406" s="38"/>
    </row>
    <row r="24407">
      <c r="P24407" s="42"/>
      <c r="AB24407" s="38"/>
    </row>
    <row r="24408">
      <c r="P24408" s="42"/>
      <c r="AB24408" s="38"/>
    </row>
    <row r="24409">
      <c r="P24409" s="42"/>
      <c r="AB24409" s="38"/>
    </row>
    <row r="24410">
      <c r="P24410" s="42"/>
      <c r="AB24410" s="38"/>
    </row>
    <row r="24411">
      <c r="P24411" s="42"/>
      <c r="AB24411" s="38"/>
    </row>
    <row r="24412">
      <c r="P24412" s="42"/>
      <c r="AB24412" s="38"/>
    </row>
    <row r="24413">
      <c r="P24413" s="42"/>
      <c r="AB24413" s="38"/>
    </row>
    <row r="24414">
      <c r="P24414" s="42"/>
      <c r="AB24414" s="38"/>
    </row>
    <row r="24415">
      <c r="P24415" s="42"/>
      <c r="AB24415" s="38"/>
    </row>
    <row r="24416">
      <c r="P24416" s="42"/>
      <c r="AB24416" s="38"/>
    </row>
    <row r="24417">
      <c r="P24417" s="42"/>
      <c r="AB24417" s="38"/>
    </row>
    <row r="24418">
      <c r="P24418" s="42"/>
      <c r="AB24418" s="38"/>
    </row>
    <row r="24419">
      <c r="P24419" s="42"/>
      <c r="AB24419" s="38"/>
    </row>
    <row r="24420">
      <c r="P24420" s="42"/>
      <c r="AB24420" s="38"/>
    </row>
    <row r="24421">
      <c r="P24421" s="42"/>
      <c r="AB24421" s="38"/>
    </row>
    <row r="24422">
      <c r="P24422" s="42"/>
      <c r="AB24422" s="38"/>
    </row>
    <row r="24423">
      <c r="P24423" s="42"/>
      <c r="AB24423" s="38"/>
    </row>
    <row r="24424">
      <c r="P24424" s="42"/>
      <c r="AB24424" s="38"/>
    </row>
    <row r="24425">
      <c r="P24425" s="42"/>
      <c r="AB24425" s="38"/>
    </row>
    <row r="24426">
      <c r="P24426" s="42"/>
      <c r="AB24426" s="38"/>
    </row>
    <row r="24427">
      <c r="P24427" s="42"/>
      <c r="AB24427" s="38"/>
    </row>
    <row r="24428">
      <c r="P24428" s="42"/>
      <c r="AB24428" s="38"/>
    </row>
    <row r="24429">
      <c r="P24429" s="42"/>
      <c r="AB24429" s="38"/>
    </row>
    <row r="24430">
      <c r="P24430" s="42"/>
      <c r="AB24430" s="38"/>
    </row>
    <row r="24431">
      <c r="P24431" s="42"/>
      <c r="AB24431" s="38"/>
    </row>
    <row r="24432">
      <c r="P24432" s="42"/>
      <c r="AB24432" s="38"/>
    </row>
    <row r="24433">
      <c r="P24433" s="42"/>
      <c r="AB24433" s="38"/>
    </row>
    <row r="24434">
      <c r="P24434" s="42"/>
      <c r="AB24434" s="38"/>
    </row>
    <row r="24435">
      <c r="P24435" s="42"/>
      <c r="AB24435" s="38"/>
    </row>
    <row r="24436">
      <c r="P24436" s="42"/>
      <c r="AB24436" s="38"/>
    </row>
    <row r="24437">
      <c r="P24437" s="42"/>
      <c r="AB24437" s="38"/>
    </row>
    <row r="24438">
      <c r="P24438" s="42"/>
      <c r="AB24438" s="38"/>
    </row>
    <row r="24439">
      <c r="P24439" s="42"/>
      <c r="AB24439" s="38"/>
    </row>
    <row r="24440">
      <c r="P24440" s="42"/>
      <c r="AB24440" s="38"/>
    </row>
    <row r="24441">
      <c r="P24441" s="42"/>
      <c r="AB24441" s="38"/>
    </row>
    <row r="24442">
      <c r="P24442" s="42"/>
      <c r="AB24442" s="38"/>
    </row>
    <row r="24443">
      <c r="P24443" s="42"/>
      <c r="AB24443" s="38"/>
    </row>
    <row r="24444">
      <c r="P24444" s="42"/>
      <c r="AB24444" s="38"/>
    </row>
    <row r="24445">
      <c r="P24445" s="42"/>
      <c r="AB24445" s="38"/>
    </row>
    <row r="24446">
      <c r="P24446" s="42"/>
      <c r="AB24446" s="38"/>
    </row>
    <row r="24447">
      <c r="P24447" s="42"/>
      <c r="AB24447" s="38"/>
    </row>
    <row r="24448">
      <c r="P24448" s="42"/>
      <c r="AB24448" s="38"/>
    </row>
    <row r="24449">
      <c r="P24449" s="42"/>
      <c r="AB24449" s="38"/>
    </row>
    <row r="24450">
      <c r="P24450" s="42"/>
      <c r="AB24450" s="38"/>
    </row>
    <row r="24451">
      <c r="P24451" s="42"/>
      <c r="AB24451" s="38"/>
    </row>
    <row r="24452">
      <c r="P24452" s="42"/>
      <c r="AB24452" s="38"/>
    </row>
    <row r="24453">
      <c r="P24453" s="42"/>
      <c r="AB24453" s="38"/>
    </row>
    <row r="24454">
      <c r="P24454" s="42"/>
      <c r="AB24454" s="38"/>
    </row>
    <row r="24455">
      <c r="P24455" s="42"/>
      <c r="AB24455" s="38"/>
    </row>
    <row r="24456">
      <c r="P24456" s="42"/>
      <c r="AB24456" s="38"/>
    </row>
    <row r="24457">
      <c r="P24457" s="42"/>
      <c r="AB24457" s="38"/>
    </row>
    <row r="24458">
      <c r="P24458" s="42"/>
      <c r="AB24458" s="38"/>
    </row>
    <row r="24459">
      <c r="P24459" s="42"/>
      <c r="AB24459" s="38"/>
    </row>
    <row r="24460">
      <c r="P24460" s="42"/>
      <c r="AB24460" s="38"/>
    </row>
    <row r="24461">
      <c r="P24461" s="42"/>
      <c r="AB24461" s="38"/>
    </row>
    <row r="24462">
      <c r="P24462" s="42"/>
      <c r="AB24462" s="38"/>
    </row>
    <row r="24463">
      <c r="P24463" s="42"/>
      <c r="AB24463" s="38"/>
    </row>
    <row r="24464">
      <c r="P24464" s="42"/>
      <c r="AB24464" s="38"/>
    </row>
    <row r="24465">
      <c r="P24465" s="42"/>
      <c r="AB24465" s="38"/>
    </row>
    <row r="24466">
      <c r="P24466" s="42"/>
      <c r="AB24466" s="38"/>
    </row>
    <row r="24467">
      <c r="P24467" s="42"/>
      <c r="AB24467" s="38"/>
    </row>
    <row r="24468">
      <c r="P24468" s="42"/>
      <c r="AB24468" s="38"/>
    </row>
    <row r="24469">
      <c r="P24469" s="42"/>
      <c r="AB24469" s="38"/>
    </row>
    <row r="24470">
      <c r="P24470" s="42"/>
      <c r="AB24470" s="38"/>
    </row>
    <row r="24471">
      <c r="P24471" s="42"/>
      <c r="AB24471" s="38"/>
    </row>
    <row r="24472">
      <c r="P24472" s="42"/>
      <c r="AB24472" s="38"/>
    </row>
    <row r="24473">
      <c r="P24473" s="42"/>
      <c r="AB24473" s="38"/>
    </row>
    <row r="24474">
      <c r="P24474" s="42"/>
      <c r="AB24474" s="38"/>
    </row>
    <row r="24475">
      <c r="P24475" s="42"/>
      <c r="AB24475" s="38"/>
    </row>
    <row r="24476">
      <c r="P24476" s="42"/>
      <c r="AB24476" s="38"/>
    </row>
    <row r="24477">
      <c r="P24477" s="42"/>
      <c r="AB24477" s="38"/>
    </row>
    <row r="24478">
      <c r="P24478" s="42"/>
      <c r="AB24478" s="38"/>
    </row>
    <row r="24479">
      <c r="P24479" s="42"/>
      <c r="AB24479" s="38"/>
    </row>
    <row r="24480">
      <c r="P24480" s="42"/>
      <c r="AB24480" s="38"/>
    </row>
    <row r="24481">
      <c r="P24481" s="42"/>
      <c r="AB24481" s="38"/>
    </row>
    <row r="24482">
      <c r="P24482" s="42"/>
      <c r="AB24482" s="38"/>
    </row>
    <row r="24483">
      <c r="P24483" s="42"/>
      <c r="AB24483" s="38"/>
    </row>
    <row r="24484">
      <c r="P24484" s="42"/>
      <c r="AB24484" s="38"/>
    </row>
    <row r="24485">
      <c r="P24485" s="42"/>
      <c r="AB24485" s="38"/>
    </row>
    <row r="24486">
      <c r="P24486" s="42"/>
      <c r="AB24486" s="38"/>
    </row>
    <row r="24487">
      <c r="P24487" s="42"/>
      <c r="AB24487" s="38"/>
    </row>
    <row r="24488">
      <c r="P24488" s="42"/>
      <c r="AB24488" s="38"/>
    </row>
    <row r="24489">
      <c r="P24489" s="42"/>
      <c r="AB24489" s="38"/>
    </row>
    <row r="24490">
      <c r="P24490" s="42"/>
      <c r="AB24490" s="38"/>
    </row>
    <row r="24491">
      <c r="P24491" s="42"/>
      <c r="AB24491" s="38"/>
    </row>
    <row r="24492">
      <c r="P24492" s="42"/>
      <c r="AB24492" s="38"/>
    </row>
    <row r="24493">
      <c r="P24493" s="42"/>
      <c r="AB24493" s="38"/>
    </row>
    <row r="24494">
      <c r="P24494" s="42"/>
      <c r="AB24494" s="38"/>
    </row>
    <row r="24495">
      <c r="P24495" s="42"/>
      <c r="AB24495" s="38"/>
    </row>
    <row r="24496">
      <c r="P24496" s="42"/>
      <c r="AB24496" s="38"/>
    </row>
    <row r="24497">
      <c r="P24497" s="42"/>
      <c r="AB24497" s="38"/>
    </row>
    <row r="24498">
      <c r="P24498" s="42"/>
      <c r="AB24498" s="38"/>
    </row>
    <row r="24499">
      <c r="P24499" s="42"/>
      <c r="AB24499" s="38"/>
    </row>
    <row r="24500">
      <c r="P24500" s="42"/>
      <c r="AB24500" s="38"/>
    </row>
    <row r="24501">
      <c r="P24501" s="42"/>
      <c r="AB24501" s="38"/>
    </row>
    <row r="24502">
      <c r="P24502" s="42"/>
      <c r="AB24502" s="38"/>
    </row>
    <row r="24503">
      <c r="P24503" s="42"/>
      <c r="AB24503" s="38"/>
    </row>
    <row r="24504">
      <c r="P24504" s="42"/>
      <c r="AB24504" s="38"/>
    </row>
    <row r="24505">
      <c r="P24505" s="42"/>
      <c r="AB24505" s="38"/>
    </row>
    <row r="24506">
      <c r="P24506" s="42"/>
      <c r="AB24506" s="38"/>
    </row>
    <row r="24507">
      <c r="P24507" s="42"/>
      <c r="AB24507" s="38"/>
    </row>
    <row r="24508">
      <c r="P24508" s="42"/>
      <c r="AB24508" s="38"/>
    </row>
    <row r="24509">
      <c r="P24509" s="42"/>
      <c r="AB24509" s="38"/>
    </row>
    <row r="24510">
      <c r="P24510" s="42"/>
      <c r="AB24510" s="38"/>
    </row>
    <row r="24511">
      <c r="P24511" s="42"/>
      <c r="AB24511" s="38"/>
    </row>
    <row r="24512">
      <c r="P24512" s="42"/>
      <c r="AB24512" s="38"/>
    </row>
    <row r="24513">
      <c r="P24513" s="42"/>
      <c r="AB24513" s="38"/>
    </row>
    <row r="24514">
      <c r="P24514" s="42"/>
      <c r="AB24514" s="38"/>
    </row>
    <row r="24515">
      <c r="P24515" s="42"/>
      <c r="AB24515" s="38"/>
    </row>
    <row r="24516">
      <c r="P24516" s="42"/>
      <c r="AB24516" s="38"/>
    </row>
    <row r="24517">
      <c r="P24517" s="42"/>
      <c r="AB24517" s="38"/>
    </row>
    <row r="24518">
      <c r="P24518" s="42"/>
      <c r="AB24518" s="38"/>
    </row>
    <row r="24519">
      <c r="P24519" s="42"/>
      <c r="AB24519" s="38"/>
    </row>
    <row r="24520">
      <c r="P24520" s="42"/>
      <c r="AB24520" s="38"/>
    </row>
    <row r="24521">
      <c r="P24521" s="42"/>
      <c r="AB24521" s="38"/>
    </row>
    <row r="24522">
      <c r="P24522" s="42"/>
      <c r="AB24522" s="38"/>
    </row>
    <row r="24523">
      <c r="P24523" s="42"/>
      <c r="AB24523" s="38"/>
    </row>
    <row r="24524">
      <c r="P24524" s="42"/>
      <c r="AB24524" s="38"/>
    </row>
    <row r="24525">
      <c r="P24525" s="42"/>
      <c r="AB24525" s="38"/>
    </row>
    <row r="24526">
      <c r="P24526" s="42"/>
      <c r="AB24526" s="38"/>
    </row>
    <row r="24527">
      <c r="P24527" s="42"/>
      <c r="AB24527" s="38"/>
    </row>
    <row r="24528">
      <c r="P24528" s="42"/>
      <c r="AB24528" s="38"/>
    </row>
    <row r="24529">
      <c r="P24529" s="42"/>
      <c r="AB24529" s="38"/>
    </row>
    <row r="24530">
      <c r="P24530" s="42"/>
      <c r="AB24530" s="38"/>
    </row>
    <row r="24531">
      <c r="P24531" s="42"/>
      <c r="AB24531" s="38"/>
    </row>
    <row r="24532">
      <c r="P24532" s="42"/>
      <c r="AB24532" s="38"/>
    </row>
    <row r="24533">
      <c r="P24533" s="42"/>
      <c r="AB24533" s="38"/>
    </row>
    <row r="24534">
      <c r="P24534" s="42"/>
      <c r="AB24534" s="38"/>
    </row>
    <row r="24535">
      <c r="P24535" s="42"/>
      <c r="AB24535" s="38"/>
    </row>
    <row r="24536">
      <c r="P24536" s="42"/>
      <c r="AB24536" s="38"/>
    </row>
    <row r="24537">
      <c r="P24537" s="42"/>
      <c r="AB24537" s="38"/>
    </row>
    <row r="24538">
      <c r="P24538" s="42"/>
      <c r="AB24538" s="38"/>
    </row>
    <row r="24539">
      <c r="P24539" s="42"/>
      <c r="AB24539" s="38"/>
    </row>
    <row r="24540">
      <c r="P24540" s="42"/>
      <c r="AB24540" s="38"/>
    </row>
    <row r="24541">
      <c r="P24541" s="42"/>
      <c r="AB24541" s="38"/>
    </row>
    <row r="24542">
      <c r="P24542" s="42"/>
      <c r="AB24542" s="38"/>
    </row>
    <row r="24543">
      <c r="P24543" s="42"/>
      <c r="AB24543" s="38"/>
    </row>
    <row r="24544">
      <c r="P24544" s="42"/>
      <c r="AB24544" s="38"/>
    </row>
    <row r="24545">
      <c r="P24545" s="42"/>
      <c r="AB24545" s="38"/>
    </row>
    <row r="24546">
      <c r="P24546" s="42"/>
      <c r="AB24546" s="38"/>
    </row>
    <row r="24547">
      <c r="P24547" s="42"/>
      <c r="AB24547" s="38"/>
    </row>
    <row r="24548">
      <c r="P24548" s="42"/>
      <c r="AB24548" s="38"/>
    </row>
    <row r="24549">
      <c r="P24549" s="42"/>
      <c r="AB24549" s="38"/>
    </row>
    <row r="24550">
      <c r="P24550" s="42"/>
      <c r="AB24550" s="38"/>
    </row>
    <row r="24551">
      <c r="P24551" s="42"/>
      <c r="AB24551" s="38"/>
    </row>
    <row r="24552">
      <c r="P24552" s="42"/>
      <c r="AB24552" s="38"/>
    </row>
    <row r="24553">
      <c r="P24553" s="42"/>
      <c r="AB24553" s="38"/>
    </row>
    <row r="24554">
      <c r="P24554" s="42"/>
      <c r="AB24554" s="38"/>
    </row>
    <row r="24555">
      <c r="P24555" s="42"/>
      <c r="AB24555" s="38"/>
    </row>
    <row r="24556">
      <c r="P24556" s="42"/>
      <c r="AB24556" s="38"/>
    </row>
    <row r="24557">
      <c r="P24557" s="42"/>
      <c r="AB24557" s="38"/>
    </row>
    <row r="24558">
      <c r="P24558" s="42"/>
      <c r="AB24558" s="38"/>
    </row>
    <row r="24559">
      <c r="P24559" s="42"/>
      <c r="AB24559" s="38"/>
    </row>
    <row r="24560">
      <c r="P24560" s="42"/>
      <c r="AB24560" s="38"/>
    </row>
    <row r="24561">
      <c r="P24561" s="42"/>
      <c r="AB24561" s="38"/>
    </row>
    <row r="24562">
      <c r="P24562" s="42"/>
      <c r="AB24562" s="38"/>
    </row>
    <row r="24563">
      <c r="P24563" s="42"/>
      <c r="AB24563" s="38"/>
    </row>
    <row r="24564">
      <c r="P24564" s="42"/>
      <c r="AB24564" s="38"/>
    </row>
    <row r="24565">
      <c r="P24565" s="42"/>
      <c r="AB24565" s="38"/>
    </row>
    <row r="24566">
      <c r="P24566" s="42"/>
      <c r="AB24566" s="38"/>
    </row>
    <row r="24567">
      <c r="P24567" s="42"/>
      <c r="AB24567" s="38"/>
    </row>
    <row r="24568">
      <c r="P24568" s="42"/>
      <c r="AB24568" s="38"/>
    </row>
    <row r="24569">
      <c r="P24569" s="42"/>
      <c r="AB24569" s="38"/>
    </row>
    <row r="24570">
      <c r="P24570" s="42"/>
      <c r="AB24570" s="38"/>
    </row>
    <row r="24571">
      <c r="P24571" s="42"/>
      <c r="AB24571" s="38"/>
    </row>
    <row r="24572">
      <c r="P24572" s="42"/>
      <c r="AB24572" s="38"/>
    </row>
    <row r="24573">
      <c r="P24573" s="42"/>
      <c r="AB24573" s="38"/>
    </row>
    <row r="24574">
      <c r="P24574" s="42"/>
      <c r="AB24574" s="38"/>
    </row>
    <row r="24575">
      <c r="P24575" s="42"/>
      <c r="AB24575" s="38"/>
    </row>
    <row r="24576">
      <c r="P24576" s="42"/>
      <c r="AB24576" s="38"/>
    </row>
    <row r="24577">
      <c r="P24577" s="42"/>
      <c r="AB24577" s="38"/>
    </row>
    <row r="24578">
      <c r="P24578" s="42"/>
      <c r="AB24578" s="38"/>
    </row>
    <row r="24579">
      <c r="P24579" s="42"/>
      <c r="AB24579" s="38"/>
    </row>
    <row r="24580">
      <c r="P24580" s="42"/>
      <c r="AB24580" s="38"/>
    </row>
    <row r="24581">
      <c r="P24581" s="42"/>
      <c r="AB24581" s="38"/>
    </row>
    <row r="24582">
      <c r="P24582" s="42"/>
      <c r="AB24582" s="38"/>
    </row>
    <row r="24583">
      <c r="P24583" s="42"/>
      <c r="AB24583" s="38"/>
    </row>
    <row r="24584">
      <c r="P24584" s="42"/>
      <c r="AB24584" s="38"/>
    </row>
    <row r="24585">
      <c r="P24585" s="42"/>
      <c r="AB24585" s="38"/>
    </row>
    <row r="24586">
      <c r="P24586" s="42"/>
      <c r="AB24586" s="38"/>
    </row>
    <row r="24587">
      <c r="P24587" s="42"/>
      <c r="AB24587" s="38"/>
    </row>
    <row r="24588">
      <c r="P24588" s="42"/>
      <c r="AB24588" s="38"/>
    </row>
    <row r="24589">
      <c r="P24589" s="42"/>
      <c r="AB24589" s="38"/>
    </row>
    <row r="24590">
      <c r="P24590" s="42"/>
      <c r="AB24590" s="38"/>
    </row>
    <row r="24591">
      <c r="P24591" s="42"/>
      <c r="AB24591" s="38"/>
    </row>
    <row r="24592">
      <c r="P24592" s="42"/>
      <c r="AB24592" s="38"/>
    </row>
    <row r="24593">
      <c r="P24593" s="42"/>
      <c r="AB24593" s="38"/>
    </row>
    <row r="24594">
      <c r="P24594" s="42"/>
      <c r="AB24594" s="38"/>
    </row>
    <row r="24595">
      <c r="P24595" s="42"/>
      <c r="AB24595" s="38"/>
    </row>
    <row r="24596">
      <c r="P24596" s="42"/>
      <c r="AB24596" s="38"/>
    </row>
    <row r="24597">
      <c r="P24597" s="42"/>
      <c r="AB24597" s="38"/>
    </row>
    <row r="24598">
      <c r="P24598" s="42"/>
      <c r="AB24598" s="38"/>
    </row>
    <row r="24599">
      <c r="P24599" s="42"/>
      <c r="AB24599" s="38"/>
    </row>
    <row r="24600">
      <c r="P24600" s="42"/>
      <c r="AB24600" s="38"/>
    </row>
    <row r="24601">
      <c r="P24601" s="42"/>
      <c r="AB24601" s="38"/>
    </row>
    <row r="24602">
      <c r="P24602" s="42"/>
      <c r="AB24602" s="38"/>
    </row>
    <row r="24603">
      <c r="P24603" s="42"/>
      <c r="AB24603" s="38"/>
    </row>
    <row r="24604">
      <c r="P24604" s="42"/>
      <c r="AB24604" s="38"/>
    </row>
    <row r="24605">
      <c r="P24605" s="42"/>
      <c r="AB24605" s="38"/>
    </row>
    <row r="24606">
      <c r="P24606" s="42"/>
      <c r="AB24606" s="38"/>
    </row>
    <row r="24607">
      <c r="P24607" s="42"/>
      <c r="AB24607" s="38"/>
    </row>
    <row r="24608">
      <c r="P24608" s="42"/>
      <c r="AB24608" s="38"/>
    </row>
    <row r="24609">
      <c r="P24609" s="42"/>
      <c r="AB24609" s="38"/>
    </row>
    <row r="24610">
      <c r="P24610" s="42"/>
      <c r="AB24610" s="38"/>
    </row>
    <row r="24611">
      <c r="P24611" s="42"/>
      <c r="AB24611" s="38"/>
    </row>
    <row r="24612">
      <c r="P24612" s="42"/>
      <c r="AB24612" s="38"/>
    </row>
    <row r="24613">
      <c r="P24613" s="42"/>
      <c r="AB24613" s="38"/>
    </row>
    <row r="24614">
      <c r="P24614" s="42"/>
      <c r="AB24614" s="38"/>
    </row>
    <row r="24615">
      <c r="P24615" s="42"/>
      <c r="AB24615" s="38"/>
    </row>
    <row r="24616">
      <c r="P24616" s="42"/>
      <c r="AB24616" s="38"/>
    </row>
    <row r="24617">
      <c r="P24617" s="42"/>
      <c r="AB24617" s="38"/>
    </row>
    <row r="24618">
      <c r="P24618" s="42"/>
      <c r="AB24618" s="38"/>
    </row>
    <row r="24619">
      <c r="P24619" s="42"/>
      <c r="AB24619" s="38"/>
    </row>
    <row r="24620">
      <c r="P24620" s="42"/>
      <c r="AB24620" s="38"/>
    </row>
    <row r="24621">
      <c r="P24621" s="42"/>
      <c r="AB24621" s="38"/>
    </row>
    <row r="24622">
      <c r="P24622" s="42"/>
      <c r="AB24622" s="38"/>
    </row>
    <row r="24623">
      <c r="P24623" s="42"/>
      <c r="AB24623" s="38"/>
    </row>
    <row r="24624">
      <c r="P24624" s="42"/>
      <c r="AB24624" s="38"/>
    </row>
    <row r="24625">
      <c r="P24625" s="42"/>
      <c r="AB24625" s="38"/>
    </row>
    <row r="24626">
      <c r="P24626" s="42"/>
      <c r="AB24626" s="38"/>
    </row>
    <row r="24627">
      <c r="P24627" s="42"/>
      <c r="AB24627" s="38"/>
    </row>
    <row r="24628">
      <c r="P24628" s="42"/>
      <c r="AB24628" s="38"/>
    </row>
    <row r="24629">
      <c r="P24629" s="42"/>
      <c r="AB24629" s="38"/>
    </row>
    <row r="24630">
      <c r="P24630" s="42"/>
      <c r="AB24630" s="38"/>
    </row>
    <row r="24631">
      <c r="P24631" s="42"/>
      <c r="AB24631" s="38"/>
    </row>
    <row r="24632">
      <c r="P24632" s="42"/>
      <c r="AB24632" s="38"/>
    </row>
    <row r="24633">
      <c r="P24633" s="42"/>
      <c r="AB24633" s="38"/>
    </row>
    <row r="24634">
      <c r="P24634" s="42"/>
      <c r="AB24634" s="38"/>
    </row>
    <row r="24635">
      <c r="P24635" s="42"/>
      <c r="AB24635" s="38"/>
    </row>
    <row r="24636">
      <c r="P24636" s="42"/>
      <c r="AB24636" s="38"/>
    </row>
    <row r="24637">
      <c r="P24637" s="42"/>
      <c r="AB24637" s="38"/>
    </row>
    <row r="24638">
      <c r="P24638" s="42"/>
      <c r="AB24638" s="38"/>
    </row>
    <row r="24639">
      <c r="P24639" s="42"/>
      <c r="AB24639" s="38"/>
    </row>
    <row r="24640">
      <c r="P24640" s="42"/>
      <c r="AB24640" s="38"/>
    </row>
    <row r="24641">
      <c r="P24641" s="42"/>
      <c r="AB24641" s="38"/>
    </row>
    <row r="24642">
      <c r="P24642" s="42"/>
      <c r="AB24642" s="38"/>
    </row>
    <row r="24643">
      <c r="P24643" s="42"/>
      <c r="AB24643" s="38"/>
    </row>
    <row r="24644">
      <c r="P24644" s="42"/>
      <c r="AB24644" s="38"/>
    </row>
    <row r="24645">
      <c r="P24645" s="42"/>
      <c r="AB24645" s="38"/>
    </row>
    <row r="24646">
      <c r="P24646" s="42"/>
      <c r="AB24646" s="38"/>
    </row>
    <row r="24647">
      <c r="P24647" s="42"/>
      <c r="AB24647" s="38"/>
    </row>
    <row r="24648">
      <c r="P24648" s="42"/>
      <c r="AB24648" s="38"/>
    </row>
    <row r="24649">
      <c r="P24649" s="42"/>
      <c r="AB24649" s="38"/>
    </row>
    <row r="24650">
      <c r="P24650" s="42"/>
      <c r="AB24650" s="38"/>
    </row>
    <row r="24651">
      <c r="P24651" s="42"/>
      <c r="AB24651" s="38"/>
    </row>
    <row r="24652">
      <c r="P24652" s="42"/>
      <c r="AB24652" s="38"/>
    </row>
    <row r="24653">
      <c r="P24653" s="42"/>
      <c r="AB24653" s="38"/>
    </row>
    <row r="24654">
      <c r="P24654" s="42"/>
      <c r="AB24654" s="38"/>
    </row>
    <row r="24655">
      <c r="P24655" s="42"/>
      <c r="AB24655" s="38"/>
    </row>
    <row r="24656">
      <c r="P24656" s="42"/>
      <c r="AB24656" s="38"/>
    </row>
    <row r="24657">
      <c r="P24657" s="42"/>
      <c r="AB24657" s="38"/>
    </row>
    <row r="24658">
      <c r="P24658" s="42"/>
      <c r="AB24658" s="38"/>
    </row>
    <row r="24659">
      <c r="P24659" s="42"/>
      <c r="AB24659" s="38"/>
    </row>
    <row r="24660">
      <c r="P24660" s="42"/>
      <c r="AB24660" s="38"/>
    </row>
    <row r="24661">
      <c r="P24661" s="42"/>
      <c r="AB24661" s="38"/>
    </row>
    <row r="24662">
      <c r="P24662" s="42"/>
      <c r="AB24662" s="38"/>
    </row>
    <row r="24663">
      <c r="P24663" s="42"/>
      <c r="AB24663" s="38"/>
    </row>
    <row r="24664">
      <c r="P24664" s="42"/>
      <c r="AB24664" s="38"/>
    </row>
    <row r="24665">
      <c r="P24665" s="42"/>
      <c r="AB24665" s="38"/>
    </row>
    <row r="24666">
      <c r="P24666" s="42"/>
      <c r="AB24666" s="38"/>
    </row>
    <row r="24667">
      <c r="P24667" s="42"/>
      <c r="AB24667" s="38"/>
    </row>
    <row r="24668">
      <c r="P24668" s="42"/>
      <c r="AB24668" s="38"/>
    </row>
    <row r="24669">
      <c r="P24669" s="42"/>
      <c r="AB24669" s="38"/>
    </row>
    <row r="24670">
      <c r="P24670" s="42"/>
      <c r="AB24670" s="38"/>
    </row>
    <row r="24671">
      <c r="P24671" s="42"/>
      <c r="AB24671" s="38"/>
    </row>
    <row r="24672">
      <c r="P24672" s="42"/>
      <c r="AB24672" s="38"/>
    </row>
    <row r="24673">
      <c r="P24673" s="42"/>
      <c r="AB24673" s="38"/>
    </row>
    <row r="24674">
      <c r="P24674" s="42"/>
      <c r="AB24674" s="38"/>
    </row>
    <row r="24675">
      <c r="P24675" s="42"/>
      <c r="AB24675" s="38"/>
    </row>
    <row r="24676">
      <c r="P24676" s="42"/>
      <c r="AB24676" s="38"/>
    </row>
    <row r="24677">
      <c r="P24677" s="42"/>
      <c r="AB24677" s="38"/>
    </row>
    <row r="24678">
      <c r="P24678" s="42"/>
      <c r="AB24678" s="38"/>
    </row>
    <row r="24679">
      <c r="P24679" s="42"/>
      <c r="AB24679" s="38"/>
    </row>
    <row r="24680">
      <c r="P24680" s="42"/>
      <c r="AB24680" s="38"/>
    </row>
    <row r="24681">
      <c r="P24681" s="42"/>
      <c r="AB24681" s="38"/>
    </row>
    <row r="24682">
      <c r="P24682" s="42"/>
      <c r="AB24682" s="38"/>
    </row>
    <row r="24683">
      <c r="P24683" s="42"/>
      <c r="AB24683" s="38"/>
    </row>
    <row r="24684">
      <c r="P24684" s="42"/>
      <c r="AB24684" s="38"/>
    </row>
    <row r="24685">
      <c r="P24685" s="42"/>
      <c r="AB24685" s="38"/>
    </row>
    <row r="24686">
      <c r="P24686" s="42"/>
      <c r="AB24686" s="38"/>
    </row>
    <row r="24687">
      <c r="P24687" s="42"/>
      <c r="AB24687" s="38"/>
    </row>
    <row r="24688">
      <c r="P24688" s="42"/>
      <c r="AB24688" s="38"/>
    </row>
    <row r="24689">
      <c r="P24689" s="42"/>
      <c r="AB24689" s="38"/>
    </row>
    <row r="24690">
      <c r="P24690" s="42"/>
      <c r="AB24690" s="38"/>
    </row>
    <row r="24691">
      <c r="P24691" s="42"/>
      <c r="AB24691" s="38"/>
    </row>
    <row r="24692">
      <c r="P24692" s="42"/>
      <c r="AB24692" s="38"/>
    </row>
    <row r="24693">
      <c r="P24693" s="42"/>
      <c r="AB24693" s="38"/>
    </row>
    <row r="24694">
      <c r="P24694" s="42"/>
      <c r="AB24694" s="38"/>
    </row>
    <row r="24695">
      <c r="P24695" s="42"/>
      <c r="AB24695" s="38"/>
    </row>
    <row r="24696">
      <c r="P24696" s="42"/>
      <c r="AB24696" s="38"/>
    </row>
    <row r="24697">
      <c r="P24697" s="42"/>
      <c r="AB24697" s="38"/>
    </row>
    <row r="24698">
      <c r="P24698" s="42"/>
      <c r="AB24698" s="38"/>
    </row>
    <row r="24699">
      <c r="P24699" s="42"/>
      <c r="AB24699" s="38"/>
    </row>
    <row r="24700">
      <c r="P24700" s="42"/>
      <c r="AB24700" s="38"/>
    </row>
    <row r="24701">
      <c r="P24701" s="42"/>
      <c r="AB24701" s="38"/>
    </row>
    <row r="24702">
      <c r="P24702" s="42"/>
      <c r="AB24702" s="38"/>
    </row>
    <row r="24703">
      <c r="P24703" s="42"/>
      <c r="AB24703" s="38"/>
    </row>
    <row r="24704">
      <c r="P24704" s="42"/>
      <c r="AB24704" s="38"/>
    </row>
    <row r="24705">
      <c r="P24705" s="42"/>
      <c r="AB24705" s="38"/>
    </row>
    <row r="24706">
      <c r="P24706" s="42"/>
      <c r="AB24706" s="38"/>
    </row>
    <row r="24707">
      <c r="P24707" s="42"/>
      <c r="AB24707" s="38"/>
    </row>
    <row r="24708">
      <c r="P24708" s="42"/>
      <c r="AB24708" s="38"/>
    </row>
    <row r="24709">
      <c r="P24709" s="42"/>
      <c r="AB24709" s="38"/>
    </row>
    <row r="24710">
      <c r="P24710" s="42"/>
      <c r="AB24710" s="38"/>
    </row>
    <row r="24711">
      <c r="P24711" s="42"/>
      <c r="AB24711" s="38"/>
    </row>
    <row r="24712">
      <c r="P24712" s="42"/>
      <c r="AB24712" s="38"/>
    </row>
    <row r="24713">
      <c r="P24713" s="42"/>
      <c r="AB24713" s="38"/>
    </row>
    <row r="24714">
      <c r="P24714" s="42"/>
      <c r="AB24714" s="38"/>
    </row>
    <row r="24715">
      <c r="P24715" s="42"/>
      <c r="AB24715" s="38"/>
    </row>
    <row r="24716">
      <c r="P24716" s="42"/>
      <c r="AB24716" s="38"/>
    </row>
    <row r="24717">
      <c r="P24717" s="42"/>
      <c r="AB24717" s="38"/>
    </row>
    <row r="24718">
      <c r="P24718" s="42"/>
      <c r="AB24718" s="38"/>
    </row>
    <row r="24719">
      <c r="P24719" s="42"/>
      <c r="AB24719" s="38"/>
    </row>
    <row r="24720">
      <c r="P24720" s="42"/>
      <c r="AB24720" s="38"/>
    </row>
    <row r="24721">
      <c r="P24721" s="42"/>
      <c r="AB24721" s="38"/>
    </row>
    <row r="24722">
      <c r="P24722" s="42"/>
      <c r="AB24722" s="38"/>
    </row>
    <row r="24723">
      <c r="P24723" s="42"/>
      <c r="AB24723" s="38"/>
    </row>
    <row r="24724">
      <c r="P24724" s="42"/>
      <c r="AB24724" s="38"/>
    </row>
    <row r="24725">
      <c r="P24725" s="42"/>
      <c r="AB24725" s="38"/>
    </row>
    <row r="24726">
      <c r="P24726" s="42"/>
      <c r="AB24726" s="38"/>
    </row>
    <row r="24727">
      <c r="P24727" s="42"/>
      <c r="AB24727" s="38"/>
    </row>
    <row r="24728">
      <c r="P24728" s="42"/>
      <c r="AB24728" s="38"/>
    </row>
    <row r="24729">
      <c r="P24729" s="42"/>
      <c r="AB24729" s="38"/>
    </row>
    <row r="24730">
      <c r="P24730" s="42"/>
      <c r="AB24730" s="38"/>
    </row>
    <row r="24731">
      <c r="P24731" s="42"/>
      <c r="AB24731" s="38"/>
    </row>
    <row r="24732">
      <c r="P24732" s="42"/>
      <c r="AB24732" s="38"/>
    </row>
    <row r="24733">
      <c r="P24733" s="42"/>
      <c r="AB24733" s="38"/>
    </row>
    <row r="24734">
      <c r="P24734" s="42"/>
      <c r="AB24734" s="38"/>
    </row>
    <row r="24735">
      <c r="P24735" s="42"/>
      <c r="AB24735" s="38"/>
    </row>
    <row r="24736">
      <c r="P24736" s="42"/>
      <c r="AB24736" s="38"/>
    </row>
    <row r="24737">
      <c r="P24737" s="42"/>
      <c r="AB24737" s="38"/>
    </row>
    <row r="24738">
      <c r="P24738" s="42"/>
      <c r="AB24738" s="38"/>
    </row>
    <row r="24739">
      <c r="P24739" s="42"/>
      <c r="AB24739" s="38"/>
    </row>
    <row r="24740">
      <c r="P24740" s="42"/>
      <c r="AB24740" s="38"/>
    </row>
    <row r="24741">
      <c r="P24741" s="42"/>
      <c r="AB24741" s="38"/>
    </row>
    <row r="24742">
      <c r="P24742" s="42"/>
      <c r="AB24742" s="38"/>
    </row>
    <row r="24743">
      <c r="P24743" s="42"/>
      <c r="AB24743" s="38"/>
    </row>
    <row r="24744">
      <c r="P24744" s="42"/>
      <c r="AB24744" s="38"/>
    </row>
    <row r="24745">
      <c r="P24745" s="42"/>
      <c r="AB24745" s="38"/>
    </row>
    <row r="24746">
      <c r="P24746" s="42"/>
      <c r="AB24746" s="38"/>
    </row>
    <row r="24747">
      <c r="P24747" s="42"/>
      <c r="AB24747" s="38"/>
    </row>
    <row r="24748">
      <c r="P24748" s="42"/>
      <c r="AB24748" s="38"/>
    </row>
    <row r="24749">
      <c r="P24749" s="42"/>
      <c r="AB24749" s="38"/>
    </row>
    <row r="24750">
      <c r="P24750" s="42"/>
      <c r="AB24750" s="38"/>
    </row>
    <row r="24751">
      <c r="P24751" s="42"/>
      <c r="AB24751" s="38"/>
    </row>
    <row r="24752">
      <c r="P24752" s="42"/>
      <c r="AB24752" s="38"/>
    </row>
    <row r="24753">
      <c r="P24753" s="42"/>
      <c r="AB24753" s="38"/>
    </row>
    <row r="24754">
      <c r="P24754" s="42"/>
      <c r="AB24754" s="38"/>
    </row>
    <row r="24755">
      <c r="P24755" s="42"/>
      <c r="AB24755" s="38"/>
    </row>
    <row r="24756">
      <c r="P24756" s="42"/>
      <c r="AB24756" s="38"/>
    </row>
    <row r="24757">
      <c r="P24757" s="42"/>
      <c r="AB24757" s="38"/>
    </row>
    <row r="24758">
      <c r="P24758" s="42"/>
      <c r="AB24758" s="38"/>
    </row>
    <row r="24759">
      <c r="P24759" s="42"/>
      <c r="AB24759" s="38"/>
    </row>
    <row r="24760">
      <c r="P24760" s="42"/>
      <c r="AB24760" s="38"/>
    </row>
    <row r="24761">
      <c r="P24761" s="42"/>
      <c r="AB24761" s="38"/>
    </row>
    <row r="24762">
      <c r="P24762" s="42"/>
      <c r="AB24762" s="38"/>
    </row>
    <row r="24763">
      <c r="P24763" s="42"/>
      <c r="AB24763" s="38"/>
    </row>
    <row r="24764">
      <c r="P24764" s="42"/>
      <c r="AB24764" s="38"/>
    </row>
    <row r="24765">
      <c r="P24765" s="42"/>
      <c r="AB24765" s="38"/>
    </row>
    <row r="24766">
      <c r="P24766" s="42"/>
      <c r="AB24766" s="38"/>
    </row>
    <row r="24767">
      <c r="P24767" s="42"/>
      <c r="AB24767" s="38"/>
    </row>
    <row r="24768">
      <c r="P24768" s="42"/>
      <c r="AB24768" s="38"/>
    </row>
    <row r="24769">
      <c r="P24769" s="42"/>
      <c r="AB24769" s="38"/>
    </row>
    <row r="24770">
      <c r="P24770" s="42"/>
      <c r="AB24770" s="38"/>
    </row>
    <row r="24771">
      <c r="P24771" s="42"/>
      <c r="AB24771" s="38"/>
    </row>
    <row r="24772">
      <c r="P24772" s="42"/>
      <c r="AB24772" s="38"/>
    </row>
    <row r="24773">
      <c r="P24773" s="42"/>
      <c r="AB24773" s="38"/>
    </row>
    <row r="24774">
      <c r="P24774" s="42"/>
      <c r="AB24774" s="38"/>
    </row>
    <row r="24775">
      <c r="P24775" s="42"/>
      <c r="AB24775" s="38"/>
    </row>
    <row r="24776">
      <c r="P24776" s="42"/>
      <c r="AB24776" s="38"/>
    </row>
    <row r="24777">
      <c r="P24777" s="42"/>
      <c r="AB24777" s="38"/>
    </row>
    <row r="24778">
      <c r="P24778" s="42"/>
      <c r="AB24778" s="38"/>
    </row>
    <row r="24779">
      <c r="P24779" s="42"/>
      <c r="AB24779" s="38"/>
    </row>
    <row r="24780">
      <c r="P24780" s="42"/>
      <c r="AB24780" s="38"/>
    </row>
    <row r="24781">
      <c r="P24781" s="42"/>
      <c r="AB24781" s="38"/>
    </row>
    <row r="24782">
      <c r="P24782" s="42"/>
      <c r="AB24782" s="38"/>
    </row>
    <row r="24783">
      <c r="P24783" s="42"/>
      <c r="AB24783" s="38"/>
    </row>
    <row r="24784">
      <c r="P24784" s="42"/>
      <c r="AB24784" s="38"/>
    </row>
    <row r="24785">
      <c r="P24785" s="42"/>
      <c r="AB24785" s="38"/>
    </row>
    <row r="24786">
      <c r="P24786" s="42"/>
      <c r="AB24786" s="38"/>
    </row>
    <row r="24787">
      <c r="P24787" s="42"/>
      <c r="AB24787" s="38"/>
    </row>
    <row r="24788">
      <c r="P24788" s="42"/>
      <c r="AB24788" s="38"/>
    </row>
    <row r="24789">
      <c r="P24789" s="42"/>
      <c r="AB24789" s="38"/>
    </row>
    <row r="24790">
      <c r="P24790" s="42"/>
      <c r="AB24790" s="38"/>
    </row>
    <row r="24791">
      <c r="P24791" s="42"/>
      <c r="AB24791" s="38"/>
    </row>
    <row r="24792">
      <c r="P24792" s="42"/>
      <c r="AB24792" s="38"/>
    </row>
    <row r="24793">
      <c r="P24793" s="42"/>
      <c r="AB24793" s="38"/>
    </row>
    <row r="24794">
      <c r="P24794" s="42"/>
      <c r="AB24794" s="38"/>
    </row>
    <row r="24795">
      <c r="P24795" s="42"/>
      <c r="AB24795" s="38"/>
    </row>
    <row r="24796">
      <c r="P24796" s="42"/>
      <c r="AB24796" s="38"/>
    </row>
    <row r="24797">
      <c r="P24797" s="42"/>
      <c r="AB24797" s="38"/>
    </row>
    <row r="24798">
      <c r="P24798" s="42"/>
      <c r="AB24798" s="38"/>
    </row>
    <row r="24799">
      <c r="P24799" s="42"/>
      <c r="AB24799" s="38"/>
    </row>
    <row r="24800">
      <c r="P24800" s="42"/>
      <c r="AB24800" s="38"/>
    </row>
    <row r="24801">
      <c r="P24801" s="42"/>
      <c r="AB24801" s="38"/>
    </row>
    <row r="24802">
      <c r="P24802" s="42"/>
      <c r="AB24802" s="38"/>
    </row>
    <row r="24803">
      <c r="P24803" s="42"/>
      <c r="AB24803" s="38"/>
    </row>
    <row r="24804">
      <c r="P24804" s="42"/>
      <c r="AB24804" s="38"/>
    </row>
    <row r="24805">
      <c r="P24805" s="42"/>
      <c r="AB24805" s="38"/>
    </row>
    <row r="24806">
      <c r="P24806" s="42"/>
      <c r="AB24806" s="38"/>
    </row>
    <row r="24807">
      <c r="P24807" s="42"/>
      <c r="AB24807" s="38"/>
    </row>
    <row r="24808">
      <c r="P24808" s="42"/>
      <c r="AB24808" s="38"/>
    </row>
    <row r="24809">
      <c r="P24809" s="42"/>
      <c r="AB24809" s="38"/>
    </row>
    <row r="24810">
      <c r="P24810" s="42"/>
      <c r="AB24810" s="38"/>
    </row>
    <row r="24811">
      <c r="P24811" s="42"/>
      <c r="AB24811" s="38"/>
    </row>
    <row r="24812">
      <c r="P24812" s="42"/>
      <c r="AB24812" s="38"/>
    </row>
    <row r="24813">
      <c r="P24813" s="42"/>
      <c r="AB24813" s="38"/>
    </row>
    <row r="24814">
      <c r="P24814" s="42"/>
      <c r="AB24814" s="38"/>
    </row>
    <row r="24815">
      <c r="P24815" s="42"/>
      <c r="AB24815" s="38"/>
    </row>
    <row r="24816">
      <c r="P24816" s="42"/>
      <c r="AB24816" s="38"/>
    </row>
    <row r="24817">
      <c r="P24817" s="42"/>
      <c r="AB24817" s="38"/>
    </row>
    <row r="24818">
      <c r="P24818" s="42"/>
      <c r="AB24818" s="38"/>
    </row>
    <row r="24819">
      <c r="P24819" s="42"/>
      <c r="AB24819" s="38"/>
    </row>
    <row r="24820">
      <c r="P24820" s="42"/>
      <c r="AB24820" s="38"/>
    </row>
    <row r="24821">
      <c r="P24821" s="42"/>
      <c r="AB24821" s="38"/>
    </row>
    <row r="24822">
      <c r="P24822" s="42"/>
      <c r="AB24822" s="38"/>
    </row>
    <row r="24823">
      <c r="P24823" s="42"/>
      <c r="AB24823" s="38"/>
    </row>
    <row r="24824">
      <c r="P24824" s="42"/>
      <c r="AB24824" s="38"/>
    </row>
    <row r="24825">
      <c r="P24825" s="42"/>
      <c r="AB24825" s="38"/>
    </row>
    <row r="24826">
      <c r="P24826" s="42"/>
      <c r="AB24826" s="38"/>
    </row>
    <row r="24827">
      <c r="P24827" s="42"/>
      <c r="AB24827" s="38"/>
    </row>
    <row r="24828">
      <c r="P24828" s="42"/>
      <c r="AB24828" s="38"/>
    </row>
    <row r="24829">
      <c r="P24829" s="42"/>
      <c r="AB24829" s="38"/>
    </row>
    <row r="24830">
      <c r="P24830" s="42"/>
      <c r="AB24830" s="38"/>
    </row>
    <row r="24831">
      <c r="P24831" s="42"/>
      <c r="AB24831" s="38"/>
    </row>
    <row r="24832">
      <c r="P24832" s="42"/>
      <c r="AB24832" s="38"/>
    </row>
    <row r="24833">
      <c r="P24833" s="42"/>
      <c r="AB24833" s="38"/>
    </row>
    <row r="24834">
      <c r="P24834" s="42"/>
      <c r="AB24834" s="38"/>
    </row>
    <row r="24835">
      <c r="P24835" s="42"/>
      <c r="AB24835" s="38"/>
    </row>
    <row r="24836">
      <c r="P24836" s="42"/>
      <c r="AB24836" s="38"/>
    </row>
    <row r="24837">
      <c r="P24837" s="42"/>
      <c r="AB24837" s="38"/>
    </row>
    <row r="24838">
      <c r="P24838" s="42"/>
      <c r="AB24838" s="38"/>
    </row>
    <row r="24839">
      <c r="P24839" s="42"/>
      <c r="AB24839" s="38"/>
    </row>
    <row r="24840">
      <c r="P24840" s="42"/>
      <c r="AB24840" s="38"/>
    </row>
    <row r="24841">
      <c r="P24841" s="42"/>
      <c r="AB24841" s="38"/>
    </row>
    <row r="24842">
      <c r="P24842" s="42"/>
      <c r="AB24842" s="38"/>
    </row>
    <row r="24843">
      <c r="P24843" s="42"/>
      <c r="AB24843" s="38"/>
    </row>
    <row r="24844">
      <c r="P24844" s="42"/>
      <c r="AB24844" s="38"/>
    </row>
    <row r="24845">
      <c r="P24845" s="42"/>
      <c r="AB24845" s="38"/>
    </row>
    <row r="24846">
      <c r="P24846" s="42"/>
      <c r="AB24846" s="38"/>
    </row>
    <row r="24847">
      <c r="P24847" s="42"/>
      <c r="AB24847" s="38"/>
    </row>
    <row r="24848">
      <c r="P24848" s="42"/>
      <c r="AB24848" s="38"/>
    </row>
    <row r="24849">
      <c r="P24849" s="42"/>
      <c r="AB24849" s="38"/>
    </row>
    <row r="24850">
      <c r="P24850" s="42"/>
      <c r="AB24850" s="38"/>
    </row>
    <row r="24851">
      <c r="P24851" s="42"/>
      <c r="AB24851" s="38"/>
    </row>
    <row r="24852">
      <c r="P24852" s="42"/>
      <c r="AB24852" s="38"/>
    </row>
    <row r="24853">
      <c r="P24853" s="42"/>
      <c r="AB24853" s="38"/>
    </row>
    <row r="24854">
      <c r="P24854" s="42"/>
      <c r="AB24854" s="38"/>
    </row>
    <row r="24855">
      <c r="P24855" s="42"/>
      <c r="AB24855" s="38"/>
    </row>
    <row r="24856">
      <c r="P24856" s="42"/>
      <c r="AB24856" s="38"/>
    </row>
    <row r="24857">
      <c r="P24857" s="42"/>
      <c r="AB24857" s="38"/>
    </row>
    <row r="24858">
      <c r="P24858" s="42"/>
      <c r="AB24858" s="38"/>
    </row>
    <row r="24859">
      <c r="P24859" s="42"/>
      <c r="AB24859" s="38"/>
    </row>
    <row r="24860">
      <c r="P24860" s="42"/>
      <c r="AB24860" s="38"/>
    </row>
    <row r="24861">
      <c r="P24861" s="42"/>
      <c r="AB24861" s="38"/>
    </row>
    <row r="24862">
      <c r="P24862" s="42"/>
      <c r="AB24862" s="38"/>
    </row>
    <row r="24863">
      <c r="P24863" s="42"/>
      <c r="AB24863" s="38"/>
    </row>
    <row r="24864">
      <c r="P24864" s="42"/>
      <c r="AB24864" s="38"/>
    </row>
    <row r="24865">
      <c r="P24865" s="42"/>
      <c r="AB24865" s="38"/>
    </row>
    <row r="24866">
      <c r="P24866" s="42"/>
      <c r="AB24866" s="38"/>
    </row>
    <row r="24867">
      <c r="P24867" s="42"/>
      <c r="AB24867" s="38"/>
    </row>
    <row r="24868">
      <c r="P24868" s="42"/>
      <c r="AB24868" s="38"/>
    </row>
    <row r="24869">
      <c r="P24869" s="42"/>
      <c r="AB24869" s="38"/>
    </row>
    <row r="24870">
      <c r="P24870" s="42"/>
      <c r="AB24870" s="38"/>
    </row>
    <row r="24871">
      <c r="P24871" s="42"/>
      <c r="AB24871" s="38"/>
    </row>
    <row r="24872">
      <c r="P24872" s="42"/>
      <c r="AB24872" s="38"/>
    </row>
    <row r="24873">
      <c r="P24873" s="42"/>
      <c r="AB24873" s="38"/>
    </row>
    <row r="24874">
      <c r="P24874" s="42"/>
      <c r="AB24874" s="38"/>
    </row>
    <row r="24875">
      <c r="P24875" s="42"/>
      <c r="AB24875" s="38"/>
    </row>
    <row r="24876">
      <c r="P24876" s="42"/>
      <c r="AB24876" s="38"/>
    </row>
    <row r="24877">
      <c r="P24877" s="42"/>
      <c r="AB24877" s="38"/>
    </row>
    <row r="24878">
      <c r="P24878" s="42"/>
      <c r="AB24878" s="38"/>
    </row>
    <row r="24879">
      <c r="P24879" s="42"/>
      <c r="AB24879" s="38"/>
    </row>
    <row r="24880">
      <c r="P24880" s="42"/>
      <c r="AB24880" s="38"/>
    </row>
    <row r="24881">
      <c r="P24881" s="42"/>
      <c r="AB24881" s="38"/>
    </row>
    <row r="24882">
      <c r="P24882" s="42"/>
      <c r="AB24882" s="38"/>
    </row>
    <row r="24883">
      <c r="P24883" s="42"/>
      <c r="AB24883" s="38"/>
    </row>
    <row r="24884">
      <c r="P24884" s="42"/>
      <c r="AB24884" s="38"/>
    </row>
    <row r="24885">
      <c r="P24885" s="42"/>
      <c r="AB24885" s="38"/>
    </row>
    <row r="24886">
      <c r="P24886" s="42"/>
      <c r="AB24886" s="38"/>
    </row>
    <row r="24887">
      <c r="P24887" s="42"/>
      <c r="AB24887" s="38"/>
    </row>
    <row r="24888">
      <c r="P24888" s="42"/>
      <c r="AB24888" s="38"/>
    </row>
    <row r="24889">
      <c r="P24889" s="42"/>
      <c r="AB24889" s="38"/>
    </row>
    <row r="24890">
      <c r="P24890" s="42"/>
      <c r="AB24890" s="38"/>
    </row>
    <row r="24891">
      <c r="P24891" s="42"/>
      <c r="AB24891" s="38"/>
    </row>
    <row r="24892">
      <c r="P24892" s="42"/>
      <c r="AB24892" s="38"/>
    </row>
    <row r="24893">
      <c r="P24893" s="42"/>
      <c r="AB24893" s="38"/>
    </row>
    <row r="24894">
      <c r="P24894" s="42"/>
      <c r="AB24894" s="38"/>
    </row>
    <row r="24895">
      <c r="P24895" s="42"/>
      <c r="AB24895" s="38"/>
    </row>
    <row r="24896">
      <c r="P24896" s="42"/>
      <c r="AB24896" s="38"/>
    </row>
    <row r="24897">
      <c r="P24897" s="42"/>
      <c r="AB24897" s="38"/>
    </row>
    <row r="24898">
      <c r="P24898" s="42"/>
      <c r="AB24898" s="38"/>
    </row>
    <row r="24899">
      <c r="P24899" s="42"/>
      <c r="AB24899" s="38"/>
    </row>
    <row r="24900">
      <c r="P24900" s="42"/>
      <c r="AB24900" s="38"/>
    </row>
    <row r="24901">
      <c r="P24901" s="42"/>
      <c r="AB24901" s="38"/>
    </row>
    <row r="24902">
      <c r="P24902" s="42"/>
      <c r="AB24902" s="38"/>
    </row>
    <row r="24903">
      <c r="P24903" s="42"/>
      <c r="AB24903" s="38"/>
    </row>
    <row r="24904">
      <c r="P24904" s="42"/>
      <c r="AB24904" s="38"/>
    </row>
    <row r="24905">
      <c r="P24905" s="42"/>
      <c r="AB24905" s="38"/>
    </row>
    <row r="24906">
      <c r="P24906" s="42"/>
      <c r="AB24906" s="38"/>
    </row>
    <row r="24907">
      <c r="P24907" s="42"/>
      <c r="AB24907" s="38"/>
    </row>
    <row r="24908">
      <c r="P24908" s="42"/>
      <c r="AB24908" s="38"/>
    </row>
    <row r="24909">
      <c r="P24909" s="42"/>
      <c r="AB24909" s="38"/>
    </row>
    <row r="24910">
      <c r="P24910" s="42"/>
      <c r="AB24910" s="38"/>
    </row>
    <row r="24911">
      <c r="P24911" s="42"/>
      <c r="AB24911" s="38"/>
    </row>
    <row r="24912">
      <c r="P24912" s="42"/>
      <c r="AB24912" s="38"/>
    </row>
    <row r="24913">
      <c r="P24913" s="42"/>
      <c r="AB24913" s="38"/>
    </row>
    <row r="24914">
      <c r="P24914" s="42"/>
      <c r="AB24914" s="38"/>
    </row>
    <row r="24915">
      <c r="P24915" s="42"/>
      <c r="AB24915" s="38"/>
    </row>
    <row r="24916">
      <c r="P24916" s="42"/>
      <c r="AB24916" s="38"/>
    </row>
    <row r="24917">
      <c r="P24917" s="42"/>
      <c r="AB24917" s="38"/>
    </row>
    <row r="24918">
      <c r="P24918" s="42"/>
      <c r="AB24918" s="38"/>
    </row>
    <row r="24919">
      <c r="P24919" s="42"/>
      <c r="AB24919" s="38"/>
    </row>
    <row r="24920">
      <c r="P24920" s="42"/>
      <c r="AB24920" s="38"/>
    </row>
    <row r="24921">
      <c r="P24921" s="42"/>
      <c r="AB24921" s="38"/>
    </row>
    <row r="24922">
      <c r="P24922" s="42"/>
      <c r="AB24922" s="38"/>
    </row>
    <row r="24923">
      <c r="P24923" s="42"/>
      <c r="AB24923" s="38"/>
    </row>
    <row r="24924">
      <c r="P24924" s="42"/>
      <c r="AB24924" s="38"/>
    </row>
    <row r="24925">
      <c r="P24925" s="42"/>
      <c r="AB24925" s="38"/>
    </row>
    <row r="24926">
      <c r="P24926" s="42"/>
      <c r="AB24926" s="38"/>
    </row>
    <row r="24927">
      <c r="P24927" s="42"/>
      <c r="AB24927" s="38"/>
    </row>
    <row r="24928">
      <c r="P24928" s="42"/>
      <c r="AB24928" s="38"/>
    </row>
    <row r="24929">
      <c r="P24929" s="42"/>
      <c r="AB24929" s="38"/>
    </row>
    <row r="24930">
      <c r="P24930" s="42"/>
      <c r="AB24930" s="38"/>
    </row>
    <row r="24931">
      <c r="P24931" s="42"/>
      <c r="AB24931" s="38"/>
    </row>
    <row r="24932">
      <c r="P24932" s="42"/>
      <c r="AB24932" s="38"/>
    </row>
    <row r="24933">
      <c r="P24933" s="42"/>
      <c r="AB24933" s="38"/>
    </row>
    <row r="24934">
      <c r="P24934" s="42"/>
      <c r="AB24934" s="38"/>
    </row>
    <row r="24935">
      <c r="P24935" s="42"/>
      <c r="AB24935" s="38"/>
    </row>
    <row r="24936">
      <c r="P24936" s="42"/>
      <c r="AB24936" s="38"/>
    </row>
    <row r="24937">
      <c r="P24937" s="42"/>
      <c r="AB24937" s="38"/>
    </row>
    <row r="24938">
      <c r="P24938" s="42"/>
      <c r="AB24938" s="38"/>
    </row>
    <row r="24939">
      <c r="P24939" s="42"/>
      <c r="AB24939" s="38"/>
    </row>
    <row r="24940">
      <c r="P24940" s="42"/>
      <c r="AB24940" s="38"/>
    </row>
    <row r="24941">
      <c r="P24941" s="42"/>
      <c r="AB24941" s="38"/>
    </row>
    <row r="24942">
      <c r="P24942" s="42"/>
      <c r="AB24942" s="38"/>
    </row>
    <row r="24943">
      <c r="P24943" s="42"/>
      <c r="AB24943" s="38"/>
    </row>
    <row r="24944">
      <c r="P24944" s="42"/>
      <c r="AB24944" s="38"/>
    </row>
    <row r="24945">
      <c r="P24945" s="42"/>
      <c r="AB24945" s="38"/>
    </row>
    <row r="24946">
      <c r="P24946" s="42"/>
      <c r="AB24946" s="38"/>
    </row>
    <row r="24947">
      <c r="P24947" s="42"/>
      <c r="AB24947" s="38"/>
    </row>
    <row r="24948">
      <c r="P24948" s="42"/>
      <c r="AB24948" s="38"/>
    </row>
    <row r="24949">
      <c r="P24949" s="42"/>
      <c r="AB24949" s="38"/>
    </row>
    <row r="24950">
      <c r="P24950" s="42"/>
      <c r="AB24950" s="38"/>
    </row>
    <row r="24951">
      <c r="P24951" s="42"/>
      <c r="AB24951" s="38"/>
    </row>
    <row r="24952">
      <c r="P24952" s="42"/>
      <c r="AB24952" s="38"/>
    </row>
    <row r="24953">
      <c r="P24953" s="42"/>
      <c r="AB24953" s="38"/>
    </row>
    <row r="24954">
      <c r="P24954" s="42"/>
      <c r="AB24954" s="38"/>
    </row>
    <row r="24955">
      <c r="P24955" s="42"/>
      <c r="AB24955" s="38"/>
    </row>
    <row r="24956">
      <c r="P24956" s="42"/>
      <c r="AB24956" s="38"/>
    </row>
    <row r="24957">
      <c r="P24957" s="42"/>
      <c r="AB24957" s="38"/>
    </row>
    <row r="24958">
      <c r="P24958" s="42"/>
      <c r="AB24958" s="38"/>
    </row>
    <row r="24959">
      <c r="P24959" s="42"/>
      <c r="AB24959" s="38"/>
    </row>
    <row r="24960">
      <c r="P24960" s="42"/>
      <c r="AB24960" s="38"/>
    </row>
    <row r="24961">
      <c r="P24961" s="42"/>
      <c r="AB24961" s="38"/>
    </row>
    <row r="24962">
      <c r="P24962" s="42"/>
      <c r="AB24962" s="38"/>
    </row>
    <row r="24963">
      <c r="P24963" s="42"/>
      <c r="AB24963" s="38"/>
    </row>
    <row r="24964">
      <c r="P24964" s="42"/>
      <c r="AB24964" s="38"/>
    </row>
    <row r="24965">
      <c r="P24965" s="42"/>
      <c r="AB24965" s="38"/>
    </row>
    <row r="24966">
      <c r="P24966" s="42"/>
      <c r="AB24966" s="38"/>
    </row>
    <row r="24967">
      <c r="P24967" s="42"/>
      <c r="AB24967" s="38"/>
    </row>
    <row r="24968">
      <c r="P24968" s="42"/>
      <c r="AB24968" s="38"/>
    </row>
    <row r="24969">
      <c r="P24969" s="42"/>
      <c r="AB24969" s="38"/>
    </row>
    <row r="24970">
      <c r="P24970" s="42"/>
      <c r="AB24970" s="38"/>
    </row>
    <row r="24971">
      <c r="P24971" s="42"/>
      <c r="AB24971" s="38"/>
    </row>
    <row r="24972">
      <c r="P24972" s="42"/>
      <c r="AB24972" s="38"/>
    </row>
    <row r="24973">
      <c r="P24973" s="42"/>
      <c r="AB24973" s="38"/>
    </row>
    <row r="24974">
      <c r="P24974" s="42"/>
      <c r="AB24974" s="38"/>
    </row>
    <row r="24975">
      <c r="P24975" s="42"/>
      <c r="AB24975" s="38"/>
    </row>
    <row r="24976">
      <c r="P24976" s="42"/>
      <c r="AB24976" s="38"/>
    </row>
    <row r="24977">
      <c r="P24977" s="42"/>
      <c r="AB24977" s="38"/>
    </row>
    <row r="24978">
      <c r="P24978" s="42"/>
      <c r="AB24978" s="38"/>
    </row>
    <row r="24979">
      <c r="P24979" s="42"/>
      <c r="AB24979" s="38"/>
    </row>
    <row r="24980">
      <c r="P24980" s="42"/>
      <c r="AB24980" s="38"/>
    </row>
    <row r="24981">
      <c r="P24981" s="42"/>
      <c r="AB24981" s="38"/>
    </row>
    <row r="24982">
      <c r="P24982" s="42"/>
      <c r="AB24982" s="38"/>
    </row>
    <row r="24983">
      <c r="P24983" s="42"/>
      <c r="AB24983" s="38"/>
    </row>
    <row r="24984">
      <c r="P24984" s="42"/>
      <c r="AB24984" s="38"/>
    </row>
    <row r="24985">
      <c r="P24985" s="42"/>
      <c r="AB24985" s="38"/>
    </row>
    <row r="24986">
      <c r="P24986" s="42"/>
      <c r="AB24986" s="38"/>
    </row>
    <row r="24987">
      <c r="P24987" s="42"/>
      <c r="AB24987" s="38"/>
    </row>
    <row r="24988">
      <c r="P24988" s="42"/>
      <c r="AB24988" s="38"/>
    </row>
    <row r="24989">
      <c r="P24989" s="42"/>
      <c r="AB24989" s="38"/>
    </row>
    <row r="24990">
      <c r="P24990" s="42"/>
      <c r="AB24990" s="38"/>
    </row>
    <row r="24991">
      <c r="P24991" s="42"/>
      <c r="AB24991" s="38"/>
    </row>
    <row r="24992">
      <c r="P24992" s="42"/>
      <c r="AB24992" s="38"/>
    </row>
    <row r="24993">
      <c r="P24993" s="42"/>
      <c r="AB24993" s="38"/>
    </row>
    <row r="24994">
      <c r="P24994" s="42"/>
      <c r="AB24994" s="38"/>
    </row>
    <row r="24995">
      <c r="P24995" s="42"/>
      <c r="AB24995" s="38"/>
    </row>
    <row r="24996">
      <c r="P24996" s="42"/>
      <c r="AB24996" s="38"/>
    </row>
    <row r="24997">
      <c r="P24997" s="42"/>
      <c r="AB24997" s="38"/>
    </row>
    <row r="24998">
      <c r="P24998" s="42"/>
      <c r="AB24998" s="38"/>
    </row>
    <row r="24999">
      <c r="P24999" s="42"/>
      <c r="AB24999" s="38"/>
    </row>
    <row r="25000">
      <c r="P25000" s="42"/>
      <c r="AB25000" s="38"/>
    </row>
    <row r="25001">
      <c r="P25001" s="42"/>
      <c r="AB25001" s="38"/>
    </row>
    <row r="25002">
      <c r="P25002" s="42"/>
      <c r="AB25002" s="38"/>
    </row>
    <row r="25003">
      <c r="P25003" s="42"/>
      <c r="AB25003" s="38"/>
    </row>
    <row r="25004">
      <c r="P25004" s="42"/>
      <c r="AB25004" s="38"/>
    </row>
    <row r="25005">
      <c r="P25005" s="42"/>
      <c r="AB25005" s="38"/>
    </row>
    <row r="25006">
      <c r="P25006" s="42"/>
      <c r="AB25006" s="38"/>
    </row>
    <row r="25007">
      <c r="P25007" s="42"/>
      <c r="AB25007" s="38"/>
    </row>
    <row r="25008">
      <c r="P25008" s="42"/>
      <c r="AB25008" s="38"/>
    </row>
    <row r="25009">
      <c r="P25009" s="42"/>
      <c r="AB25009" s="38"/>
    </row>
    <row r="25010">
      <c r="P25010" s="42"/>
      <c r="AB25010" s="38"/>
    </row>
    <row r="25011">
      <c r="P25011" s="42"/>
      <c r="AB25011" s="38"/>
    </row>
    <row r="25012">
      <c r="P25012" s="42"/>
      <c r="AB25012" s="38"/>
    </row>
    <row r="25013">
      <c r="P25013" s="42"/>
      <c r="AB25013" s="38"/>
    </row>
    <row r="25014">
      <c r="P25014" s="42"/>
      <c r="AB25014" s="38"/>
    </row>
    <row r="25015">
      <c r="P25015" s="42"/>
      <c r="AB25015" s="38"/>
    </row>
    <row r="25016">
      <c r="P25016" s="42"/>
      <c r="AB25016" s="38"/>
    </row>
    <row r="25017">
      <c r="P25017" s="42"/>
      <c r="AB25017" s="38"/>
    </row>
    <row r="25018">
      <c r="P25018" s="42"/>
      <c r="AB25018" s="38"/>
    </row>
    <row r="25019">
      <c r="P25019" s="42"/>
      <c r="AB25019" s="38"/>
    </row>
    <row r="25020">
      <c r="P25020" s="42"/>
      <c r="AB25020" s="38"/>
    </row>
    <row r="25021">
      <c r="P25021" s="42"/>
      <c r="AB25021" s="38"/>
    </row>
    <row r="25022">
      <c r="P25022" s="42"/>
      <c r="AB25022" s="38"/>
    </row>
    <row r="25023">
      <c r="P25023" s="42"/>
      <c r="AB25023" s="38"/>
    </row>
    <row r="25024">
      <c r="P25024" s="42"/>
      <c r="AB25024" s="38"/>
    </row>
    <row r="25025">
      <c r="P25025" s="42"/>
      <c r="AB25025" s="38"/>
    </row>
    <row r="25026">
      <c r="P25026" s="42"/>
      <c r="AB25026" s="38"/>
    </row>
    <row r="25027">
      <c r="P25027" s="42"/>
      <c r="AB25027" s="38"/>
    </row>
    <row r="25028">
      <c r="P25028" s="42"/>
      <c r="AB25028" s="38"/>
    </row>
    <row r="25029">
      <c r="P25029" s="42"/>
      <c r="AB25029" s="38"/>
    </row>
    <row r="25030">
      <c r="P25030" s="42"/>
      <c r="AB25030" s="38"/>
    </row>
    <row r="25031">
      <c r="P25031" s="42"/>
      <c r="AB25031" s="38"/>
    </row>
    <row r="25032">
      <c r="P25032" s="42"/>
      <c r="AB25032" s="38"/>
    </row>
    <row r="25033">
      <c r="P25033" s="42"/>
      <c r="AB25033" s="38"/>
    </row>
    <row r="25034">
      <c r="P25034" s="42"/>
      <c r="AB25034" s="38"/>
    </row>
    <row r="25035">
      <c r="P25035" s="42"/>
      <c r="AB25035" s="38"/>
    </row>
    <row r="25036">
      <c r="P25036" s="42"/>
      <c r="AB25036" s="38"/>
    </row>
    <row r="25037">
      <c r="P25037" s="42"/>
      <c r="AB25037" s="38"/>
    </row>
    <row r="25038">
      <c r="P25038" s="42"/>
      <c r="AB25038" s="38"/>
    </row>
    <row r="25039">
      <c r="P25039" s="42"/>
      <c r="AB25039" s="38"/>
    </row>
    <row r="25040">
      <c r="P25040" s="42"/>
      <c r="AB25040" s="38"/>
    </row>
    <row r="25041">
      <c r="P25041" s="42"/>
      <c r="AB25041" s="38"/>
    </row>
    <row r="25042">
      <c r="P25042" s="42"/>
      <c r="AB25042" s="38"/>
    </row>
    <row r="25043">
      <c r="P25043" s="42"/>
      <c r="AB25043" s="38"/>
    </row>
    <row r="25044">
      <c r="P25044" s="42"/>
      <c r="AB25044" s="38"/>
    </row>
    <row r="25045">
      <c r="P25045" s="42"/>
      <c r="AB25045" s="38"/>
    </row>
    <row r="25046">
      <c r="P25046" s="42"/>
      <c r="AB25046" s="38"/>
    </row>
    <row r="25047">
      <c r="P25047" s="42"/>
      <c r="AB25047" s="38"/>
    </row>
    <row r="25048">
      <c r="P25048" s="42"/>
      <c r="AB25048" s="38"/>
    </row>
    <row r="25049">
      <c r="P25049" s="42"/>
      <c r="AB25049" s="38"/>
    </row>
    <row r="25050">
      <c r="P25050" s="42"/>
      <c r="AB25050" s="38"/>
    </row>
    <row r="25051">
      <c r="P25051" s="42"/>
      <c r="AB25051" s="38"/>
    </row>
    <row r="25052">
      <c r="P25052" s="42"/>
      <c r="AB25052" s="38"/>
    </row>
    <row r="25053">
      <c r="P25053" s="42"/>
      <c r="AB25053" s="38"/>
    </row>
    <row r="25054">
      <c r="P25054" s="42"/>
      <c r="AB25054" s="38"/>
    </row>
    <row r="25055">
      <c r="P25055" s="42"/>
      <c r="AB25055" s="38"/>
    </row>
    <row r="25056">
      <c r="P25056" s="42"/>
      <c r="AB25056" s="38"/>
    </row>
    <row r="25057">
      <c r="P25057" s="42"/>
      <c r="AB25057" s="38"/>
    </row>
    <row r="25058">
      <c r="P25058" s="42"/>
      <c r="AB25058" s="38"/>
    </row>
    <row r="25059">
      <c r="P25059" s="42"/>
      <c r="AB25059" s="38"/>
    </row>
    <row r="25060">
      <c r="P25060" s="42"/>
      <c r="AB25060" s="38"/>
    </row>
    <row r="25061">
      <c r="P25061" s="42"/>
      <c r="AB25061" s="38"/>
    </row>
    <row r="25062">
      <c r="P25062" s="42"/>
      <c r="AB25062" s="38"/>
    </row>
    <row r="25063">
      <c r="P25063" s="42"/>
      <c r="AB25063" s="38"/>
    </row>
    <row r="25064">
      <c r="P25064" s="42"/>
      <c r="AB25064" s="38"/>
    </row>
    <row r="25065">
      <c r="P25065" s="42"/>
      <c r="AB25065" s="38"/>
    </row>
    <row r="25066">
      <c r="P25066" s="42"/>
      <c r="AB25066" s="38"/>
    </row>
    <row r="25067">
      <c r="P25067" s="42"/>
      <c r="AB25067" s="38"/>
    </row>
    <row r="25068">
      <c r="P25068" s="42"/>
      <c r="AB25068" s="38"/>
    </row>
    <row r="25069">
      <c r="P25069" s="42"/>
      <c r="AB25069" s="38"/>
    </row>
    <row r="25070">
      <c r="P25070" s="42"/>
      <c r="AB25070" s="38"/>
    </row>
    <row r="25071">
      <c r="P25071" s="42"/>
      <c r="AB25071" s="38"/>
    </row>
    <row r="25072">
      <c r="P25072" s="42"/>
      <c r="AB25072" s="38"/>
    </row>
    <row r="25073">
      <c r="P25073" s="42"/>
      <c r="AB25073" s="38"/>
    </row>
    <row r="25074">
      <c r="P25074" s="42"/>
      <c r="AB25074" s="38"/>
    </row>
    <row r="25075">
      <c r="P25075" s="42"/>
      <c r="AB25075" s="38"/>
    </row>
    <row r="25076">
      <c r="P25076" s="42"/>
      <c r="AB25076" s="38"/>
    </row>
    <row r="25077">
      <c r="P25077" s="42"/>
      <c r="AB25077" s="38"/>
    </row>
    <row r="25078">
      <c r="P25078" s="42"/>
      <c r="AB25078" s="38"/>
    </row>
    <row r="25079">
      <c r="P25079" s="42"/>
      <c r="AB25079" s="38"/>
    </row>
    <row r="25080">
      <c r="P25080" s="42"/>
      <c r="AB25080" s="38"/>
    </row>
    <row r="25081">
      <c r="P25081" s="42"/>
      <c r="AB25081" s="38"/>
    </row>
    <row r="25082">
      <c r="P25082" s="42"/>
      <c r="AB25082" s="38"/>
    </row>
    <row r="25083">
      <c r="P25083" s="42"/>
      <c r="AB25083" s="38"/>
    </row>
    <row r="25084">
      <c r="P25084" s="42"/>
      <c r="AB25084" s="38"/>
    </row>
    <row r="25085">
      <c r="P25085" s="42"/>
      <c r="AB25085" s="38"/>
    </row>
    <row r="25086">
      <c r="P25086" s="42"/>
      <c r="AB25086" s="38"/>
    </row>
    <row r="25087">
      <c r="P25087" s="42"/>
      <c r="AB25087" s="38"/>
    </row>
    <row r="25088">
      <c r="P25088" s="42"/>
      <c r="AB25088" s="38"/>
    </row>
    <row r="25089">
      <c r="P25089" s="42"/>
      <c r="AB25089" s="38"/>
    </row>
    <row r="25090">
      <c r="P25090" s="42"/>
      <c r="AB25090" s="38"/>
    </row>
    <row r="25091">
      <c r="P25091" s="42"/>
      <c r="AB25091" s="38"/>
    </row>
    <row r="25092">
      <c r="P25092" s="42"/>
      <c r="AB25092" s="38"/>
    </row>
    <row r="25093">
      <c r="P25093" s="42"/>
      <c r="AB25093" s="38"/>
    </row>
    <row r="25094">
      <c r="P25094" s="42"/>
      <c r="AB25094" s="38"/>
    </row>
    <row r="25095">
      <c r="P25095" s="42"/>
      <c r="AB25095" s="38"/>
    </row>
    <row r="25096">
      <c r="P25096" s="42"/>
      <c r="AB25096" s="38"/>
    </row>
    <row r="25097">
      <c r="P25097" s="42"/>
      <c r="AB25097" s="38"/>
    </row>
    <row r="25098">
      <c r="P25098" s="42"/>
      <c r="AB25098" s="38"/>
    </row>
    <row r="25099">
      <c r="P25099" s="42"/>
      <c r="AB25099" s="38"/>
    </row>
    <row r="25100">
      <c r="P25100" s="42"/>
      <c r="AB25100" s="38"/>
    </row>
    <row r="25101">
      <c r="P25101" s="42"/>
      <c r="AB25101" s="38"/>
    </row>
    <row r="25102">
      <c r="P25102" s="42"/>
      <c r="AB25102" s="38"/>
    </row>
    <row r="25103">
      <c r="P25103" s="42"/>
      <c r="AB25103" s="38"/>
    </row>
    <row r="25104">
      <c r="P25104" s="42"/>
      <c r="AB25104" s="38"/>
    </row>
    <row r="25105">
      <c r="P25105" s="42"/>
      <c r="AB25105" s="38"/>
    </row>
    <row r="25106">
      <c r="P25106" s="42"/>
      <c r="AB25106" s="38"/>
    </row>
    <row r="25107">
      <c r="P25107" s="42"/>
      <c r="AB25107" s="38"/>
    </row>
    <row r="25108">
      <c r="P25108" s="42"/>
      <c r="AB25108" s="38"/>
    </row>
    <row r="25109">
      <c r="P25109" s="42"/>
      <c r="AB25109" s="38"/>
    </row>
    <row r="25110">
      <c r="P25110" s="42"/>
      <c r="AB25110" s="38"/>
    </row>
    <row r="25111">
      <c r="P25111" s="42"/>
      <c r="AB25111" s="38"/>
    </row>
    <row r="25112">
      <c r="P25112" s="42"/>
      <c r="AB25112" s="38"/>
    </row>
    <row r="25113">
      <c r="P25113" s="42"/>
      <c r="AB25113" s="38"/>
    </row>
    <row r="25114">
      <c r="P25114" s="42"/>
      <c r="AB25114" s="38"/>
    </row>
    <row r="25115">
      <c r="P25115" s="42"/>
      <c r="AB25115" s="38"/>
    </row>
    <row r="25116">
      <c r="P25116" s="42"/>
      <c r="AB25116" s="38"/>
    </row>
    <row r="25117">
      <c r="P25117" s="42"/>
      <c r="AB25117" s="38"/>
    </row>
    <row r="25118">
      <c r="P25118" s="42"/>
      <c r="AB25118" s="38"/>
    </row>
    <row r="25119">
      <c r="P25119" s="42"/>
      <c r="AB25119" s="38"/>
    </row>
    <row r="25120">
      <c r="P25120" s="42"/>
      <c r="AB25120" s="38"/>
    </row>
    <row r="25121">
      <c r="P25121" s="42"/>
      <c r="AB25121" s="38"/>
    </row>
    <row r="25122">
      <c r="P25122" s="42"/>
      <c r="AB25122" s="38"/>
    </row>
    <row r="25123">
      <c r="P25123" s="42"/>
      <c r="AB25123" s="38"/>
    </row>
    <row r="25124">
      <c r="P25124" s="42"/>
      <c r="AB25124" s="38"/>
    </row>
    <row r="25125">
      <c r="P25125" s="42"/>
      <c r="AB25125" s="38"/>
    </row>
    <row r="25126">
      <c r="P25126" s="42"/>
      <c r="AB25126" s="38"/>
    </row>
    <row r="25127">
      <c r="P25127" s="42"/>
      <c r="AB25127" s="38"/>
    </row>
    <row r="25128">
      <c r="P25128" s="42"/>
      <c r="AB25128" s="38"/>
    </row>
    <row r="25129">
      <c r="P25129" s="42"/>
      <c r="AB25129" s="38"/>
    </row>
    <row r="25130">
      <c r="P25130" s="42"/>
      <c r="AB25130" s="38"/>
    </row>
    <row r="25131">
      <c r="P25131" s="42"/>
      <c r="AB25131" s="38"/>
    </row>
    <row r="25132">
      <c r="P25132" s="42"/>
      <c r="AB25132" s="38"/>
    </row>
    <row r="25133">
      <c r="P25133" s="42"/>
      <c r="AB25133" s="38"/>
    </row>
    <row r="25134">
      <c r="P25134" s="42"/>
      <c r="AB25134" s="38"/>
    </row>
    <row r="25135">
      <c r="P25135" s="42"/>
      <c r="AB25135" s="38"/>
    </row>
    <row r="25136">
      <c r="P25136" s="42"/>
      <c r="AB25136" s="38"/>
    </row>
    <row r="25137">
      <c r="P25137" s="42"/>
      <c r="AB25137" s="38"/>
    </row>
    <row r="25138">
      <c r="P25138" s="42"/>
      <c r="AB25138" s="38"/>
    </row>
    <row r="25139">
      <c r="P25139" s="42"/>
      <c r="AB25139" s="38"/>
    </row>
    <row r="25140">
      <c r="P25140" s="42"/>
      <c r="AB25140" s="38"/>
    </row>
    <row r="25141">
      <c r="P25141" s="42"/>
      <c r="AB25141" s="38"/>
    </row>
    <row r="25142">
      <c r="P25142" s="42"/>
      <c r="AB25142" s="38"/>
    </row>
    <row r="25143">
      <c r="P25143" s="42"/>
      <c r="AB25143" s="38"/>
    </row>
    <row r="25144">
      <c r="P25144" s="42"/>
      <c r="AB25144" s="38"/>
    </row>
    <row r="25145">
      <c r="P25145" s="42"/>
      <c r="AB25145" s="38"/>
    </row>
    <row r="25146">
      <c r="P25146" s="42"/>
      <c r="AB25146" s="38"/>
    </row>
    <row r="25147">
      <c r="P25147" s="42"/>
      <c r="AB25147" s="38"/>
    </row>
    <row r="25148">
      <c r="P25148" s="42"/>
      <c r="AB25148" s="38"/>
    </row>
    <row r="25149">
      <c r="P25149" s="42"/>
      <c r="AB25149" s="38"/>
    </row>
    <row r="25150">
      <c r="P25150" s="42"/>
      <c r="AB25150" s="38"/>
    </row>
    <row r="25151">
      <c r="P25151" s="42"/>
      <c r="AB25151" s="38"/>
    </row>
    <row r="25152">
      <c r="P25152" s="42"/>
      <c r="AB25152" s="38"/>
    </row>
    <row r="25153">
      <c r="P25153" s="42"/>
      <c r="AB25153" s="38"/>
    </row>
    <row r="25154">
      <c r="P25154" s="42"/>
      <c r="AB25154" s="38"/>
    </row>
    <row r="25155">
      <c r="P25155" s="42"/>
      <c r="AB25155" s="38"/>
    </row>
    <row r="25156">
      <c r="P25156" s="42"/>
      <c r="AB25156" s="38"/>
    </row>
    <row r="25157">
      <c r="P25157" s="42"/>
      <c r="AB25157" s="38"/>
    </row>
    <row r="25158">
      <c r="P25158" s="42"/>
      <c r="AB25158" s="38"/>
    </row>
    <row r="25159">
      <c r="P25159" s="42"/>
      <c r="AB25159" s="38"/>
    </row>
    <row r="25160">
      <c r="P25160" s="42"/>
      <c r="AB25160" s="38"/>
    </row>
    <row r="25161">
      <c r="P25161" s="42"/>
      <c r="AB25161" s="38"/>
    </row>
    <row r="25162">
      <c r="P25162" s="42"/>
      <c r="AB25162" s="38"/>
    </row>
    <row r="25163">
      <c r="P25163" s="42"/>
      <c r="AB25163" s="38"/>
    </row>
    <row r="25164">
      <c r="P25164" s="42"/>
      <c r="AB25164" s="38"/>
    </row>
    <row r="25165">
      <c r="P25165" s="42"/>
      <c r="AB25165" s="38"/>
    </row>
    <row r="25166">
      <c r="P25166" s="42"/>
      <c r="AB25166" s="38"/>
    </row>
    <row r="25167">
      <c r="P25167" s="42"/>
      <c r="AB25167" s="38"/>
    </row>
    <row r="25168">
      <c r="P25168" s="42"/>
      <c r="AB25168" s="38"/>
    </row>
    <row r="25169">
      <c r="P25169" s="42"/>
      <c r="AB25169" s="38"/>
    </row>
    <row r="25170">
      <c r="P25170" s="42"/>
      <c r="AB25170" s="38"/>
    </row>
    <row r="25171">
      <c r="P25171" s="42"/>
      <c r="AB25171" s="38"/>
    </row>
    <row r="25172">
      <c r="P25172" s="42"/>
      <c r="AB25172" s="38"/>
    </row>
    <row r="25173">
      <c r="P25173" s="42"/>
      <c r="AB25173" s="38"/>
    </row>
    <row r="25174">
      <c r="P25174" s="42"/>
      <c r="AB25174" s="38"/>
    </row>
    <row r="25175">
      <c r="P25175" s="42"/>
      <c r="AB25175" s="38"/>
    </row>
    <row r="25176">
      <c r="P25176" s="42"/>
      <c r="AB25176" s="38"/>
    </row>
    <row r="25177">
      <c r="P25177" s="42"/>
      <c r="AB25177" s="38"/>
    </row>
    <row r="25178">
      <c r="P25178" s="42"/>
      <c r="AB25178" s="38"/>
    </row>
    <row r="25179">
      <c r="P25179" s="42"/>
      <c r="AB25179" s="38"/>
    </row>
    <row r="25180">
      <c r="P25180" s="42"/>
      <c r="AB25180" s="38"/>
    </row>
    <row r="25181">
      <c r="P25181" s="42"/>
      <c r="AB25181" s="38"/>
    </row>
    <row r="25182">
      <c r="P25182" s="42"/>
      <c r="AB25182" s="38"/>
    </row>
    <row r="25183">
      <c r="P25183" s="42"/>
      <c r="AB25183" s="38"/>
    </row>
    <row r="25184">
      <c r="P25184" s="42"/>
      <c r="AB25184" s="38"/>
    </row>
    <row r="25185">
      <c r="P25185" s="42"/>
      <c r="AB25185" s="38"/>
    </row>
    <row r="25186">
      <c r="P25186" s="42"/>
      <c r="AB25186" s="38"/>
    </row>
    <row r="25187">
      <c r="P25187" s="42"/>
      <c r="AB25187" s="38"/>
    </row>
    <row r="25188">
      <c r="P25188" s="42"/>
      <c r="AB25188" s="38"/>
    </row>
    <row r="25189">
      <c r="P25189" s="42"/>
      <c r="AB25189" s="38"/>
    </row>
    <row r="25190">
      <c r="P25190" s="42"/>
      <c r="AB25190" s="38"/>
    </row>
    <row r="25191">
      <c r="P25191" s="42"/>
      <c r="AB25191" s="38"/>
    </row>
    <row r="25192">
      <c r="P25192" s="42"/>
      <c r="AB25192" s="38"/>
    </row>
    <row r="25193">
      <c r="P25193" s="42"/>
      <c r="AB25193" s="38"/>
    </row>
    <row r="25194">
      <c r="P25194" s="42"/>
      <c r="AB25194" s="38"/>
    </row>
    <row r="25195">
      <c r="P25195" s="42"/>
      <c r="AB25195" s="38"/>
    </row>
    <row r="25196">
      <c r="P25196" s="42"/>
      <c r="AB25196" s="38"/>
    </row>
    <row r="25197">
      <c r="P25197" s="42"/>
      <c r="AB25197" s="38"/>
    </row>
    <row r="25198">
      <c r="P25198" s="42"/>
      <c r="AB25198" s="38"/>
    </row>
    <row r="25199">
      <c r="P25199" s="42"/>
      <c r="AB25199" s="38"/>
    </row>
    <row r="25200">
      <c r="P25200" s="42"/>
      <c r="AB25200" s="38"/>
    </row>
    <row r="25201">
      <c r="P25201" s="42"/>
      <c r="AB25201" s="38"/>
    </row>
    <row r="25202">
      <c r="P25202" s="42"/>
      <c r="AB25202" s="38"/>
    </row>
    <row r="25203">
      <c r="P25203" s="42"/>
      <c r="AB25203" s="38"/>
    </row>
    <row r="25204">
      <c r="P25204" s="42"/>
      <c r="AB25204" s="38"/>
    </row>
    <row r="25205">
      <c r="P25205" s="42"/>
      <c r="AB25205" s="38"/>
    </row>
    <row r="25206">
      <c r="P25206" s="42"/>
      <c r="AB25206" s="38"/>
    </row>
    <row r="25207">
      <c r="P25207" s="42"/>
      <c r="AB25207" s="38"/>
    </row>
    <row r="25208">
      <c r="P25208" s="42"/>
      <c r="AB25208" s="38"/>
    </row>
    <row r="25209">
      <c r="P25209" s="42"/>
      <c r="AB25209" s="38"/>
    </row>
    <row r="25210">
      <c r="P25210" s="42"/>
      <c r="AB25210" s="38"/>
    </row>
    <row r="25211">
      <c r="P25211" s="42"/>
      <c r="AB25211" s="38"/>
    </row>
    <row r="25212">
      <c r="P25212" s="42"/>
      <c r="AB25212" s="38"/>
    </row>
    <row r="25213">
      <c r="P25213" s="42"/>
      <c r="AB25213" s="38"/>
    </row>
    <row r="25214">
      <c r="P25214" s="42"/>
      <c r="AB25214" s="38"/>
    </row>
    <row r="25215">
      <c r="P25215" s="42"/>
      <c r="AB25215" s="38"/>
    </row>
    <row r="25216">
      <c r="P25216" s="42"/>
      <c r="AB25216" s="38"/>
    </row>
    <row r="25217">
      <c r="P25217" s="42"/>
      <c r="AB25217" s="38"/>
    </row>
    <row r="25218">
      <c r="P25218" s="42"/>
      <c r="AB25218" s="38"/>
    </row>
    <row r="25219">
      <c r="P25219" s="42"/>
      <c r="AB25219" s="38"/>
    </row>
    <row r="25220">
      <c r="P25220" s="42"/>
      <c r="AB25220" s="38"/>
    </row>
    <row r="25221">
      <c r="P25221" s="42"/>
      <c r="AB25221" s="38"/>
    </row>
    <row r="25222">
      <c r="P25222" s="42"/>
      <c r="AB25222" s="38"/>
    </row>
    <row r="25223">
      <c r="P25223" s="42"/>
      <c r="AB25223" s="38"/>
    </row>
    <row r="25224">
      <c r="P25224" s="42"/>
      <c r="AB25224" s="38"/>
    </row>
    <row r="25225">
      <c r="P25225" s="42"/>
      <c r="AB25225" s="38"/>
    </row>
    <row r="25226">
      <c r="P25226" s="42"/>
      <c r="AB25226" s="38"/>
    </row>
    <row r="25227">
      <c r="P25227" s="42"/>
      <c r="AB25227" s="38"/>
    </row>
    <row r="25228">
      <c r="P25228" s="42"/>
      <c r="AB25228" s="38"/>
    </row>
    <row r="25229">
      <c r="P25229" s="42"/>
      <c r="AB25229" s="38"/>
    </row>
    <row r="25230">
      <c r="P25230" s="42"/>
      <c r="AB25230" s="38"/>
    </row>
    <row r="25231">
      <c r="P25231" s="42"/>
      <c r="AB25231" s="38"/>
    </row>
    <row r="25232">
      <c r="P25232" s="42"/>
      <c r="AB25232" s="38"/>
    </row>
    <row r="25233">
      <c r="P25233" s="42"/>
      <c r="AB25233" s="38"/>
    </row>
    <row r="25234">
      <c r="P25234" s="42"/>
      <c r="AB25234" s="38"/>
    </row>
    <row r="25235">
      <c r="P25235" s="42"/>
      <c r="AB25235" s="38"/>
    </row>
    <row r="25236">
      <c r="P25236" s="42"/>
      <c r="AB25236" s="38"/>
    </row>
    <row r="25237">
      <c r="P25237" s="42"/>
      <c r="AB25237" s="38"/>
    </row>
    <row r="25238">
      <c r="P25238" s="42"/>
      <c r="AB25238" s="38"/>
    </row>
    <row r="25239">
      <c r="P25239" s="42"/>
      <c r="AB25239" s="38"/>
    </row>
    <row r="25240">
      <c r="P25240" s="42"/>
      <c r="AB25240" s="38"/>
    </row>
    <row r="25241">
      <c r="P25241" s="42"/>
      <c r="AB25241" s="38"/>
    </row>
    <row r="25242">
      <c r="P25242" s="42"/>
      <c r="AB25242" s="38"/>
    </row>
    <row r="25243">
      <c r="P25243" s="42"/>
      <c r="AB25243" s="38"/>
    </row>
    <row r="25244">
      <c r="P25244" s="42"/>
      <c r="AB25244" s="38"/>
    </row>
    <row r="25245">
      <c r="P25245" s="42"/>
      <c r="AB25245" s="38"/>
    </row>
    <row r="25246">
      <c r="P25246" s="42"/>
      <c r="AB25246" s="38"/>
    </row>
    <row r="25247">
      <c r="P25247" s="42"/>
      <c r="AB25247" s="38"/>
    </row>
    <row r="25248">
      <c r="P25248" s="42"/>
      <c r="AB25248" s="38"/>
    </row>
    <row r="25249">
      <c r="P25249" s="42"/>
      <c r="AB25249" s="38"/>
    </row>
    <row r="25250">
      <c r="P25250" s="42"/>
      <c r="AB25250" s="38"/>
    </row>
    <row r="25251">
      <c r="P25251" s="42"/>
      <c r="AB25251" s="38"/>
    </row>
    <row r="25252">
      <c r="P25252" s="42"/>
      <c r="AB25252" s="38"/>
    </row>
    <row r="25253">
      <c r="P25253" s="42"/>
      <c r="AB25253" s="38"/>
    </row>
    <row r="25254">
      <c r="P25254" s="42"/>
      <c r="AB25254" s="38"/>
    </row>
    <row r="25255">
      <c r="P25255" s="42"/>
      <c r="AB25255" s="38"/>
    </row>
    <row r="25256">
      <c r="P25256" s="42"/>
      <c r="AB25256" s="38"/>
    </row>
    <row r="25257">
      <c r="P25257" s="42"/>
      <c r="AB25257" s="38"/>
    </row>
    <row r="25258">
      <c r="P25258" s="42"/>
      <c r="AB25258" s="38"/>
    </row>
    <row r="25259">
      <c r="P25259" s="42"/>
      <c r="AB25259" s="38"/>
    </row>
    <row r="25260">
      <c r="P25260" s="42"/>
      <c r="AB25260" s="38"/>
    </row>
    <row r="25261">
      <c r="P25261" s="42"/>
      <c r="AB25261" s="38"/>
    </row>
    <row r="25262">
      <c r="P25262" s="42"/>
      <c r="AB25262" s="38"/>
    </row>
    <row r="25263">
      <c r="P25263" s="42"/>
      <c r="AB25263" s="38"/>
    </row>
    <row r="25264">
      <c r="P25264" s="42"/>
      <c r="AB25264" s="38"/>
    </row>
    <row r="25265">
      <c r="P25265" s="42"/>
      <c r="AB25265" s="38"/>
    </row>
    <row r="25266">
      <c r="P25266" s="42"/>
      <c r="AB25266" s="38"/>
    </row>
    <row r="25267">
      <c r="P25267" s="42"/>
      <c r="AB25267" s="38"/>
    </row>
    <row r="25268">
      <c r="P25268" s="42"/>
      <c r="AB25268" s="38"/>
    </row>
    <row r="25269">
      <c r="P25269" s="42"/>
      <c r="AB25269" s="38"/>
    </row>
    <row r="25270">
      <c r="P25270" s="42"/>
      <c r="AB25270" s="38"/>
    </row>
    <row r="25271">
      <c r="P25271" s="42"/>
      <c r="AB25271" s="38"/>
    </row>
    <row r="25272">
      <c r="P25272" s="42"/>
      <c r="AB25272" s="38"/>
    </row>
    <row r="25273">
      <c r="P25273" s="42"/>
      <c r="AB25273" s="38"/>
    </row>
    <row r="25274">
      <c r="P25274" s="42"/>
      <c r="AB25274" s="38"/>
    </row>
    <row r="25275">
      <c r="P25275" s="42"/>
      <c r="AB25275" s="38"/>
    </row>
    <row r="25276">
      <c r="P25276" s="42"/>
      <c r="AB25276" s="38"/>
    </row>
    <row r="25277">
      <c r="P25277" s="42"/>
      <c r="AB25277" s="38"/>
    </row>
    <row r="25278">
      <c r="P25278" s="42"/>
      <c r="AB25278" s="38"/>
    </row>
    <row r="25279">
      <c r="P25279" s="42"/>
      <c r="AB25279" s="38"/>
    </row>
    <row r="25280">
      <c r="P25280" s="42"/>
      <c r="AB25280" s="38"/>
    </row>
    <row r="25281">
      <c r="P25281" s="42"/>
      <c r="AB25281" s="38"/>
    </row>
    <row r="25282">
      <c r="P25282" s="42"/>
      <c r="AB25282" s="38"/>
    </row>
    <row r="25283">
      <c r="P25283" s="42"/>
      <c r="AB25283" s="38"/>
    </row>
    <row r="25284">
      <c r="P25284" s="42"/>
      <c r="AB25284" s="38"/>
    </row>
    <row r="25285">
      <c r="P25285" s="42"/>
      <c r="AB25285" s="38"/>
    </row>
    <row r="25286">
      <c r="P25286" s="42"/>
      <c r="AB25286" s="38"/>
    </row>
    <row r="25287">
      <c r="P25287" s="42"/>
      <c r="AB25287" s="38"/>
    </row>
    <row r="25288">
      <c r="P25288" s="42"/>
      <c r="AB25288" s="38"/>
    </row>
    <row r="25289">
      <c r="P25289" s="42"/>
      <c r="AB25289" s="38"/>
    </row>
    <row r="25290">
      <c r="P25290" s="42"/>
      <c r="AB25290" s="38"/>
    </row>
    <row r="25291">
      <c r="P25291" s="42"/>
      <c r="AB25291" s="38"/>
    </row>
    <row r="25292">
      <c r="P25292" s="42"/>
      <c r="AB25292" s="38"/>
    </row>
    <row r="25293">
      <c r="P25293" s="42"/>
      <c r="AB25293" s="38"/>
    </row>
    <row r="25294">
      <c r="P25294" s="42"/>
      <c r="AB25294" s="38"/>
    </row>
    <row r="25295">
      <c r="P25295" s="42"/>
      <c r="AB25295" s="38"/>
    </row>
    <row r="25296">
      <c r="P25296" s="42"/>
      <c r="AB25296" s="38"/>
    </row>
    <row r="25297">
      <c r="P25297" s="42"/>
      <c r="AB25297" s="38"/>
    </row>
    <row r="25298">
      <c r="P25298" s="42"/>
      <c r="AB25298" s="38"/>
    </row>
    <row r="25299">
      <c r="P25299" s="42"/>
      <c r="AB25299" s="38"/>
    </row>
    <row r="25300">
      <c r="P25300" s="42"/>
      <c r="AB25300" s="38"/>
    </row>
    <row r="25301">
      <c r="P25301" s="42"/>
      <c r="AB25301" s="38"/>
    </row>
    <row r="25302">
      <c r="P25302" s="42"/>
      <c r="AB25302" s="38"/>
    </row>
    <row r="25303">
      <c r="P25303" s="42"/>
      <c r="AB25303" s="38"/>
    </row>
    <row r="25304">
      <c r="P25304" s="42"/>
      <c r="AB25304" s="38"/>
    </row>
    <row r="25305">
      <c r="P25305" s="42"/>
      <c r="AB25305" s="38"/>
    </row>
    <row r="25306">
      <c r="P25306" s="42"/>
      <c r="AB25306" s="38"/>
    </row>
    <row r="25307">
      <c r="P25307" s="42"/>
      <c r="AB25307" s="38"/>
    </row>
    <row r="25308">
      <c r="P25308" s="42"/>
      <c r="AB25308" s="38"/>
    </row>
    <row r="25309">
      <c r="P25309" s="42"/>
      <c r="AB25309" s="38"/>
    </row>
    <row r="25310">
      <c r="P25310" s="42"/>
      <c r="AB25310" s="38"/>
    </row>
    <row r="25311">
      <c r="P25311" s="42"/>
      <c r="AB25311" s="38"/>
    </row>
    <row r="25312">
      <c r="P25312" s="42"/>
      <c r="AB25312" s="38"/>
    </row>
    <row r="25313">
      <c r="P25313" s="42"/>
      <c r="AB25313" s="38"/>
    </row>
    <row r="25314">
      <c r="P25314" s="42"/>
      <c r="AB25314" s="38"/>
    </row>
    <row r="25315">
      <c r="P25315" s="42"/>
      <c r="AB25315" s="38"/>
    </row>
    <row r="25316">
      <c r="P25316" s="42"/>
      <c r="AB25316" s="38"/>
    </row>
    <row r="25317">
      <c r="P25317" s="42"/>
      <c r="AB25317" s="38"/>
    </row>
    <row r="25318">
      <c r="P25318" s="42"/>
      <c r="AB25318" s="38"/>
    </row>
    <row r="25319">
      <c r="P25319" s="42"/>
      <c r="AB25319" s="38"/>
    </row>
    <row r="25320">
      <c r="P25320" s="42"/>
      <c r="AB25320" s="38"/>
    </row>
    <row r="25321">
      <c r="P25321" s="42"/>
      <c r="AB25321" s="38"/>
    </row>
    <row r="25322">
      <c r="P25322" s="42"/>
      <c r="AB25322" s="38"/>
    </row>
    <row r="25323">
      <c r="P25323" s="42"/>
      <c r="AB25323" s="38"/>
    </row>
    <row r="25324">
      <c r="P25324" s="42"/>
      <c r="AB25324" s="38"/>
    </row>
    <row r="25325">
      <c r="P25325" s="42"/>
      <c r="AB25325" s="38"/>
    </row>
    <row r="25326">
      <c r="P25326" s="42"/>
      <c r="AB25326" s="38"/>
    </row>
    <row r="25327">
      <c r="P25327" s="42"/>
      <c r="AB25327" s="38"/>
    </row>
    <row r="25328">
      <c r="P25328" s="42"/>
      <c r="AB25328" s="38"/>
    </row>
    <row r="25329">
      <c r="P25329" s="42"/>
      <c r="AB25329" s="38"/>
    </row>
    <row r="25330">
      <c r="P25330" s="42"/>
      <c r="AB25330" s="38"/>
    </row>
    <row r="25331">
      <c r="P25331" s="42"/>
      <c r="AB25331" s="38"/>
    </row>
    <row r="25332">
      <c r="P25332" s="42"/>
      <c r="AB25332" s="38"/>
    </row>
    <row r="25333">
      <c r="P25333" s="42"/>
      <c r="AB25333" s="38"/>
    </row>
    <row r="25334">
      <c r="P25334" s="42"/>
      <c r="AB25334" s="38"/>
    </row>
    <row r="25335">
      <c r="P25335" s="42"/>
      <c r="AB25335" s="38"/>
    </row>
    <row r="25336">
      <c r="P25336" s="42"/>
      <c r="AB25336" s="38"/>
    </row>
    <row r="25337">
      <c r="P25337" s="42"/>
      <c r="AB25337" s="38"/>
    </row>
    <row r="25338">
      <c r="P25338" s="42"/>
      <c r="AB25338" s="38"/>
    </row>
    <row r="25339">
      <c r="P25339" s="42"/>
      <c r="AB25339" s="38"/>
    </row>
    <row r="25340">
      <c r="P25340" s="42"/>
      <c r="AB25340" s="38"/>
    </row>
    <row r="25341">
      <c r="P25341" s="42"/>
      <c r="AB25341" s="38"/>
    </row>
    <row r="25342">
      <c r="P25342" s="42"/>
      <c r="AB25342" s="38"/>
    </row>
    <row r="25343">
      <c r="P25343" s="42"/>
      <c r="AB25343" s="38"/>
    </row>
    <row r="25344">
      <c r="P25344" s="42"/>
      <c r="AB25344" s="38"/>
    </row>
    <row r="25345">
      <c r="P25345" s="42"/>
      <c r="AB25345" s="38"/>
    </row>
    <row r="25346">
      <c r="P25346" s="42"/>
      <c r="AB25346" s="38"/>
    </row>
    <row r="25347">
      <c r="P25347" s="42"/>
      <c r="AB25347" s="38"/>
    </row>
    <row r="25348">
      <c r="P25348" s="42"/>
      <c r="AB25348" s="38"/>
    </row>
    <row r="25349">
      <c r="P25349" s="42"/>
      <c r="AB25349" s="38"/>
    </row>
    <row r="25350">
      <c r="P25350" s="42"/>
      <c r="AB25350" s="38"/>
    </row>
    <row r="25351">
      <c r="P25351" s="42"/>
      <c r="AB25351" s="38"/>
    </row>
    <row r="25352">
      <c r="P25352" s="42"/>
      <c r="AB25352" s="38"/>
    </row>
    <row r="25353">
      <c r="P25353" s="42"/>
      <c r="AB25353" s="38"/>
    </row>
    <row r="25354">
      <c r="P25354" s="42"/>
      <c r="AB25354" s="38"/>
    </row>
    <row r="25355">
      <c r="P25355" s="42"/>
      <c r="AB25355" s="38"/>
    </row>
    <row r="25356">
      <c r="P25356" s="42"/>
      <c r="AB25356" s="38"/>
    </row>
    <row r="25357">
      <c r="P25357" s="42"/>
      <c r="AB25357" s="38"/>
    </row>
    <row r="25358">
      <c r="P25358" s="42"/>
      <c r="AB25358" s="38"/>
    </row>
    <row r="25359">
      <c r="P25359" s="42"/>
      <c r="AB25359" s="38"/>
    </row>
    <row r="25360">
      <c r="P25360" s="42"/>
      <c r="AB25360" s="38"/>
    </row>
    <row r="25361">
      <c r="P25361" s="42"/>
      <c r="AB25361" s="38"/>
    </row>
    <row r="25362">
      <c r="P25362" s="42"/>
      <c r="AB25362" s="38"/>
    </row>
    <row r="25363">
      <c r="P25363" s="42"/>
      <c r="AB25363" s="38"/>
    </row>
    <row r="25364">
      <c r="P25364" s="42"/>
      <c r="AB25364" s="38"/>
    </row>
    <row r="25365">
      <c r="P25365" s="42"/>
      <c r="AB25365" s="38"/>
    </row>
    <row r="25366">
      <c r="P25366" s="42"/>
      <c r="AB25366" s="38"/>
    </row>
    <row r="25367">
      <c r="P25367" s="42"/>
      <c r="AB25367" s="38"/>
    </row>
    <row r="25368">
      <c r="P25368" s="42"/>
      <c r="AB25368" s="38"/>
    </row>
    <row r="25369">
      <c r="P25369" s="42"/>
      <c r="AB25369" s="38"/>
    </row>
    <row r="25370">
      <c r="P25370" s="42"/>
      <c r="AB25370" s="38"/>
    </row>
    <row r="25371">
      <c r="P25371" s="42"/>
      <c r="AB25371" s="38"/>
    </row>
    <row r="25372">
      <c r="P25372" s="42"/>
      <c r="AB25372" s="38"/>
    </row>
    <row r="25373">
      <c r="P25373" s="42"/>
      <c r="AB25373" s="38"/>
    </row>
    <row r="25374">
      <c r="P25374" s="42"/>
      <c r="AB25374" s="38"/>
    </row>
    <row r="25375">
      <c r="P25375" s="42"/>
      <c r="AB25375" s="38"/>
    </row>
    <row r="25376">
      <c r="P25376" s="42"/>
      <c r="AB25376" s="38"/>
    </row>
    <row r="25377">
      <c r="P25377" s="42"/>
      <c r="AB25377" s="38"/>
    </row>
    <row r="25378">
      <c r="P25378" s="42"/>
      <c r="AB25378" s="38"/>
    </row>
    <row r="25379">
      <c r="P25379" s="42"/>
      <c r="AB25379" s="38"/>
    </row>
    <row r="25380">
      <c r="P25380" s="42"/>
      <c r="AB25380" s="38"/>
    </row>
    <row r="25381">
      <c r="P25381" s="42"/>
      <c r="AB25381" s="38"/>
    </row>
    <row r="25382">
      <c r="P25382" s="42"/>
      <c r="AB25382" s="38"/>
    </row>
    <row r="25383">
      <c r="P25383" s="42"/>
      <c r="AB25383" s="38"/>
    </row>
    <row r="25384">
      <c r="P25384" s="42"/>
      <c r="AB25384" s="38"/>
    </row>
    <row r="25385">
      <c r="P25385" s="42"/>
      <c r="AB25385" s="38"/>
    </row>
    <row r="25386">
      <c r="P25386" s="42"/>
      <c r="AB25386" s="38"/>
    </row>
    <row r="25387">
      <c r="P25387" s="42"/>
      <c r="AB25387" s="38"/>
    </row>
    <row r="25388">
      <c r="P25388" s="42"/>
      <c r="AB25388" s="38"/>
    </row>
    <row r="25389">
      <c r="P25389" s="42"/>
      <c r="AB25389" s="38"/>
    </row>
    <row r="25390">
      <c r="P25390" s="42"/>
      <c r="AB25390" s="38"/>
    </row>
    <row r="25391">
      <c r="P25391" s="42"/>
      <c r="AB25391" s="38"/>
    </row>
    <row r="25392">
      <c r="P25392" s="42"/>
      <c r="AB25392" s="38"/>
    </row>
    <row r="25393">
      <c r="P25393" s="42"/>
      <c r="AB25393" s="38"/>
    </row>
    <row r="25394">
      <c r="P25394" s="42"/>
      <c r="AB25394" s="38"/>
    </row>
    <row r="25395">
      <c r="P25395" s="42"/>
      <c r="AB25395" s="38"/>
    </row>
    <row r="25396">
      <c r="P25396" s="42"/>
      <c r="AB25396" s="38"/>
    </row>
    <row r="25397">
      <c r="P25397" s="42"/>
      <c r="AB25397" s="38"/>
    </row>
    <row r="25398">
      <c r="P25398" s="42"/>
      <c r="AB25398" s="38"/>
    </row>
    <row r="25399">
      <c r="P25399" s="42"/>
      <c r="AB25399" s="38"/>
    </row>
    <row r="25400">
      <c r="P25400" s="42"/>
      <c r="AB25400" s="38"/>
    </row>
    <row r="25401">
      <c r="P25401" s="42"/>
      <c r="AB25401" s="38"/>
    </row>
    <row r="25402">
      <c r="P25402" s="42"/>
      <c r="AB25402" s="38"/>
    </row>
    <row r="25403">
      <c r="P25403" s="42"/>
      <c r="AB25403" s="38"/>
    </row>
    <row r="25404">
      <c r="P25404" s="42"/>
      <c r="AB25404" s="38"/>
    </row>
    <row r="25405">
      <c r="P25405" s="42"/>
      <c r="AB25405" s="38"/>
    </row>
    <row r="25406">
      <c r="P25406" s="42"/>
      <c r="AB25406" s="38"/>
    </row>
    <row r="25407">
      <c r="P25407" s="42"/>
      <c r="AB25407" s="38"/>
    </row>
    <row r="25408">
      <c r="P25408" s="42"/>
      <c r="AB25408" s="38"/>
    </row>
    <row r="25409">
      <c r="P25409" s="42"/>
      <c r="AB25409" s="38"/>
    </row>
    <row r="25410">
      <c r="P25410" s="42"/>
      <c r="AB25410" s="38"/>
    </row>
    <row r="25411">
      <c r="P25411" s="42"/>
      <c r="AB25411" s="38"/>
    </row>
    <row r="25412">
      <c r="P25412" s="42"/>
      <c r="AB25412" s="38"/>
    </row>
    <row r="25413">
      <c r="P25413" s="42"/>
      <c r="AB25413" s="38"/>
    </row>
    <row r="25414">
      <c r="P25414" s="42"/>
      <c r="AB25414" s="38"/>
    </row>
    <row r="25415">
      <c r="P25415" s="42"/>
      <c r="AB25415" s="38"/>
    </row>
    <row r="25416">
      <c r="P25416" s="42"/>
      <c r="AB25416" s="38"/>
    </row>
    <row r="25417">
      <c r="P25417" s="42"/>
      <c r="AB25417" s="38"/>
    </row>
    <row r="25418">
      <c r="P25418" s="42"/>
      <c r="AB25418" s="38"/>
    </row>
    <row r="25419">
      <c r="P25419" s="42"/>
      <c r="AB25419" s="38"/>
    </row>
    <row r="25420">
      <c r="P25420" s="42"/>
      <c r="AB25420" s="38"/>
    </row>
    <row r="25421">
      <c r="P25421" s="42"/>
      <c r="AB25421" s="38"/>
    </row>
    <row r="25422">
      <c r="P25422" s="42"/>
      <c r="AB25422" s="38"/>
    </row>
    <row r="25423">
      <c r="P25423" s="42"/>
      <c r="AB25423" s="38"/>
    </row>
    <row r="25424">
      <c r="P25424" s="42"/>
      <c r="AB25424" s="38"/>
    </row>
    <row r="25425">
      <c r="P25425" s="42"/>
      <c r="AB25425" s="38"/>
    </row>
    <row r="25426">
      <c r="P25426" s="42"/>
      <c r="AB25426" s="38"/>
    </row>
    <row r="25427">
      <c r="P25427" s="42"/>
      <c r="AB25427" s="38"/>
    </row>
    <row r="25428">
      <c r="P25428" s="42"/>
      <c r="AB25428" s="38"/>
    </row>
    <row r="25429">
      <c r="P25429" s="42"/>
      <c r="AB25429" s="38"/>
    </row>
    <row r="25430">
      <c r="P25430" s="42"/>
      <c r="AB25430" s="38"/>
    </row>
    <row r="25431">
      <c r="P25431" s="42"/>
      <c r="AB25431" s="38"/>
    </row>
    <row r="25432">
      <c r="P25432" s="42"/>
      <c r="AB25432" s="38"/>
    </row>
    <row r="25433">
      <c r="P25433" s="42"/>
      <c r="AB25433" s="38"/>
    </row>
    <row r="25434">
      <c r="P25434" s="42"/>
      <c r="AB25434" s="38"/>
    </row>
    <row r="25435">
      <c r="P25435" s="42"/>
      <c r="AB25435" s="38"/>
    </row>
    <row r="25436">
      <c r="P25436" s="42"/>
      <c r="AB25436" s="38"/>
    </row>
    <row r="25437">
      <c r="P25437" s="42"/>
      <c r="AB25437" s="38"/>
    </row>
    <row r="25438">
      <c r="P25438" s="42"/>
      <c r="AB25438" s="38"/>
    </row>
    <row r="25439">
      <c r="P25439" s="42"/>
      <c r="AB25439" s="38"/>
    </row>
    <row r="25440">
      <c r="P25440" s="42"/>
      <c r="AB25440" s="38"/>
    </row>
    <row r="25441">
      <c r="P25441" s="42"/>
      <c r="AB25441" s="38"/>
    </row>
    <row r="25442">
      <c r="P25442" s="42"/>
      <c r="AB25442" s="38"/>
    </row>
    <row r="25443">
      <c r="P25443" s="42"/>
      <c r="AB25443" s="38"/>
    </row>
    <row r="25444">
      <c r="P25444" s="42"/>
      <c r="AB25444" s="38"/>
    </row>
    <row r="25445">
      <c r="P25445" s="42"/>
      <c r="AB25445" s="38"/>
    </row>
    <row r="25446">
      <c r="P25446" s="42"/>
      <c r="AB25446" s="38"/>
    </row>
    <row r="25447">
      <c r="P25447" s="42"/>
      <c r="AB25447" s="38"/>
    </row>
    <row r="25448">
      <c r="P25448" s="42"/>
      <c r="AB25448" s="38"/>
    </row>
    <row r="25449">
      <c r="P25449" s="42"/>
      <c r="AB25449" s="38"/>
    </row>
    <row r="25450">
      <c r="P25450" s="42"/>
      <c r="AB25450" s="38"/>
    </row>
    <row r="25451">
      <c r="P25451" s="42"/>
      <c r="AB25451" s="38"/>
    </row>
    <row r="25452">
      <c r="P25452" s="42"/>
      <c r="AB25452" s="38"/>
    </row>
    <row r="25453">
      <c r="P25453" s="42"/>
      <c r="AB25453" s="38"/>
    </row>
    <row r="25454">
      <c r="P25454" s="42"/>
      <c r="AB25454" s="38"/>
    </row>
    <row r="25455">
      <c r="P25455" s="42"/>
      <c r="AB25455" s="38"/>
    </row>
    <row r="25456">
      <c r="P25456" s="42"/>
      <c r="AB25456" s="38"/>
    </row>
    <row r="25457">
      <c r="P25457" s="42"/>
      <c r="AB25457" s="38"/>
    </row>
    <row r="25458">
      <c r="P25458" s="42"/>
      <c r="AB25458" s="38"/>
    </row>
    <row r="25459">
      <c r="P25459" s="42"/>
      <c r="AB25459" s="38"/>
    </row>
    <row r="25460">
      <c r="P25460" s="42"/>
      <c r="AB25460" s="38"/>
    </row>
    <row r="25461">
      <c r="P25461" s="42"/>
      <c r="AB25461" s="38"/>
    </row>
    <row r="25462">
      <c r="P25462" s="42"/>
      <c r="AB25462" s="38"/>
    </row>
    <row r="25463">
      <c r="P25463" s="42"/>
      <c r="AB25463" s="38"/>
    </row>
    <row r="25464">
      <c r="P25464" s="42"/>
      <c r="AB25464" s="38"/>
    </row>
    <row r="25465">
      <c r="P25465" s="42"/>
      <c r="AB25465" s="38"/>
    </row>
    <row r="25466">
      <c r="P25466" s="42"/>
      <c r="AB25466" s="38"/>
    </row>
    <row r="25467">
      <c r="P25467" s="42"/>
      <c r="AB25467" s="38"/>
    </row>
    <row r="25468">
      <c r="P25468" s="42"/>
      <c r="AB25468" s="38"/>
    </row>
    <row r="25469">
      <c r="P25469" s="42"/>
      <c r="AB25469" s="38"/>
    </row>
    <row r="25470">
      <c r="P25470" s="42"/>
      <c r="AB25470" s="38"/>
    </row>
    <row r="25471">
      <c r="P25471" s="42"/>
      <c r="AB25471" s="38"/>
    </row>
    <row r="25472">
      <c r="P25472" s="42"/>
      <c r="AB25472" s="38"/>
    </row>
    <row r="25473">
      <c r="P25473" s="42"/>
      <c r="AB25473" s="38"/>
    </row>
    <row r="25474">
      <c r="P25474" s="42"/>
      <c r="AB25474" s="38"/>
    </row>
    <row r="25475">
      <c r="P25475" s="42"/>
      <c r="AB25475" s="38"/>
    </row>
    <row r="25476">
      <c r="P25476" s="42"/>
      <c r="AB25476" s="38"/>
    </row>
    <row r="25477">
      <c r="P25477" s="42"/>
      <c r="AB25477" s="38"/>
    </row>
    <row r="25478">
      <c r="P25478" s="42"/>
      <c r="AB25478" s="38"/>
    </row>
    <row r="25479">
      <c r="P25479" s="42"/>
      <c r="AB25479" s="38"/>
    </row>
    <row r="25480">
      <c r="P25480" s="42"/>
      <c r="AB25480" s="38"/>
    </row>
    <row r="25481">
      <c r="P25481" s="42"/>
      <c r="AB25481" s="38"/>
    </row>
    <row r="25482">
      <c r="P25482" s="42"/>
      <c r="AB25482" s="38"/>
    </row>
    <row r="25483">
      <c r="P25483" s="42"/>
      <c r="AB25483" s="38"/>
    </row>
    <row r="25484">
      <c r="P25484" s="42"/>
      <c r="AB25484" s="38"/>
    </row>
    <row r="25485">
      <c r="P25485" s="42"/>
      <c r="AB25485" s="38"/>
    </row>
    <row r="25486">
      <c r="P25486" s="42"/>
      <c r="AB25486" s="38"/>
    </row>
    <row r="25487">
      <c r="P25487" s="42"/>
      <c r="AB25487" s="38"/>
    </row>
    <row r="25488">
      <c r="P25488" s="42"/>
      <c r="AB25488" s="38"/>
    </row>
    <row r="25489">
      <c r="P25489" s="42"/>
      <c r="AB25489" s="38"/>
    </row>
    <row r="25490">
      <c r="P25490" s="42"/>
      <c r="AB25490" s="38"/>
    </row>
    <row r="25491">
      <c r="P25491" s="42"/>
      <c r="AB25491" s="38"/>
    </row>
    <row r="25492">
      <c r="P25492" s="42"/>
      <c r="AB25492" s="38"/>
    </row>
    <row r="25493">
      <c r="P25493" s="42"/>
      <c r="AB25493" s="38"/>
    </row>
    <row r="25494">
      <c r="P25494" s="42"/>
      <c r="AB25494" s="38"/>
    </row>
    <row r="25495">
      <c r="P25495" s="42"/>
      <c r="AB25495" s="38"/>
    </row>
    <row r="25496">
      <c r="P25496" s="42"/>
      <c r="AB25496" s="38"/>
    </row>
    <row r="25497">
      <c r="P25497" s="42"/>
      <c r="AB25497" s="38"/>
    </row>
    <row r="25498">
      <c r="P25498" s="42"/>
      <c r="AB25498" s="38"/>
    </row>
    <row r="25499">
      <c r="P25499" s="42"/>
      <c r="AB25499" s="38"/>
    </row>
    <row r="25500">
      <c r="P25500" s="42"/>
      <c r="AB25500" s="38"/>
    </row>
    <row r="25501">
      <c r="P25501" s="42"/>
      <c r="AB25501" s="38"/>
    </row>
    <row r="25502">
      <c r="P25502" s="42"/>
      <c r="AB25502" s="38"/>
    </row>
    <row r="25503">
      <c r="P25503" s="42"/>
      <c r="AB25503" s="38"/>
    </row>
    <row r="25504">
      <c r="P25504" s="42"/>
      <c r="AB25504" s="38"/>
    </row>
    <row r="25505">
      <c r="P25505" s="42"/>
      <c r="AB25505" s="38"/>
    </row>
    <row r="25506">
      <c r="P25506" s="42"/>
      <c r="AB25506" s="38"/>
    </row>
    <row r="25507">
      <c r="P25507" s="42"/>
      <c r="AB25507" s="38"/>
    </row>
    <row r="25508">
      <c r="P25508" s="42"/>
      <c r="AB25508" s="38"/>
    </row>
    <row r="25509">
      <c r="P25509" s="42"/>
      <c r="AB25509" s="38"/>
    </row>
    <row r="25510">
      <c r="P25510" s="42"/>
      <c r="AB25510" s="38"/>
    </row>
    <row r="25511">
      <c r="P25511" s="42"/>
      <c r="AB25511" s="38"/>
    </row>
    <row r="25512">
      <c r="P25512" s="42"/>
      <c r="AB25512" s="38"/>
    </row>
    <row r="25513">
      <c r="P25513" s="42"/>
      <c r="AB25513" s="38"/>
    </row>
    <row r="25514">
      <c r="P25514" s="42"/>
      <c r="AB25514" s="38"/>
    </row>
    <row r="25515">
      <c r="P25515" s="42"/>
      <c r="AB25515" s="38"/>
    </row>
    <row r="25516">
      <c r="P25516" s="42"/>
      <c r="AB25516" s="38"/>
    </row>
    <row r="25517">
      <c r="P25517" s="42"/>
      <c r="AB25517" s="38"/>
    </row>
    <row r="25518">
      <c r="P25518" s="42"/>
      <c r="AB25518" s="38"/>
    </row>
    <row r="25519">
      <c r="P25519" s="42"/>
      <c r="AB25519" s="38"/>
    </row>
    <row r="25520">
      <c r="P25520" s="42"/>
      <c r="AB25520" s="38"/>
    </row>
    <row r="25521">
      <c r="P25521" s="42"/>
      <c r="AB25521" s="38"/>
    </row>
    <row r="25522">
      <c r="P25522" s="42"/>
      <c r="AB25522" s="38"/>
    </row>
    <row r="25523">
      <c r="P25523" s="42"/>
      <c r="AB25523" s="38"/>
    </row>
    <row r="25524">
      <c r="P25524" s="42"/>
      <c r="AB25524" s="38"/>
    </row>
    <row r="25525">
      <c r="P25525" s="42"/>
      <c r="AB25525" s="38"/>
    </row>
    <row r="25526">
      <c r="P25526" s="42"/>
      <c r="AB25526" s="38"/>
    </row>
    <row r="25527">
      <c r="P25527" s="42"/>
      <c r="AB25527" s="38"/>
    </row>
    <row r="25528">
      <c r="P25528" s="42"/>
      <c r="AB25528" s="38"/>
    </row>
    <row r="25529">
      <c r="P25529" s="42"/>
      <c r="AB25529" s="38"/>
    </row>
    <row r="25530">
      <c r="P25530" s="42"/>
      <c r="AB25530" s="38"/>
    </row>
    <row r="25531">
      <c r="P25531" s="42"/>
      <c r="AB25531" s="38"/>
    </row>
    <row r="25532">
      <c r="P25532" s="42"/>
      <c r="AB25532" s="38"/>
    </row>
    <row r="25533">
      <c r="P25533" s="42"/>
      <c r="AB25533" s="38"/>
    </row>
    <row r="25534">
      <c r="P25534" s="42"/>
      <c r="AB25534" s="38"/>
    </row>
    <row r="25535">
      <c r="P25535" s="42"/>
      <c r="AB25535" s="38"/>
    </row>
    <row r="25536">
      <c r="P25536" s="42"/>
      <c r="AB25536" s="38"/>
    </row>
    <row r="25537">
      <c r="P25537" s="42"/>
      <c r="AB25537" s="38"/>
    </row>
    <row r="25538">
      <c r="P25538" s="42"/>
      <c r="AB25538" s="38"/>
    </row>
    <row r="25539">
      <c r="P25539" s="42"/>
      <c r="AB25539" s="38"/>
    </row>
    <row r="25540">
      <c r="P25540" s="42"/>
      <c r="AB25540" s="38"/>
    </row>
    <row r="25541">
      <c r="P25541" s="42"/>
      <c r="AB25541" s="38"/>
    </row>
    <row r="25542">
      <c r="P25542" s="42"/>
      <c r="AB25542" s="38"/>
    </row>
    <row r="25543">
      <c r="P25543" s="42"/>
      <c r="AB25543" s="38"/>
    </row>
    <row r="25544">
      <c r="P25544" s="42"/>
      <c r="AB25544" s="38"/>
    </row>
    <row r="25545">
      <c r="P25545" s="42"/>
      <c r="AB25545" s="38"/>
    </row>
    <row r="25546">
      <c r="P25546" s="42"/>
      <c r="AB25546" s="38"/>
    </row>
    <row r="25547">
      <c r="P25547" s="42"/>
      <c r="AB25547" s="38"/>
    </row>
    <row r="25548">
      <c r="P25548" s="42"/>
      <c r="AB25548" s="38"/>
    </row>
    <row r="25549">
      <c r="P25549" s="42"/>
      <c r="AB25549" s="38"/>
    </row>
    <row r="25550">
      <c r="P25550" s="42"/>
      <c r="AB25550" s="38"/>
    </row>
    <row r="25551">
      <c r="P25551" s="42"/>
      <c r="AB25551" s="38"/>
    </row>
    <row r="25552">
      <c r="P25552" s="42"/>
      <c r="AB25552" s="38"/>
    </row>
    <row r="25553">
      <c r="P25553" s="42"/>
      <c r="AB25553" s="38"/>
    </row>
    <row r="25554">
      <c r="P25554" s="42"/>
      <c r="AB25554" s="38"/>
    </row>
    <row r="25555">
      <c r="P25555" s="42"/>
      <c r="AB25555" s="38"/>
    </row>
    <row r="25556">
      <c r="P25556" s="42"/>
      <c r="AB25556" s="38"/>
    </row>
    <row r="25557">
      <c r="P25557" s="42"/>
      <c r="AB25557" s="38"/>
    </row>
    <row r="25558">
      <c r="P25558" s="42"/>
      <c r="AB25558" s="38"/>
    </row>
    <row r="25559">
      <c r="P25559" s="42"/>
      <c r="AB25559" s="38"/>
    </row>
    <row r="25560">
      <c r="P25560" s="42"/>
      <c r="AB25560" s="38"/>
    </row>
    <row r="25561">
      <c r="P25561" s="42"/>
      <c r="AB25561" s="38"/>
    </row>
    <row r="25562">
      <c r="P25562" s="42"/>
      <c r="AB25562" s="38"/>
    </row>
    <row r="25563">
      <c r="P25563" s="42"/>
      <c r="AB25563" s="38"/>
    </row>
    <row r="25564">
      <c r="P25564" s="42"/>
      <c r="AB25564" s="38"/>
    </row>
    <row r="25565">
      <c r="P25565" s="42"/>
      <c r="AB25565" s="38"/>
    </row>
    <row r="25566">
      <c r="P25566" s="42"/>
      <c r="AB25566" s="38"/>
    </row>
    <row r="25567">
      <c r="P25567" s="42"/>
      <c r="AB25567" s="38"/>
    </row>
    <row r="25568">
      <c r="P25568" s="42"/>
      <c r="AB25568" s="38"/>
    </row>
    <row r="25569">
      <c r="P25569" s="42"/>
      <c r="AB25569" s="38"/>
    </row>
    <row r="25570">
      <c r="P25570" s="42"/>
      <c r="AB25570" s="38"/>
    </row>
    <row r="25571">
      <c r="P25571" s="42"/>
      <c r="AB25571" s="38"/>
    </row>
    <row r="25572">
      <c r="P25572" s="42"/>
      <c r="AB25572" s="38"/>
    </row>
    <row r="25573">
      <c r="P25573" s="42"/>
      <c r="AB25573" s="38"/>
    </row>
    <row r="25574">
      <c r="P25574" s="42"/>
      <c r="AB25574" s="38"/>
    </row>
    <row r="25575">
      <c r="P25575" s="42"/>
      <c r="AB25575" s="38"/>
    </row>
    <row r="25576">
      <c r="P25576" s="42"/>
      <c r="AB25576" s="38"/>
    </row>
    <row r="25577">
      <c r="P25577" s="42"/>
      <c r="AB25577" s="38"/>
    </row>
    <row r="25578">
      <c r="P25578" s="42"/>
      <c r="AB25578" s="38"/>
    </row>
    <row r="25579">
      <c r="P25579" s="42"/>
      <c r="AB25579" s="38"/>
    </row>
    <row r="25580">
      <c r="P25580" s="42"/>
      <c r="AB25580" s="38"/>
    </row>
    <row r="25581">
      <c r="P25581" s="42"/>
      <c r="AB25581" s="38"/>
    </row>
    <row r="25582">
      <c r="P25582" s="42"/>
      <c r="AB25582" s="38"/>
    </row>
    <row r="25583">
      <c r="P25583" s="42"/>
      <c r="AB25583" s="38"/>
    </row>
    <row r="25584">
      <c r="P25584" s="42"/>
      <c r="AB25584" s="38"/>
    </row>
    <row r="25585">
      <c r="P25585" s="42"/>
      <c r="AB25585" s="38"/>
    </row>
    <row r="25586">
      <c r="P25586" s="42"/>
      <c r="AB25586" s="38"/>
    </row>
    <row r="25587">
      <c r="P25587" s="42"/>
      <c r="AB25587" s="38"/>
    </row>
    <row r="25588">
      <c r="P25588" s="42"/>
      <c r="AB25588" s="38"/>
    </row>
    <row r="25589">
      <c r="P25589" s="42"/>
      <c r="AB25589" s="38"/>
    </row>
    <row r="25590">
      <c r="P25590" s="42"/>
      <c r="AB25590" s="38"/>
    </row>
    <row r="25591">
      <c r="P25591" s="42"/>
      <c r="AB25591" s="38"/>
    </row>
    <row r="25592">
      <c r="P25592" s="42"/>
      <c r="AB25592" s="38"/>
    </row>
    <row r="25593">
      <c r="P25593" s="42"/>
      <c r="AB25593" s="38"/>
    </row>
    <row r="25594">
      <c r="P25594" s="42"/>
      <c r="AB25594" s="38"/>
    </row>
    <row r="25595">
      <c r="P25595" s="42"/>
      <c r="AB25595" s="38"/>
    </row>
    <row r="25596">
      <c r="P25596" s="42"/>
      <c r="AB25596" s="38"/>
    </row>
    <row r="25597">
      <c r="P25597" s="42"/>
      <c r="AB25597" s="38"/>
    </row>
    <row r="25598">
      <c r="P25598" s="42"/>
      <c r="AB25598" s="38"/>
    </row>
    <row r="25599">
      <c r="P25599" s="42"/>
      <c r="AB25599" s="38"/>
    </row>
    <row r="25600">
      <c r="P25600" s="42"/>
      <c r="AB25600" s="38"/>
    </row>
    <row r="25601">
      <c r="P25601" s="42"/>
      <c r="AB25601" s="38"/>
    </row>
    <row r="25602">
      <c r="P25602" s="42"/>
      <c r="AB25602" s="38"/>
    </row>
    <row r="25603">
      <c r="P25603" s="42"/>
      <c r="AB25603" s="38"/>
    </row>
    <row r="25604">
      <c r="P25604" s="42"/>
      <c r="AB25604" s="38"/>
    </row>
    <row r="25605">
      <c r="P25605" s="42"/>
      <c r="AB25605" s="38"/>
    </row>
    <row r="25606">
      <c r="P25606" s="42"/>
      <c r="AB25606" s="38"/>
    </row>
    <row r="25607">
      <c r="P25607" s="42"/>
      <c r="AB25607" s="38"/>
    </row>
    <row r="25608">
      <c r="P25608" s="42"/>
      <c r="AB25608" s="38"/>
    </row>
    <row r="25609">
      <c r="P25609" s="42"/>
      <c r="AB25609" s="38"/>
    </row>
    <row r="25610">
      <c r="P25610" s="42"/>
      <c r="AB25610" s="38"/>
    </row>
    <row r="25611">
      <c r="P25611" s="42"/>
      <c r="AB25611" s="38"/>
    </row>
    <row r="25612">
      <c r="P25612" s="42"/>
      <c r="AB25612" s="38"/>
    </row>
    <row r="25613">
      <c r="P25613" s="42"/>
      <c r="AB25613" s="38"/>
    </row>
    <row r="25614">
      <c r="P25614" s="42"/>
      <c r="AB25614" s="38"/>
    </row>
    <row r="25615">
      <c r="P25615" s="42"/>
      <c r="AB25615" s="38"/>
    </row>
    <row r="25616">
      <c r="P25616" s="42"/>
      <c r="AB25616" s="38"/>
    </row>
    <row r="25617">
      <c r="P25617" s="42"/>
      <c r="AB25617" s="38"/>
    </row>
    <row r="25618">
      <c r="P25618" s="42"/>
      <c r="AB25618" s="38"/>
    </row>
    <row r="25619">
      <c r="P25619" s="42"/>
      <c r="AB25619" s="38"/>
    </row>
    <row r="25620">
      <c r="P25620" s="42"/>
      <c r="AB25620" s="38"/>
    </row>
    <row r="25621">
      <c r="P25621" s="42"/>
      <c r="AB25621" s="38"/>
    </row>
    <row r="25622">
      <c r="P25622" s="42"/>
      <c r="AB25622" s="38"/>
    </row>
    <row r="25623">
      <c r="P25623" s="42"/>
      <c r="AB25623" s="38"/>
    </row>
    <row r="25624">
      <c r="P25624" s="42"/>
      <c r="AB25624" s="38"/>
    </row>
    <row r="25625">
      <c r="P25625" s="42"/>
      <c r="AB25625" s="38"/>
    </row>
    <row r="25626">
      <c r="P25626" s="42"/>
      <c r="AB25626" s="38"/>
    </row>
    <row r="25627">
      <c r="P25627" s="42"/>
      <c r="AB25627" s="38"/>
    </row>
    <row r="25628">
      <c r="P25628" s="42"/>
      <c r="AB25628" s="38"/>
    </row>
    <row r="25629">
      <c r="P25629" s="42"/>
      <c r="AB25629" s="38"/>
    </row>
    <row r="25630">
      <c r="P25630" s="42"/>
      <c r="AB25630" s="38"/>
    </row>
    <row r="25631">
      <c r="P25631" s="42"/>
      <c r="AB25631" s="38"/>
    </row>
    <row r="25632">
      <c r="P25632" s="42"/>
      <c r="AB25632" s="38"/>
    </row>
    <row r="25633">
      <c r="P25633" s="42"/>
      <c r="AB25633" s="38"/>
    </row>
    <row r="25634">
      <c r="P25634" s="42"/>
      <c r="AB25634" s="38"/>
    </row>
    <row r="25635">
      <c r="P25635" s="42"/>
      <c r="AB25635" s="38"/>
    </row>
    <row r="25636">
      <c r="P25636" s="42"/>
      <c r="AB25636" s="38"/>
    </row>
    <row r="25637">
      <c r="P25637" s="42"/>
      <c r="AB25637" s="38"/>
    </row>
    <row r="25638">
      <c r="P25638" s="42"/>
      <c r="AB25638" s="38"/>
    </row>
    <row r="25639">
      <c r="P25639" s="42"/>
      <c r="AB25639" s="38"/>
    </row>
    <row r="25640">
      <c r="P25640" s="42"/>
      <c r="AB25640" s="38"/>
    </row>
    <row r="25641">
      <c r="P25641" s="42"/>
      <c r="AB25641" s="38"/>
    </row>
    <row r="25642">
      <c r="P25642" s="42"/>
      <c r="AB25642" s="38"/>
    </row>
    <row r="25643">
      <c r="P25643" s="42"/>
      <c r="AB25643" s="38"/>
    </row>
    <row r="25644">
      <c r="P25644" s="42"/>
      <c r="AB25644" s="38"/>
    </row>
    <row r="25645">
      <c r="P25645" s="42"/>
      <c r="AB25645" s="38"/>
    </row>
    <row r="25646">
      <c r="P25646" s="42"/>
      <c r="AB25646" s="38"/>
    </row>
    <row r="25647">
      <c r="P25647" s="42"/>
      <c r="AB25647" s="38"/>
    </row>
    <row r="25648">
      <c r="P25648" s="42"/>
      <c r="AB25648" s="38"/>
    </row>
    <row r="25649">
      <c r="P25649" s="42"/>
      <c r="AB25649" s="38"/>
    </row>
    <row r="25650">
      <c r="P25650" s="42"/>
      <c r="AB25650" s="38"/>
    </row>
    <row r="25651">
      <c r="P25651" s="42"/>
      <c r="AB25651" s="38"/>
    </row>
    <row r="25652">
      <c r="P25652" s="42"/>
      <c r="AB25652" s="38"/>
    </row>
    <row r="25653">
      <c r="P25653" s="42"/>
      <c r="AB25653" s="38"/>
    </row>
    <row r="25654">
      <c r="P25654" s="42"/>
      <c r="AB25654" s="38"/>
    </row>
    <row r="25655">
      <c r="P25655" s="42"/>
      <c r="AB25655" s="38"/>
    </row>
    <row r="25656">
      <c r="P25656" s="42"/>
      <c r="AB25656" s="38"/>
    </row>
    <row r="25657">
      <c r="P25657" s="42"/>
      <c r="AB25657" s="38"/>
    </row>
    <row r="25658">
      <c r="P25658" s="42"/>
      <c r="AB25658" s="38"/>
    </row>
    <row r="25659">
      <c r="P25659" s="42"/>
      <c r="AB25659" s="38"/>
    </row>
    <row r="25660">
      <c r="P25660" s="42"/>
      <c r="AB25660" s="38"/>
    </row>
    <row r="25661">
      <c r="P25661" s="42"/>
      <c r="AB25661" s="38"/>
    </row>
    <row r="25662">
      <c r="P25662" s="42"/>
      <c r="AB25662" s="38"/>
    </row>
    <row r="25663">
      <c r="P25663" s="42"/>
      <c r="AB25663" s="38"/>
    </row>
    <row r="25664">
      <c r="P25664" s="42"/>
      <c r="AB25664" s="38"/>
    </row>
    <row r="25665">
      <c r="P25665" s="42"/>
      <c r="AB25665" s="38"/>
    </row>
    <row r="25666">
      <c r="P25666" s="42"/>
      <c r="AB25666" s="38"/>
    </row>
    <row r="25667">
      <c r="P25667" s="42"/>
      <c r="AB25667" s="38"/>
    </row>
    <row r="25668">
      <c r="P25668" s="42"/>
      <c r="AB25668" s="38"/>
    </row>
    <row r="25669">
      <c r="P25669" s="42"/>
      <c r="AB25669" s="38"/>
    </row>
    <row r="25670">
      <c r="P25670" s="42"/>
      <c r="AB25670" s="38"/>
    </row>
    <row r="25671">
      <c r="P25671" s="42"/>
      <c r="AB25671" s="38"/>
    </row>
    <row r="25672">
      <c r="P25672" s="42"/>
      <c r="AB25672" s="38"/>
    </row>
    <row r="25673">
      <c r="P25673" s="42"/>
      <c r="AB25673" s="38"/>
    </row>
    <row r="25674">
      <c r="P25674" s="42"/>
      <c r="AB25674" s="38"/>
    </row>
    <row r="25675">
      <c r="P25675" s="42"/>
      <c r="AB25675" s="38"/>
    </row>
    <row r="25676">
      <c r="P25676" s="42"/>
      <c r="AB25676" s="38"/>
    </row>
    <row r="25677">
      <c r="P25677" s="42"/>
      <c r="AB25677" s="38"/>
    </row>
    <row r="25678">
      <c r="P25678" s="42"/>
      <c r="AB25678" s="38"/>
    </row>
    <row r="25679">
      <c r="P25679" s="42"/>
      <c r="AB25679" s="38"/>
    </row>
    <row r="25680">
      <c r="P25680" s="42"/>
      <c r="AB25680" s="38"/>
    </row>
    <row r="25681">
      <c r="P25681" s="42"/>
      <c r="AB25681" s="38"/>
    </row>
    <row r="25682">
      <c r="P25682" s="42"/>
      <c r="AB25682" s="38"/>
    </row>
    <row r="25683">
      <c r="P25683" s="42"/>
      <c r="AB25683" s="38"/>
    </row>
    <row r="25684">
      <c r="P25684" s="42"/>
      <c r="AB25684" s="38"/>
    </row>
    <row r="25685">
      <c r="P25685" s="42"/>
      <c r="AB25685" s="38"/>
    </row>
    <row r="25686">
      <c r="P25686" s="42"/>
      <c r="AB25686" s="38"/>
    </row>
    <row r="25687">
      <c r="P25687" s="42"/>
      <c r="AB25687" s="38"/>
    </row>
    <row r="25688">
      <c r="P25688" s="42"/>
      <c r="AB25688" s="38"/>
    </row>
    <row r="25689">
      <c r="P25689" s="42"/>
      <c r="AB25689" s="38"/>
    </row>
    <row r="25690">
      <c r="P25690" s="42"/>
      <c r="AB25690" s="38"/>
    </row>
    <row r="25691">
      <c r="P25691" s="42"/>
      <c r="AB25691" s="38"/>
    </row>
    <row r="25692">
      <c r="P25692" s="42"/>
      <c r="AB25692" s="38"/>
    </row>
    <row r="25693">
      <c r="P25693" s="42"/>
      <c r="AB25693" s="38"/>
    </row>
    <row r="25694">
      <c r="P25694" s="42"/>
      <c r="AB25694" s="38"/>
    </row>
    <row r="25695">
      <c r="P25695" s="42"/>
      <c r="AB25695" s="38"/>
    </row>
    <row r="25696">
      <c r="P25696" s="42"/>
      <c r="AB25696" s="38"/>
    </row>
    <row r="25697">
      <c r="P25697" s="42"/>
      <c r="AB25697" s="38"/>
    </row>
    <row r="25698">
      <c r="P25698" s="42"/>
      <c r="AB25698" s="38"/>
    </row>
    <row r="25699">
      <c r="P25699" s="42"/>
      <c r="AB25699" s="38"/>
    </row>
    <row r="25700">
      <c r="P25700" s="42"/>
      <c r="AB25700" s="38"/>
    </row>
    <row r="25701">
      <c r="P25701" s="42"/>
      <c r="AB25701" s="38"/>
    </row>
    <row r="25702">
      <c r="P25702" s="42"/>
      <c r="AB25702" s="38"/>
    </row>
    <row r="25703">
      <c r="P25703" s="42"/>
      <c r="AB25703" s="38"/>
    </row>
    <row r="25704">
      <c r="P25704" s="42"/>
      <c r="AB25704" s="38"/>
    </row>
    <row r="25705">
      <c r="P25705" s="42"/>
      <c r="AB25705" s="38"/>
    </row>
    <row r="25706">
      <c r="P25706" s="42"/>
      <c r="AB25706" s="38"/>
    </row>
    <row r="25707">
      <c r="P25707" s="42"/>
      <c r="AB25707" s="38"/>
    </row>
    <row r="25708">
      <c r="P25708" s="42"/>
      <c r="AB25708" s="38"/>
    </row>
    <row r="25709">
      <c r="P25709" s="42"/>
      <c r="AB25709" s="38"/>
    </row>
    <row r="25710">
      <c r="P25710" s="42"/>
      <c r="AB25710" s="38"/>
    </row>
    <row r="25711">
      <c r="P25711" s="42"/>
      <c r="AB25711" s="38"/>
    </row>
    <row r="25712">
      <c r="P25712" s="42"/>
      <c r="AB25712" s="38"/>
    </row>
    <row r="25713">
      <c r="P25713" s="42"/>
      <c r="AB25713" s="38"/>
    </row>
    <row r="25714">
      <c r="P25714" s="42"/>
      <c r="AB25714" s="38"/>
    </row>
    <row r="25715">
      <c r="P25715" s="42"/>
      <c r="AB25715" s="38"/>
    </row>
    <row r="25716">
      <c r="P25716" s="42"/>
      <c r="AB25716" s="38"/>
    </row>
    <row r="25717">
      <c r="P25717" s="42"/>
      <c r="AB25717" s="38"/>
    </row>
    <row r="25718">
      <c r="P25718" s="42"/>
      <c r="AB25718" s="38"/>
    </row>
    <row r="25719">
      <c r="P25719" s="42"/>
      <c r="AB25719" s="38"/>
    </row>
    <row r="25720">
      <c r="P25720" s="42"/>
      <c r="AB25720" s="38"/>
    </row>
    <row r="25721">
      <c r="P25721" s="42"/>
      <c r="AB25721" s="38"/>
    </row>
    <row r="25722">
      <c r="P25722" s="42"/>
      <c r="AB25722" s="38"/>
    </row>
    <row r="25723">
      <c r="P25723" s="42"/>
      <c r="AB25723" s="38"/>
    </row>
    <row r="25724">
      <c r="P25724" s="42"/>
      <c r="AB25724" s="38"/>
    </row>
    <row r="25725">
      <c r="P25725" s="42"/>
      <c r="AB25725" s="38"/>
    </row>
    <row r="25726">
      <c r="P25726" s="42"/>
      <c r="AB25726" s="38"/>
    </row>
    <row r="25727">
      <c r="P25727" s="42"/>
      <c r="AB25727" s="38"/>
    </row>
    <row r="25728">
      <c r="P25728" s="42"/>
      <c r="AB25728" s="38"/>
    </row>
    <row r="25729">
      <c r="P25729" s="42"/>
      <c r="AB25729" s="38"/>
    </row>
    <row r="25730">
      <c r="P25730" s="42"/>
      <c r="AB25730" s="38"/>
    </row>
    <row r="25731">
      <c r="P25731" s="42"/>
      <c r="AB25731" s="38"/>
    </row>
    <row r="25732">
      <c r="P25732" s="42"/>
      <c r="AB25732" s="38"/>
    </row>
    <row r="25733">
      <c r="P25733" s="42"/>
      <c r="AB25733" s="38"/>
    </row>
    <row r="25734">
      <c r="P25734" s="42"/>
      <c r="AB25734" s="38"/>
    </row>
    <row r="25735">
      <c r="P25735" s="42"/>
      <c r="AB25735" s="38"/>
    </row>
    <row r="25736">
      <c r="P25736" s="42"/>
      <c r="AB25736" s="38"/>
    </row>
    <row r="25737">
      <c r="P25737" s="42"/>
      <c r="AB25737" s="38"/>
    </row>
    <row r="25738">
      <c r="P25738" s="42"/>
      <c r="AB25738" s="38"/>
    </row>
    <row r="25739">
      <c r="P25739" s="42"/>
      <c r="AB25739" s="38"/>
    </row>
    <row r="25740">
      <c r="P25740" s="42"/>
      <c r="AB25740" s="38"/>
    </row>
    <row r="25741">
      <c r="P25741" s="42"/>
      <c r="AB25741" s="38"/>
    </row>
    <row r="25742">
      <c r="P25742" s="42"/>
      <c r="AB25742" s="38"/>
    </row>
    <row r="25743">
      <c r="P25743" s="42"/>
      <c r="AB25743" s="38"/>
    </row>
    <row r="25744">
      <c r="P25744" s="42"/>
      <c r="AB25744" s="38"/>
    </row>
    <row r="25745">
      <c r="P25745" s="42"/>
      <c r="AB25745" s="38"/>
    </row>
    <row r="25746">
      <c r="P25746" s="42"/>
      <c r="AB25746" s="38"/>
    </row>
    <row r="25747">
      <c r="P25747" s="42"/>
      <c r="AB25747" s="38"/>
    </row>
    <row r="25748">
      <c r="P25748" s="42"/>
      <c r="AB25748" s="38"/>
    </row>
    <row r="25749">
      <c r="P25749" s="42"/>
      <c r="AB25749" s="38"/>
    </row>
    <row r="25750">
      <c r="P25750" s="42"/>
      <c r="AB25750" s="38"/>
    </row>
    <row r="25751">
      <c r="P25751" s="42"/>
      <c r="AB25751" s="38"/>
    </row>
    <row r="25752">
      <c r="P25752" s="42"/>
      <c r="AB25752" s="38"/>
    </row>
    <row r="25753">
      <c r="P25753" s="42"/>
      <c r="AB25753" s="38"/>
    </row>
    <row r="25754">
      <c r="P25754" s="42"/>
      <c r="AB25754" s="38"/>
    </row>
    <row r="25755">
      <c r="P25755" s="42"/>
      <c r="AB25755" s="38"/>
    </row>
    <row r="25756">
      <c r="P25756" s="42"/>
      <c r="AB25756" s="38"/>
    </row>
    <row r="25757">
      <c r="P25757" s="42"/>
      <c r="AB25757" s="38"/>
    </row>
    <row r="25758">
      <c r="P25758" s="42"/>
      <c r="AB25758" s="38"/>
    </row>
    <row r="25759">
      <c r="P25759" s="42"/>
      <c r="AB25759" s="38"/>
    </row>
    <row r="25760">
      <c r="P25760" s="42"/>
      <c r="AB25760" s="38"/>
    </row>
    <row r="25761">
      <c r="P25761" s="42"/>
      <c r="AB25761" s="38"/>
    </row>
    <row r="25762">
      <c r="P25762" s="42"/>
      <c r="AB25762" s="38"/>
    </row>
    <row r="25763">
      <c r="P25763" s="42"/>
      <c r="AB25763" s="38"/>
    </row>
    <row r="25764">
      <c r="P25764" s="42"/>
      <c r="AB25764" s="38"/>
    </row>
    <row r="25765">
      <c r="P25765" s="42"/>
      <c r="AB25765" s="38"/>
    </row>
    <row r="25766">
      <c r="P25766" s="42"/>
      <c r="AB25766" s="38"/>
    </row>
    <row r="25767">
      <c r="P25767" s="42"/>
      <c r="AB25767" s="38"/>
    </row>
    <row r="25768">
      <c r="P25768" s="42"/>
      <c r="AB25768" s="38"/>
    </row>
    <row r="25769">
      <c r="P25769" s="42"/>
      <c r="AB25769" s="38"/>
    </row>
    <row r="25770">
      <c r="P25770" s="42"/>
      <c r="AB25770" s="38"/>
    </row>
    <row r="25771">
      <c r="P25771" s="42"/>
      <c r="AB25771" s="38"/>
    </row>
    <row r="25772">
      <c r="P25772" s="42"/>
      <c r="AB25772" s="38"/>
    </row>
    <row r="25773">
      <c r="P25773" s="42"/>
      <c r="AB25773" s="38"/>
    </row>
    <row r="25774">
      <c r="P25774" s="42"/>
      <c r="AB25774" s="38"/>
    </row>
    <row r="25775">
      <c r="P25775" s="42"/>
      <c r="AB25775" s="38"/>
    </row>
    <row r="25776">
      <c r="P25776" s="42"/>
      <c r="AB25776" s="38"/>
    </row>
    <row r="25777">
      <c r="P25777" s="42"/>
      <c r="AB25777" s="38"/>
    </row>
    <row r="25778">
      <c r="P25778" s="42"/>
      <c r="AB25778" s="38"/>
    </row>
    <row r="25779">
      <c r="P25779" s="42"/>
      <c r="AB25779" s="38"/>
    </row>
    <row r="25780">
      <c r="P25780" s="42"/>
      <c r="AB25780" s="38"/>
    </row>
    <row r="25781">
      <c r="P25781" s="42"/>
      <c r="AB25781" s="38"/>
    </row>
    <row r="25782">
      <c r="P25782" s="42"/>
      <c r="AB25782" s="38"/>
    </row>
    <row r="25783">
      <c r="P25783" s="42"/>
      <c r="AB25783" s="38"/>
    </row>
    <row r="25784">
      <c r="P25784" s="42"/>
      <c r="AB25784" s="38"/>
    </row>
    <row r="25785">
      <c r="P25785" s="42"/>
      <c r="AB25785" s="38"/>
    </row>
    <row r="25786">
      <c r="P25786" s="42"/>
      <c r="AB25786" s="38"/>
    </row>
    <row r="25787">
      <c r="P25787" s="42"/>
      <c r="AB25787" s="38"/>
    </row>
    <row r="25788">
      <c r="P25788" s="42"/>
      <c r="AB25788" s="38"/>
    </row>
    <row r="25789">
      <c r="P25789" s="42"/>
      <c r="AB25789" s="38"/>
    </row>
    <row r="25790">
      <c r="P25790" s="42"/>
      <c r="AB25790" s="38"/>
    </row>
    <row r="25791">
      <c r="P25791" s="42"/>
      <c r="AB25791" s="38"/>
    </row>
    <row r="25792">
      <c r="P25792" s="42"/>
      <c r="AB25792" s="38"/>
    </row>
    <row r="25793">
      <c r="P25793" s="42"/>
      <c r="AB25793" s="38"/>
    </row>
    <row r="25794">
      <c r="P25794" s="42"/>
      <c r="AB25794" s="38"/>
    </row>
    <row r="25795">
      <c r="P25795" s="42"/>
      <c r="AB25795" s="38"/>
    </row>
    <row r="25796">
      <c r="P25796" s="42"/>
      <c r="AB25796" s="38"/>
    </row>
    <row r="25797">
      <c r="P25797" s="42"/>
      <c r="AB25797" s="38"/>
    </row>
    <row r="25798">
      <c r="P25798" s="42"/>
      <c r="AB25798" s="38"/>
    </row>
    <row r="25799">
      <c r="P25799" s="42"/>
      <c r="AB25799" s="38"/>
    </row>
    <row r="25800">
      <c r="P25800" s="42"/>
      <c r="AB25800" s="38"/>
    </row>
    <row r="25801">
      <c r="P25801" s="42"/>
      <c r="AB25801" s="38"/>
    </row>
    <row r="25802">
      <c r="P25802" s="42"/>
      <c r="AB25802" s="38"/>
    </row>
    <row r="25803">
      <c r="P25803" s="42"/>
      <c r="AB25803" s="38"/>
    </row>
    <row r="25804">
      <c r="P25804" s="42"/>
      <c r="AB25804" s="38"/>
    </row>
    <row r="25805">
      <c r="P25805" s="42"/>
      <c r="AB25805" s="38"/>
    </row>
    <row r="25806">
      <c r="P25806" s="42"/>
      <c r="AB25806" s="38"/>
    </row>
    <row r="25807">
      <c r="P25807" s="42"/>
      <c r="AB25807" s="38"/>
    </row>
    <row r="25808">
      <c r="P25808" s="42"/>
      <c r="AB25808" s="38"/>
    </row>
    <row r="25809">
      <c r="P25809" s="42"/>
      <c r="AB25809" s="38"/>
    </row>
    <row r="25810">
      <c r="P25810" s="42"/>
      <c r="AB25810" s="38"/>
    </row>
    <row r="25811">
      <c r="P25811" s="42"/>
      <c r="AB25811" s="38"/>
    </row>
    <row r="25812">
      <c r="P25812" s="42"/>
      <c r="AB25812" s="38"/>
    </row>
    <row r="25813">
      <c r="P25813" s="42"/>
      <c r="AB25813" s="38"/>
    </row>
    <row r="25814">
      <c r="P25814" s="42"/>
      <c r="AB25814" s="38"/>
    </row>
    <row r="25815">
      <c r="P25815" s="42"/>
      <c r="AB25815" s="38"/>
    </row>
    <row r="25816">
      <c r="P25816" s="42"/>
      <c r="AB25816" s="38"/>
    </row>
    <row r="25817">
      <c r="P25817" s="42"/>
      <c r="AB25817" s="38"/>
    </row>
    <row r="25818">
      <c r="P25818" s="42"/>
      <c r="AB25818" s="38"/>
    </row>
    <row r="25819">
      <c r="P25819" s="42"/>
      <c r="AB25819" s="38"/>
    </row>
    <row r="25820">
      <c r="P25820" s="42"/>
      <c r="AB25820" s="38"/>
    </row>
    <row r="25821">
      <c r="P25821" s="42"/>
      <c r="AB25821" s="38"/>
    </row>
    <row r="25822">
      <c r="P25822" s="42"/>
      <c r="AB25822" s="38"/>
    </row>
    <row r="25823">
      <c r="P25823" s="42"/>
      <c r="AB25823" s="38"/>
    </row>
    <row r="25824">
      <c r="P25824" s="42"/>
      <c r="AB25824" s="38"/>
    </row>
    <row r="25825">
      <c r="P25825" s="42"/>
      <c r="AB25825" s="38"/>
    </row>
    <row r="25826">
      <c r="P25826" s="42"/>
      <c r="AB25826" s="38"/>
    </row>
    <row r="25827">
      <c r="P25827" s="42"/>
      <c r="AB25827" s="38"/>
    </row>
    <row r="25828">
      <c r="P25828" s="42"/>
      <c r="AB25828" s="38"/>
    </row>
    <row r="25829">
      <c r="P25829" s="42"/>
      <c r="AB25829" s="38"/>
    </row>
    <row r="25830">
      <c r="P25830" s="42"/>
      <c r="AB25830" s="38"/>
    </row>
    <row r="25831">
      <c r="P25831" s="42"/>
      <c r="AB25831" s="38"/>
    </row>
    <row r="25832">
      <c r="P25832" s="42"/>
      <c r="AB25832" s="38"/>
    </row>
    <row r="25833">
      <c r="P25833" s="42"/>
      <c r="AB25833" s="38"/>
    </row>
    <row r="25834">
      <c r="P25834" s="42"/>
      <c r="AB25834" s="38"/>
    </row>
    <row r="25835">
      <c r="P25835" s="42"/>
      <c r="AB25835" s="38"/>
    </row>
    <row r="25836">
      <c r="P25836" s="42"/>
      <c r="AB25836" s="38"/>
    </row>
    <row r="25837">
      <c r="P25837" s="42"/>
      <c r="AB25837" s="38"/>
    </row>
    <row r="25838">
      <c r="P25838" s="42"/>
      <c r="AB25838" s="38"/>
    </row>
    <row r="25839">
      <c r="P25839" s="42"/>
      <c r="AB25839" s="38"/>
    </row>
    <row r="25840">
      <c r="P25840" s="42"/>
      <c r="AB25840" s="38"/>
    </row>
    <row r="25841">
      <c r="P25841" s="42"/>
      <c r="AB25841" s="38"/>
    </row>
    <row r="25842">
      <c r="P25842" s="42"/>
      <c r="AB25842" s="38"/>
    </row>
    <row r="25843">
      <c r="P25843" s="42"/>
      <c r="AB25843" s="38"/>
    </row>
    <row r="25844">
      <c r="P25844" s="42"/>
      <c r="AB25844" s="38"/>
    </row>
    <row r="25845">
      <c r="P25845" s="42"/>
      <c r="AB25845" s="38"/>
    </row>
    <row r="25846">
      <c r="P25846" s="42"/>
      <c r="AB25846" s="38"/>
    </row>
    <row r="25847">
      <c r="P25847" s="42"/>
      <c r="AB25847" s="38"/>
    </row>
    <row r="25848">
      <c r="P25848" s="42"/>
      <c r="AB25848" s="38"/>
    </row>
    <row r="25849">
      <c r="P25849" s="42"/>
      <c r="AB25849" s="38"/>
    </row>
    <row r="25850">
      <c r="P25850" s="42"/>
      <c r="AB25850" s="38"/>
    </row>
    <row r="25851">
      <c r="P25851" s="42"/>
      <c r="AB25851" s="38"/>
    </row>
    <row r="25852">
      <c r="P25852" s="42"/>
      <c r="AB25852" s="38"/>
    </row>
    <row r="25853">
      <c r="P25853" s="42"/>
      <c r="AB25853" s="38"/>
    </row>
    <row r="25854">
      <c r="P25854" s="42"/>
      <c r="AB25854" s="38"/>
    </row>
    <row r="25855">
      <c r="P25855" s="42"/>
      <c r="AB25855" s="38"/>
    </row>
    <row r="25856">
      <c r="P25856" s="42"/>
      <c r="AB25856" s="38"/>
    </row>
    <row r="25857">
      <c r="P25857" s="42"/>
      <c r="AB25857" s="38"/>
    </row>
    <row r="25858">
      <c r="P25858" s="42"/>
      <c r="AB25858" s="38"/>
    </row>
    <row r="25859">
      <c r="P25859" s="42"/>
      <c r="AB25859" s="38"/>
    </row>
    <row r="25860">
      <c r="P25860" s="42"/>
      <c r="AB25860" s="38"/>
    </row>
    <row r="25861">
      <c r="P25861" s="42"/>
      <c r="AB25861" s="38"/>
    </row>
    <row r="25862">
      <c r="P25862" s="42"/>
      <c r="AB25862" s="38"/>
    </row>
    <row r="25863">
      <c r="P25863" s="42"/>
      <c r="AB25863" s="38"/>
    </row>
    <row r="25864">
      <c r="P25864" s="42"/>
      <c r="AB25864" s="38"/>
    </row>
    <row r="25865">
      <c r="P25865" s="42"/>
      <c r="AB25865" s="38"/>
    </row>
    <row r="25866">
      <c r="P25866" s="42"/>
      <c r="AB25866" s="38"/>
    </row>
    <row r="25867">
      <c r="P25867" s="42"/>
      <c r="AB25867" s="38"/>
    </row>
    <row r="25868">
      <c r="P25868" s="42"/>
      <c r="AB25868" s="38"/>
    </row>
    <row r="25869">
      <c r="P25869" s="42"/>
      <c r="AB25869" s="38"/>
    </row>
    <row r="25870">
      <c r="P25870" s="42"/>
      <c r="AB25870" s="38"/>
    </row>
    <row r="25871">
      <c r="P25871" s="42"/>
      <c r="AB25871" s="38"/>
    </row>
    <row r="25872">
      <c r="P25872" s="42"/>
      <c r="AB25872" s="38"/>
    </row>
    <row r="25873">
      <c r="P25873" s="42"/>
      <c r="AB25873" s="38"/>
    </row>
    <row r="25874">
      <c r="P25874" s="42"/>
      <c r="AB25874" s="38"/>
    </row>
    <row r="25875">
      <c r="P25875" s="42"/>
      <c r="AB25875" s="38"/>
    </row>
    <row r="25876">
      <c r="P25876" s="42"/>
      <c r="AB25876" s="38"/>
    </row>
    <row r="25877">
      <c r="P25877" s="42"/>
      <c r="AB25877" s="38"/>
    </row>
    <row r="25878">
      <c r="P25878" s="42"/>
      <c r="AB25878" s="38"/>
    </row>
    <row r="25879">
      <c r="P25879" s="42"/>
      <c r="AB25879" s="38"/>
    </row>
    <row r="25880">
      <c r="P25880" s="42"/>
      <c r="AB25880" s="38"/>
    </row>
    <row r="25881">
      <c r="P25881" s="42"/>
      <c r="AB25881" s="38"/>
    </row>
    <row r="25882">
      <c r="P25882" s="42"/>
      <c r="AB25882" s="38"/>
    </row>
    <row r="25883">
      <c r="P25883" s="42"/>
      <c r="AB25883" s="38"/>
    </row>
    <row r="25884">
      <c r="P25884" s="42"/>
      <c r="AB25884" s="38"/>
    </row>
    <row r="25885">
      <c r="P25885" s="42"/>
      <c r="AB25885" s="38"/>
    </row>
    <row r="25886">
      <c r="P25886" s="42"/>
      <c r="AB25886" s="38"/>
    </row>
    <row r="25887">
      <c r="P25887" s="42"/>
      <c r="AB25887" s="38"/>
    </row>
    <row r="25888">
      <c r="P25888" s="42"/>
      <c r="AB25888" s="38"/>
    </row>
    <row r="25889">
      <c r="P25889" s="42"/>
      <c r="AB25889" s="38"/>
    </row>
    <row r="25890">
      <c r="P25890" s="42"/>
      <c r="AB25890" s="38"/>
    </row>
    <row r="25891">
      <c r="P25891" s="42"/>
      <c r="AB25891" s="38"/>
    </row>
    <row r="25892">
      <c r="P25892" s="42"/>
      <c r="AB25892" s="38"/>
    </row>
    <row r="25893">
      <c r="P25893" s="42"/>
      <c r="AB25893" s="38"/>
    </row>
    <row r="25894">
      <c r="P25894" s="42"/>
      <c r="AB25894" s="38"/>
    </row>
    <row r="25895">
      <c r="P25895" s="42"/>
      <c r="AB25895" s="38"/>
    </row>
    <row r="25896">
      <c r="P25896" s="42"/>
      <c r="AB25896" s="38"/>
    </row>
    <row r="25897">
      <c r="P25897" s="42"/>
      <c r="AB25897" s="38"/>
    </row>
    <row r="25898">
      <c r="P25898" s="42"/>
      <c r="AB25898" s="38"/>
    </row>
    <row r="25899">
      <c r="P25899" s="42"/>
      <c r="AB25899" s="38"/>
    </row>
    <row r="25900">
      <c r="P25900" s="42"/>
      <c r="AB25900" s="38"/>
    </row>
    <row r="25901">
      <c r="P25901" s="42"/>
      <c r="AB25901" s="38"/>
    </row>
    <row r="25902">
      <c r="P25902" s="42"/>
      <c r="AB25902" s="38"/>
    </row>
    <row r="25903">
      <c r="P25903" s="42"/>
      <c r="AB25903" s="38"/>
    </row>
    <row r="25904">
      <c r="P25904" s="42"/>
      <c r="AB25904" s="38"/>
    </row>
    <row r="25905">
      <c r="P25905" s="42"/>
      <c r="AB25905" s="38"/>
    </row>
    <row r="25906">
      <c r="P25906" s="42"/>
      <c r="AB25906" s="38"/>
    </row>
    <row r="25907">
      <c r="P25907" s="42"/>
      <c r="AB25907" s="38"/>
    </row>
    <row r="25908">
      <c r="P25908" s="42"/>
      <c r="AB25908" s="38"/>
    </row>
    <row r="25909">
      <c r="P25909" s="42"/>
      <c r="AB25909" s="38"/>
    </row>
    <row r="25910">
      <c r="P25910" s="42"/>
      <c r="AB25910" s="38"/>
    </row>
    <row r="25911">
      <c r="P25911" s="42"/>
      <c r="AB25911" s="38"/>
    </row>
    <row r="25912">
      <c r="P25912" s="42"/>
      <c r="AB25912" s="38"/>
    </row>
    <row r="25913">
      <c r="P25913" s="42"/>
      <c r="AB25913" s="38"/>
    </row>
    <row r="25914">
      <c r="P25914" s="42"/>
      <c r="AB25914" s="38"/>
    </row>
    <row r="25915">
      <c r="P25915" s="42"/>
      <c r="AB25915" s="38"/>
    </row>
    <row r="25916">
      <c r="P25916" s="42"/>
      <c r="AB25916" s="38"/>
    </row>
    <row r="25917">
      <c r="P25917" s="42"/>
      <c r="AB25917" s="38"/>
    </row>
    <row r="25918">
      <c r="P25918" s="42"/>
      <c r="AB25918" s="38"/>
    </row>
    <row r="25919">
      <c r="P25919" s="42"/>
      <c r="AB25919" s="38"/>
    </row>
    <row r="25920">
      <c r="P25920" s="42"/>
      <c r="AB25920" s="38"/>
    </row>
    <row r="25921">
      <c r="P25921" s="42"/>
      <c r="AB25921" s="38"/>
    </row>
    <row r="25922">
      <c r="P25922" s="42"/>
      <c r="AB25922" s="38"/>
    </row>
    <row r="25923">
      <c r="P25923" s="42"/>
      <c r="AB25923" s="38"/>
    </row>
    <row r="25924">
      <c r="P25924" s="42"/>
      <c r="AB25924" s="38"/>
    </row>
    <row r="25925">
      <c r="P25925" s="42"/>
      <c r="AB25925" s="38"/>
    </row>
    <row r="25926">
      <c r="P25926" s="42"/>
      <c r="AB25926" s="38"/>
    </row>
    <row r="25927">
      <c r="P25927" s="42"/>
      <c r="AB25927" s="38"/>
    </row>
    <row r="25928">
      <c r="P25928" s="42"/>
      <c r="AB25928" s="38"/>
    </row>
    <row r="25929">
      <c r="P25929" s="42"/>
      <c r="AB25929" s="38"/>
    </row>
    <row r="25930">
      <c r="P25930" s="42"/>
      <c r="AB25930" s="38"/>
    </row>
    <row r="25931">
      <c r="P25931" s="42"/>
      <c r="AB25931" s="38"/>
    </row>
    <row r="25932">
      <c r="P25932" s="42"/>
      <c r="AB25932" s="38"/>
    </row>
    <row r="25933">
      <c r="P25933" s="42"/>
      <c r="AB25933" s="38"/>
    </row>
    <row r="25934">
      <c r="P25934" s="42"/>
      <c r="AB25934" s="38"/>
    </row>
    <row r="25935">
      <c r="P25935" s="42"/>
      <c r="AB25935" s="38"/>
    </row>
    <row r="25936">
      <c r="P25936" s="42"/>
      <c r="AB25936" s="38"/>
    </row>
    <row r="25937">
      <c r="P25937" s="42"/>
      <c r="AB25937" s="38"/>
    </row>
    <row r="25938">
      <c r="P25938" s="42"/>
      <c r="AB25938" s="38"/>
    </row>
    <row r="25939">
      <c r="P25939" s="42"/>
      <c r="AB25939" s="38"/>
    </row>
    <row r="25940">
      <c r="P25940" s="42"/>
      <c r="AB25940" s="38"/>
    </row>
    <row r="25941">
      <c r="P25941" s="42"/>
      <c r="AB25941" s="38"/>
    </row>
    <row r="25942">
      <c r="P25942" s="42"/>
      <c r="AB25942" s="38"/>
    </row>
    <row r="25943">
      <c r="P25943" s="42"/>
      <c r="AB25943" s="38"/>
    </row>
    <row r="25944">
      <c r="P25944" s="42"/>
      <c r="AB25944" s="38"/>
    </row>
    <row r="25945">
      <c r="P25945" s="42"/>
      <c r="AB25945" s="38"/>
    </row>
    <row r="25946">
      <c r="P25946" s="42"/>
      <c r="AB25946" s="38"/>
    </row>
    <row r="25947">
      <c r="P25947" s="42"/>
      <c r="AB25947" s="38"/>
    </row>
    <row r="25948">
      <c r="P25948" s="42"/>
      <c r="AB25948" s="38"/>
    </row>
    <row r="25949">
      <c r="P25949" s="42"/>
      <c r="AB25949" s="38"/>
    </row>
    <row r="25950">
      <c r="P25950" s="42"/>
      <c r="AB25950" s="38"/>
    </row>
    <row r="25951">
      <c r="P25951" s="42"/>
      <c r="AB25951" s="38"/>
    </row>
    <row r="25952">
      <c r="P25952" s="42"/>
      <c r="AB25952" s="38"/>
    </row>
    <row r="25953">
      <c r="P25953" s="42"/>
      <c r="AB25953" s="38"/>
    </row>
    <row r="25954">
      <c r="P25954" s="42"/>
      <c r="AB25954" s="38"/>
    </row>
    <row r="25955">
      <c r="P25955" s="42"/>
      <c r="AB25955" s="38"/>
    </row>
    <row r="25956">
      <c r="P25956" s="42"/>
      <c r="AB25956" s="38"/>
    </row>
    <row r="25957">
      <c r="P25957" s="42"/>
      <c r="AB25957" s="38"/>
    </row>
    <row r="25958">
      <c r="P25958" s="42"/>
      <c r="AB25958" s="38"/>
    </row>
    <row r="25959">
      <c r="P25959" s="42"/>
      <c r="AB25959" s="38"/>
    </row>
    <row r="25960">
      <c r="P25960" s="42"/>
      <c r="AB25960" s="38"/>
    </row>
    <row r="25961">
      <c r="P25961" s="42"/>
      <c r="AB25961" s="38"/>
    </row>
    <row r="25962">
      <c r="P25962" s="42"/>
      <c r="AB25962" s="38"/>
    </row>
    <row r="25963">
      <c r="P25963" s="42"/>
      <c r="AB25963" s="38"/>
    </row>
    <row r="25964">
      <c r="P25964" s="42"/>
      <c r="AB25964" s="38"/>
    </row>
    <row r="25965">
      <c r="P25965" s="42"/>
      <c r="AB25965" s="38"/>
    </row>
    <row r="25966">
      <c r="P25966" s="42"/>
      <c r="AB25966" s="38"/>
    </row>
    <row r="25967">
      <c r="P25967" s="42"/>
      <c r="AB25967" s="38"/>
    </row>
    <row r="25968">
      <c r="P25968" s="42"/>
      <c r="AB25968" s="38"/>
    </row>
    <row r="25969">
      <c r="P25969" s="42"/>
      <c r="AB25969" s="38"/>
    </row>
    <row r="25970">
      <c r="P25970" s="42"/>
      <c r="AB25970" s="38"/>
    </row>
    <row r="25971">
      <c r="P25971" s="42"/>
      <c r="AB25971" s="38"/>
    </row>
    <row r="25972">
      <c r="P25972" s="42"/>
      <c r="AB25972" s="38"/>
    </row>
    <row r="25973">
      <c r="P25973" s="42"/>
      <c r="AB25973" s="38"/>
    </row>
    <row r="25974">
      <c r="P25974" s="42"/>
      <c r="AB25974" s="38"/>
    </row>
    <row r="25975">
      <c r="P25975" s="42"/>
      <c r="AB25975" s="38"/>
    </row>
    <row r="25976">
      <c r="P25976" s="42"/>
      <c r="AB25976" s="38"/>
    </row>
    <row r="25977">
      <c r="P25977" s="42"/>
      <c r="AB25977" s="38"/>
    </row>
    <row r="25978">
      <c r="P25978" s="42"/>
      <c r="AB25978" s="38"/>
    </row>
    <row r="25979">
      <c r="P25979" s="42"/>
      <c r="AB25979" s="38"/>
    </row>
    <row r="25980">
      <c r="P25980" s="42"/>
      <c r="AB25980" s="38"/>
    </row>
    <row r="25981">
      <c r="P25981" s="42"/>
      <c r="AB25981" s="38"/>
    </row>
    <row r="25982">
      <c r="P25982" s="42"/>
      <c r="AB25982" s="38"/>
    </row>
    <row r="25983">
      <c r="P25983" s="42"/>
      <c r="AB25983" s="38"/>
    </row>
    <row r="25984">
      <c r="P25984" s="42"/>
      <c r="AB25984" s="38"/>
    </row>
    <row r="25985">
      <c r="P25985" s="42"/>
      <c r="AB25985" s="38"/>
    </row>
    <row r="25986">
      <c r="P25986" s="42"/>
      <c r="AB25986" s="38"/>
    </row>
    <row r="25987">
      <c r="P25987" s="42"/>
      <c r="AB25987" s="38"/>
    </row>
    <row r="25988">
      <c r="P25988" s="42"/>
      <c r="AB25988" s="38"/>
    </row>
    <row r="25989">
      <c r="P25989" s="42"/>
      <c r="AB25989" s="38"/>
    </row>
    <row r="25990">
      <c r="P25990" s="42"/>
      <c r="AB25990" s="38"/>
    </row>
    <row r="25991">
      <c r="P25991" s="42"/>
      <c r="AB25991" s="38"/>
    </row>
    <row r="25992">
      <c r="P25992" s="42"/>
      <c r="AB25992" s="38"/>
    </row>
    <row r="25993">
      <c r="P25993" s="42"/>
      <c r="AB25993" s="38"/>
    </row>
    <row r="25994">
      <c r="P25994" s="42"/>
      <c r="AB25994" s="38"/>
    </row>
    <row r="25995">
      <c r="P25995" s="42"/>
      <c r="AB25995" s="38"/>
    </row>
    <row r="25996">
      <c r="P25996" s="42"/>
      <c r="AB25996" s="38"/>
    </row>
    <row r="25997">
      <c r="P25997" s="42"/>
      <c r="AB25997" s="38"/>
    </row>
    <row r="25998">
      <c r="P25998" s="42"/>
      <c r="AB25998" s="38"/>
    </row>
    <row r="25999">
      <c r="P25999" s="42"/>
      <c r="AB25999" s="38"/>
    </row>
    <row r="26000">
      <c r="P26000" s="42"/>
      <c r="AB26000" s="38"/>
    </row>
    <row r="26001">
      <c r="P26001" s="42"/>
      <c r="AB26001" s="38"/>
    </row>
    <row r="26002">
      <c r="P26002" s="42"/>
      <c r="AB26002" s="38"/>
    </row>
    <row r="26003">
      <c r="P26003" s="42"/>
      <c r="AB26003" s="38"/>
    </row>
    <row r="26004">
      <c r="P26004" s="42"/>
      <c r="AB26004" s="38"/>
    </row>
    <row r="26005">
      <c r="P26005" s="42"/>
      <c r="AB26005" s="38"/>
    </row>
    <row r="26006">
      <c r="P26006" s="42"/>
      <c r="AB26006" s="38"/>
    </row>
    <row r="26007">
      <c r="P26007" s="42"/>
      <c r="AB26007" s="38"/>
    </row>
    <row r="26008">
      <c r="P26008" s="42"/>
      <c r="AB26008" s="38"/>
    </row>
    <row r="26009">
      <c r="P26009" s="42"/>
      <c r="AB26009" s="38"/>
    </row>
    <row r="26010">
      <c r="P26010" s="42"/>
      <c r="AB26010" s="38"/>
    </row>
    <row r="26011">
      <c r="P26011" s="42"/>
      <c r="AB26011" s="38"/>
    </row>
    <row r="26012">
      <c r="P26012" s="42"/>
      <c r="AB26012" s="38"/>
    </row>
    <row r="26013">
      <c r="P26013" s="42"/>
      <c r="AB26013" s="38"/>
    </row>
    <row r="26014">
      <c r="P26014" s="42"/>
      <c r="AB26014" s="38"/>
    </row>
    <row r="26015">
      <c r="P26015" s="42"/>
      <c r="AB26015" s="38"/>
    </row>
    <row r="26016">
      <c r="P26016" s="42"/>
      <c r="AB26016" s="38"/>
    </row>
    <row r="26017">
      <c r="P26017" s="42"/>
      <c r="AB26017" s="38"/>
    </row>
    <row r="26018">
      <c r="P26018" s="42"/>
      <c r="AB26018" s="38"/>
    </row>
    <row r="26019">
      <c r="P26019" s="42"/>
      <c r="AB26019" s="38"/>
    </row>
    <row r="26020">
      <c r="P26020" s="42"/>
      <c r="AB26020" s="38"/>
    </row>
    <row r="26021">
      <c r="P26021" s="42"/>
      <c r="AB26021" s="38"/>
    </row>
    <row r="26022">
      <c r="P26022" s="42"/>
      <c r="AB26022" s="38"/>
    </row>
    <row r="26023">
      <c r="P26023" s="42"/>
      <c r="AB26023" s="38"/>
    </row>
    <row r="26024">
      <c r="P26024" s="42"/>
      <c r="AB26024" s="38"/>
    </row>
    <row r="26025">
      <c r="P26025" s="42"/>
      <c r="AB26025" s="38"/>
    </row>
    <row r="26026">
      <c r="P26026" s="42"/>
      <c r="AB26026" s="38"/>
    </row>
    <row r="26027">
      <c r="P26027" s="42"/>
      <c r="AB26027" s="38"/>
    </row>
    <row r="26028">
      <c r="P26028" s="42"/>
      <c r="AB26028" s="38"/>
    </row>
    <row r="26029">
      <c r="P26029" s="42"/>
      <c r="AB26029" s="38"/>
    </row>
    <row r="26030">
      <c r="P26030" s="42"/>
      <c r="AB26030" s="38"/>
    </row>
    <row r="26031">
      <c r="P26031" s="42"/>
      <c r="AB26031" s="38"/>
    </row>
    <row r="26032">
      <c r="P26032" s="42"/>
      <c r="AB26032" s="38"/>
    </row>
    <row r="26033">
      <c r="P26033" s="42"/>
      <c r="AB26033" s="38"/>
    </row>
    <row r="26034">
      <c r="P26034" s="42"/>
      <c r="AB26034" s="38"/>
    </row>
    <row r="26035">
      <c r="P26035" s="42"/>
      <c r="AB26035" s="38"/>
    </row>
    <row r="26036">
      <c r="P26036" s="42"/>
      <c r="AB26036" s="38"/>
    </row>
    <row r="26037">
      <c r="P26037" s="42"/>
      <c r="AB26037" s="38"/>
    </row>
    <row r="26038">
      <c r="P26038" s="42"/>
      <c r="AB26038" s="38"/>
    </row>
    <row r="26039">
      <c r="P26039" s="42"/>
      <c r="AB26039" s="38"/>
    </row>
    <row r="26040">
      <c r="P26040" s="42"/>
      <c r="AB26040" s="38"/>
    </row>
    <row r="26041">
      <c r="P26041" s="42"/>
      <c r="AB26041" s="38"/>
    </row>
    <row r="26042">
      <c r="P26042" s="42"/>
      <c r="AB26042" s="38"/>
    </row>
    <row r="26043">
      <c r="P26043" s="42"/>
      <c r="AB26043" s="38"/>
    </row>
    <row r="26044">
      <c r="P26044" s="42"/>
      <c r="AB26044" s="38"/>
    </row>
    <row r="26045">
      <c r="P26045" s="42"/>
      <c r="AB26045" s="38"/>
    </row>
    <row r="26046">
      <c r="P26046" s="42"/>
      <c r="AB26046" s="38"/>
    </row>
    <row r="26047">
      <c r="P26047" s="42"/>
      <c r="AB26047" s="38"/>
    </row>
    <row r="26048">
      <c r="P26048" s="42"/>
      <c r="AB26048" s="38"/>
    </row>
    <row r="26049">
      <c r="P26049" s="42"/>
      <c r="AB26049" s="38"/>
    </row>
    <row r="26050">
      <c r="P26050" s="42"/>
      <c r="AB26050" s="38"/>
    </row>
    <row r="26051">
      <c r="P26051" s="42"/>
      <c r="AB26051" s="38"/>
    </row>
    <row r="26052">
      <c r="P26052" s="42"/>
      <c r="AB26052" s="38"/>
    </row>
    <row r="26053">
      <c r="P26053" s="42"/>
      <c r="AB26053" s="38"/>
    </row>
    <row r="26054">
      <c r="P26054" s="42"/>
      <c r="AB26054" s="38"/>
    </row>
    <row r="26055">
      <c r="P26055" s="42"/>
      <c r="AB26055" s="38"/>
    </row>
    <row r="26056">
      <c r="P26056" s="42"/>
      <c r="AB26056" s="38"/>
    </row>
    <row r="26057">
      <c r="P26057" s="42"/>
      <c r="AB26057" s="38"/>
    </row>
    <row r="26058">
      <c r="P26058" s="42"/>
      <c r="AB26058" s="38"/>
    </row>
    <row r="26059">
      <c r="P26059" s="42"/>
      <c r="AB26059" s="38"/>
    </row>
    <row r="26060">
      <c r="P26060" s="42"/>
      <c r="AB26060" s="38"/>
    </row>
    <row r="26061">
      <c r="P26061" s="42"/>
      <c r="AB26061" s="38"/>
    </row>
    <row r="26062">
      <c r="P26062" s="42"/>
      <c r="AB26062" s="38"/>
    </row>
    <row r="26063">
      <c r="P26063" s="42"/>
      <c r="AB26063" s="38"/>
    </row>
    <row r="26064">
      <c r="P26064" s="42"/>
      <c r="AB26064" s="38"/>
    </row>
    <row r="26065">
      <c r="P26065" s="42"/>
      <c r="AB26065" s="38"/>
    </row>
    <row r="26066">
      <c r="P26066" s="42"/>
      <c r="AB26066" s="38"/>
    </row>
    <row r="26067">
      <c r="P26067" s="42"/>
      <c r="AB26067" s="38"/>
    </row>
    <row r="26068">
      <c r="P26068" s="42"/>
      <c r="AB26068" s="38"/>
    </row>
    <row r="26069">
      <c r="P26069" s="42"/>
      <c r="AB26069" s="38"/>
    </row>
    <row r="26070">
      <c r="P26070" s="42"/>
      <c r="AB26070" s="38"/>
    </row>
    <row r="26071">
      <c r="P26071" s="42"/>
      <c r="AB26071" s="38"/>
    </row>
    <row r="26072">
      <c r="P26072" s="42"/>
      <c r="AB26072" s="38"/>
    </row>
    <row r="26073">
      <c r="P26073" s="42"/>
      <c r="AB26073" s="38"/>
    </row>
    <row r="26074">
      <c r="P26074" s="42"/>
      <c r="AB26074" s="38"/>
    </row>
    <row r="26075">
      <c r="P26075" s="42"/>
      <c r="AB26075" s="38"/>
    </row>
    <row r="26076">
      <c r="P26076" s="42"/>
      <c r="AB26076" s="38"/>
    </row>
    <row r="26077">
      <c r="P26077" s="42"/>
      <c r="AB26077" s="38"/>
    </row>
    <row r="26078">
      <c r="P26078" s="42"/>
      <c r="AB26078" s="38"/>
    </row>
    <row r="26079">
      <c r="P26079" s="42"/>
      <c r="AB26079" s="38"/>
    </row>
    <row r="26080">
      <c r="P26080" s="42"/>
      <c r="AB26080" s="38"/>
    </row>
    <row r="26081">
      <c r="P26081" s="42"/>
      <c r="AB26081" s="38"/>
    </row>
    <row r="26082">
      <c r="P26082" s="42"/>
      <c r="AB26082" s="38"/>
    </row>
    <row r="26083">
      <c r="P26083" s="42"/>
      <c r="AB26083" s="38"/>
    </row>
    <row r="26084">
      <c r="P26084" s="42"/>
      <c r="AB26084" s="38"/>
    </row>
    <row r="26085">
      <c r="P26085" s="42"/>
      <c r="AB26085" s="38"/>
    </row>
    <row r="26086">
      <c r="P26086" s="42"/>
      <c r="AB26086" s="38"/>
    </row>
    <row r="26087">
      <c r="P26087" s="42"/>
      <c r="AB26087" s="38"/>
    </row>
    <row r="26088">
      <c r="P26088" s="42"/>
      <c r="AB26088" s="38"/>
    </row>
    <row r="26089">
      <c r="P26089" s="42"/>
      <c r="AB26089" s="38"/>
    </row>
    <row r="26090">
      <c r="P26090" s="42"/>
      <c r="AB26090" s="38"/>
    </row>
    <row r="26091">
      <c r="P26091" s="42"/>
      <c r="AB26091" s="38"/>
    </row>
    <row r="26092">
      <c r="P26092" s="42"/>
      <c r="AB26092" s="38"/>
    </row>
    <row r="26093">
      <c r="P26093" s="42"/>
      <c r="AB26093" s="38"/>
    </row>
    <row r="26094">
      <c r="P26094" s="42"/>
      <c r="AB26094" s="38"/>
    </row>
    <row r="26095">
      <c r="P26095" s="42"/>
      <c r="AB26095" s="38"/>
    </row>
    <row r="26096">
      <c r="P26096" s="42"/>
      <c r="AB26096" s="38"/>
    </row>
    <row r="26097">
      <c r="P26097" s="42"/>
      <c r="AB26097" s="38"/>
    </row>
    <row r="26098">
      <c r="P26098" s="42"/>
      <c r="AB26098" s="38"/>
    </row>
    <row r="26099">
      <c r="P26099" s="42"/>
      <c r="AB26099" s="38"/>
    </row>
    <row r="26100">
      <c r="P26100" s="42"/>
      <c r="AB26100" s="38"/>
    </row>
    <row r="26101">
      <c r="P26101" s="42"/>
      <c r="AB26101" s="38"/>
    </row>
    <row r="26102">
      <c r="P26102" s="42"/>
      <c r="AB26102" s="38"/>
    </row>
    <row r="26103">
      <c r="P26103" s="42"/>
      <c r="AB26103" s="38"/>
    </row>
    <row r="26104">
      <c r="P26104" s="42"/>
      <c r="AB26104" s="38"/>
    </row>
    <row r="26105">
      <c r="P26105" s="42"/>
      <c r="AB26105" s="38"/>
    </row>
    <row r="26106">
      <c r="P26106" s="42"/>
      <c r="AB26106" s="38"/>
    </row>
    <row r="26107">
      <c r="P26107" s="42"/>
      <c r="AB26107" s="38"/>
    </row>
    <row r="26108">
      <c r="P26108" s="42"/>
      <c r="AB26108" s="38"/>
    </row>
    <row r="26109">
      <c r="P26109" s="42"/>
      <c r="AB26109" s="38"/>
    </row>
    <row r="26110">
      <c r="P26110" s="42"/>
      <c r="AB26110" s="38"/>
    </row>
    <row r="26111">
      <c r="P26111" s="42"/>
      <c r="AB26111" s="38"/>
    </row>
    <row r="26112">
      <c r="P26112" s="42"/>
      <c r="AB26112" s="38"/>
    </row>
    <row r="26113">
      <c r="P26113" s="42"/>
      <c r="AB26113" s="38"/>
    </row>
    <row r="26114">
      <c r="P26114" s="42"/>
      <c r="AB26114" s="38"/>
    </row>
    <row r="26115">
      <c r="P26115" s="42"/>
      <c r="AB26115" s="38"/>
    </row>
    <row r="26116">
      <c r="P26116" s="42"/>
      <c r="AB26116" s="38"/>
    </row>
    <row r="26117">
      <c r="P26117" s="42"/>
      <c r="AB26117" s="38"/>
    </row>
    <row r="26118">
      <c r="P26118" s="42"/>
      <c r="AB26118" s="38"/>
    </row>
    <row r="26119">
      <c r="P26119" s="42"/>
      <c r="AB26119" s="38"/>
    </row>
    <row r="26120">
      <c r="P26120" s="42"/>
      <c r="AB26120" s="38"/>
    </row>
    <row r="26121">
      <c r="P26121" s="42"/>
      <c r="AB26121" s="38"/>
    </row>
    <row r="26122">
      <c r="P26122" s="42"/>
      <c r="AB26122" s="38"/>
    </row>
    <row r="26123">
      <c r="P26123" s="42"/>
      <c r="AB26123" s="38"/>
    </row>
    <row r="26124">
      <c r="P26124" s="42"/>
      <c r="AB26124" s="38"/>
    </row>
    <row r="26125">
      <c r="P26125" s="42"/>
      <c r="AB26125" s="38"/>
    </row>
    <row r="26126">
      <c r="P26126" s="42"/>
      <c r="AB26126" s="38"/>
    </row>
    <row r="26127">
      <c r="P26127" s="42"/>
      <c r="AB26127" s="38"/>
    </row>
    <row r="26128">
      <c r="P26128" s="42"/>
      <c r="AB26128" s="38"/>
    </row>
    <row r="26129">
      <c r="P26129" s="42"/>
      <c r="AB26129" s="38"/>
    </row>
    <row r="26130">
      <c r="P26130" s="42"/>
      <c r="AB26130" s="38"/>
    </row>
    <row r="26131">
      <c r="P26131" s="42"/>
      <c r="AB26131" s="38"/>
    </row>
    <row r="26132">
      <c r="P26132" s="42"/>
      <c r="AB26132" s="38"/>
    </row>
    <row r="26133">
      <c r="P26133" s="42"/>
      <c r="AB26133" s="38"/>
    </row>
    <row r="26134">
      <c r="P26134" s="42"/>
      <c r="AB26134" s="38"/>
    </row>
    <row r="26135">
      <c r="P26135" s="42"/>
      <c r="AB26135" s="38"/>
    </row>
    <row r="26136">
      <c r="P26136" s="42"/>
      <c r="AB26136" s="38"/>
    </row>
    <row r="26137">
      <c r="P26137" s="42"/>
      <c r="AB26137" s="38"/>
    </row>
    <row r="26138">
      <c r="P26138" s="42"/>
      <c r="AB26138" s="38"/>
    </row>
    <row r="26139">
      <c r="P26139" s="42"/>
      <c r="AB26139" s="38"/>
    </row>
    <row r="26140">
      <c r="P26140" s="42"/>
      <c r="AB26140" s="38"/>
    </row>
    <row r="26141">
      <c r="P26141" s="42"/>
      <c r="AB26141" s="38"/>
    </row>
    <row r="26142">
      <c r="P26142" s="42"/>
      <c r="AB26142" s="38"/>
    </row>
    <row r="26143">
      <c r="P26143" s="42"/>
      <c r="AB26143" s="38"/>
    </row>
    <row r="26144">
      <c r="P26144" s="42"/>
      <c r="AB26144" s="38"/>
    </row>
    <row r="26145">
      <c r="P26145" s="42"/>
      <c r="AB26145" s="38"/>
    </row>
    <row r="26146">
      <c r="P26146" s="42"/>
      <c r="AB26146" s="38"/>
    </row>
    <row r="26147">
      <c r="P26147" s="42"/>
      <c r="AB26147" s="38"/>
    </row>
    <row r="26148">
      <c r="P26148" s="42"/>
      <c r="AB26148" s="38"/>
    </row>
    <row r="26149">
      <c r="P26149" s="42"/>
      <c r="AB26149" s="38"/>
    </row>
    <row r="26150">
      <c r="P26150" s="42"/>
      <c r="AB26150" s="38"/>
    </row>
    <row r="26151">
      <c r="P26151" s="42"/>
      <c r="AB26151" s="38"/>
    </row>
    <row r="26152">
      <c r="P26152" s="42"/>
      <c r="AB26152" s="38"/>
    </row>
    <row r="26153">
      <c r="P26153" s="42"/>
      <c r="AB26153" s="38"/>
    </row>
    <row r="26154">
      <c r="P26154" s="42"/>
      <c r="AB26154" s="38"/>
    </row>
    <row r="26155">
      <c r="P26155" s="42"/>
      <c r="AB26155" s="38"/>
    </row>
    <row r="26156">
      <c r="P26156" s="42"/>
      <c r="AB26156" s="38"/>
    </row>
    <row r="26157">
      <c r="P26157" s="42"/>
      <c r="AB26157" s="38"/>
    </row>
    <row r="26158">
      <c r="P26158" s="42"/>
      <c r="AB26158" s="38"/>
    </row>
    <row r="26159">
      <c r="P26159" s="42"/>
      <c r="AB26159" s="38"/>
    </row>
    <row r="26160">
      <c r="P26160" s="42"/>
      <c r="AB26160" s="38"/>
    </row>
    <row r="26161">
      <c r="P26161" s="42"/>
      <c r="AB26161" s="38"/>
    </row>
    <row r="26162">
      <c r="P26162" s="42"/>
      <c r="AB26162" s="38"/>
    </row>
    <row r="26163">
      <c r="P26163" s="42"/>
      <c r="AB26163" s="38"/>
    </row>
    <row r="26164">
      <c r="P26164" s="42"/>
      <c r="AB26164" s="38"/>
    </row>
    <row r="26165">
      <c r="P26165" s="42"/>
      <c r="AB26165" s="38"/>
    </row>
    <row r="26166">
      <c r="P26166" s="42"/>
      <c r="AB26166" s="38"/>
    </row>
    <row r="26167">
      <c r="P26167" s="42"/>
      <c r="AB26167" s="38"/>
    </row>
    <row r="26168">
      <c r="P26168" s="42"/>
      <c r="AB26168" s="38"/>
    </row>
    <row r="26169">
      <c r="P26169" s="42"/>
      <c r="AB26169" s="38"/>
    </row>
    <row r="26170">
      <c r="P26170" s="42"/>
      <c r="AB26170" s="38"/>
    </row>
    <row r="26171">
      <c r="P26171" s="42"/>
      <c r="AB26171" s="38"/>
    </row>
    <row r="26172">
      <c r="P26172" s="42"/>
      <c r="AB26172" s="38"/>
    </row>
    <row r="26173">
      <c r="P26173" s="42"/>
      <c r="AB26173" s="38"/>
    </row>
    <row r="26174">
      <c r="P26174" s="42"/>
      <c r="AB26174" s="38"/>
    </row>
    <row r="26175">
      <c r="P26175" s="42"/>
      <c r="AB26175" s="38"/>
    </row>
    <row r="26176">
      <c r="P26176" s="42"/>
      <c r="AB26176" s="38"/>
    </row>
    <row r="26177">
      <c r="P26177" s="42"/>
      <c r="AB26177" s="38"/>
    </row>
    <row r="26178">
      <c r="P26178" s="42"/>
      <c r="AB26178" s="38"/>
    </row>
    <row r="26179">
      <c r="P26179" s="42"/>
      <c r="AB26179" s="38"/>
    </row>
    <row r="26180">
      <c r="P26180" s="42"/>
      <c r="AB26180" s="38"/>
    </row>
    <row r="26181">
      <c r="P26181" s="42"/>
      <c r="AB26181" s="38"/>
    </row>
    <row r="26182">
      <c r="P26182" s="42"/>
      <c r="AB26182" s="38"/>
    </row>
    <row r="26183">
      <c r="P26183" s="42"/>
      <c r="AB26183" s="38"/>
    </row>
    <row r="26184">
      <c r="P26184" s="42"/>
      <c r="AB26184" s="38"/>
    </row>
    <row r="26185">
      <c r="P26185" s="42"/>
      <c r="AB26185" s="38"/>
    </row>
    <row r="26186">
      <c r="P26186" s="42"/>
      <c r="AB26186" s="38"/>
    </row>
    <row r="26187">
      <c r="P26187" s="42"/>
      <c r="AB26187" s="38"/>
    </row>
    <row r="26188">
      <c r="P26188" s="42"/>
      <c r="AB26188" s="38"/>
    </row>
    <row r="26189">
      <c r="P26189" s="42"/>
      <c r="AB26189" s="38"/>
    </row>
    <row r="26190">
      <c r="P26190" s="42"/>
      <c r="AB26190" s="38"/>
    </row>
    <row r="26191">
      <c r="P26191" s="42"/>
      <c r="AB26191" s="38"/>
    </row>
    <row r="26192">
      <c r="P26192" s="42"/>
      <c r="AB26192" s="38"/>
    </row>
    <row r="26193">
      <c r="P26193" s="42"/>
      <c r="AB26193" s="38"/>
    </row>
    <row r="26194">
      <c r="P26194" s="42"/>
      <c r="AB26194" s="38"/>
    </row>
    <row r="26195">
      <c r="P26195" s="42"/>
      <c r="AB26195" s="38"/>
    </row>
    <row r="26196">
      <c r="P26196" s="42"/>
      <c r="AB26196" s="38"/>
    </row>
    <row r="26197">
      <c r="P26197" s="42"/>
      <c r="AB26197" s="38"/>
    </row>
    <row r="26198">
      <c r="P26198" s="42"/>
      <c r="AB26198" s="38"/>
    </row>
    <row r="26199">
      <c r="P26199" s="42"/>
      <c r="AB26199" s="38"/>
    </row>
    <row r="26200">
      <c r="P26200" s="42"/>
      <c r="AB26200" s="38"/>
    </row>
    <row r="26201">
      <c r="P26201" s="42"/>
      <c r="AB26201" s="38"/>
    </row>
    <row r="26202">
      <c r="P26202" s="42"/>
      <c r="AB26202" s="38"/>
    </row>
    <row r="26203">
      <c r="P26203" s="42"/>
      <c r="AB26203" s="38"/>
    </row>
    <row r="26204">
      <c r="P26204" s="42"/>
      <c r="AB26204" s="38"/>
    </row>
    <row r="26205">
      <c r="P26205" s="42"/>
      <c r="AB26205" s="38"/>
    </row>
    <row r="26206">
      <c r="P26206" s="42"/>
      <c r="AB26206" s="38"/>
    </row>
    <row r="26207">
      <c r="P26207" s="42"/>
      <c r="AB26207" s="38"/>
    </row>
    <row r="26208">
      <c r="P26208" s="42"/>
      <c r="AB26208" s="38"/>
    </row>
    <row r="26209">
      <c r="P26209" s="42"/>
      <c r="AB26209" s="38"/>
    </row>
    <row r="26210">
      <c r="P26210" s="42"/>
      <c r="AB26210" s="38"/>
    </row>
    <row r="26211">
      <c r="P26211" s="42"/>
      <c r="AB26211" s="38"/>
    </row>
    <row r="26212">
      <c r="P26212" s="42"/>
      <c r="AB26212" s="38"/>
    </row>
    <row r="26213">
      <c r="P26213" s="42"/>
      <c r="AB26213" s="38"/>
    </row>
    <row r="26214">
      <c r="P26214" s="42"/>
      <c r="AB26214" s="38"/>
    </row>
    <row r="26215">
      <c r="P26215" s="42"/>
      <c r="AB26215" s="38"/>
    </row>
    <row r="26216">
      <c r="P26216" s="42"/>
      <c r="AB26216" s="38"/>
    </row>
    <row r="26217">
      <c r="P26217" s="42"/>
      <c r="AB26217" s="38"/>
    </row>
    <row r="26218">
      <c r="P26218" s="42"/>
      <c r="AB26218" s="38"/>
    </row>
    <row r="26219">
      <c r="P26219" s="42"/>
      <c r="AB26219" s="38"/>
    </row>
    <row r="26220">
      <c r="P26220" s="42"/>
      <c r="AB26220" s="38"/>
    </row>
    <row r="26221">
      <c r="P26221" s="42"/>
      <c r="AB26221" s="38"/>
    </row>
    <row r="26222">
      <c r="P26222" s="42"/>
      <c r="AB26222" s="38"/>
    </row>
    <row r="26223">
      <c r="P26223" s="42"/>
      <c r="AB26223" s="38"/>
    </row>
    <row r="26224">
      <c r="P26224" s="42"/>
      <c r="AB26224" s="38"/>
    </row>
    <row r="26225">
      <c r="P26225" s="42"/>
      <c r="AB26225" s="38"/>
    </row>
    <row r="26226">
      <c r="P26226" s="42"/>
      <c r="AB26226" s="38"/>
    </row>
    <row r="26227">
      <c r="P26227" s="42"/>
      <c r="AB26227" s="38"/>
    </row>
    <row r="26228">
      <c r="P26228" s="42"/>
      <c r="AB26228" s="38"/>
    </row>
    <row r="26229">
      <c r="P26229" s="42"/>
      <c r="AB26229" s="38"/>
    </row>
    <row r="26230">
      <c r="P26230" s="42"/>
      <c r="AB26230" s="38"/>
    </row>
    <row r="26231">
      <c r="P26231" s="42"/>
      <c r="AB26231" s="38"/>
    </row>
    <row r="26232">
      <c r="P26232" s="42"/>
      <c r="AB26232" s="38"/>
    </row>
    <row r="26233">
      <c r="P26233" s="42"/>
      <c r="AB26233" s="38"/>
    </row>
    <row r="26234">
      <c r="P26234" s="42"/>
      <c r="AB26234" s="38"/>
    </row>
    <row r="26235">
      <c r="P26235" s="42"/>
      <c r="AB26235" s="38"/>
    </row>
    <row r="26236">
      <c r="P26236" s="42"/>
      <c r="AB26236" s="38"/>
    </row>
    <row r="26237">
      <c r="P26237" s="42"/>
      <c r="AB26237" s="38"/>
    </row>
    <row r="26238">
      <c r="P26238" s="42"/>
      <c r="AB26238" s="38"/>
    </row>
    <row r="26239">
      <c r="P26239" s="42"/>
      <c r="AB26239" s="38"/>
    </row>
    <row r="26240">
      <c r="P26240" s="42"/>
      <c r="AB26240" s="38"/>
    </row>
    <row r="26241">
      <c r="P26241" s="42"/>
      <c r="AB26241" s="38"/>
    </row>
    <row r="26242">
      <c r="P26242" s="42"/>
      <c r="AB26242" s="38"/>
    </row>
    <row r="26243">
      <c r="P26243" s="42"/>
      <c r="AB26243" s="38"/>
    </row>
    <row r="26244">
      <c r="P26244" s="42"/>
      <c r="AB26244" s="38"/>
    </row>
    <row r="26245">
      <c r="P26245" s="42"/>
      <c r="AB26245" s="38"/>
    </row>
    <row r="26246">
      <c r="P26246" s="42"/>
      <c r="AB26246" s="38"/>
    </row>
    <row r="26247">
      <c r="P26247" s="42"/>
      <c r="AB26247" s="38"/>
    </row>
    <row r="26248">
      <c r="P26248" s="42"/>
      <c r="AB26248" s="38"/>
    </row>
    <row r="26249">
      <c r="P26249" s="42"/>
      <c r="AB26249" s="38"/>
    </row>
    <row r="26250">
      <c r="P26250" s="42"/>
      <c r="AB26250" s="38"/>
    </row>
    <row r="26251">
      <c r="P26251" s="42"/>
      <c r="AB26251" s="38"/>
    </row>
    <row r="26252">
      <c r="P26252" s="42"/>
      <c r="AB26252" s="38"/>
    </row>
    <row r="26253">
      <c r="P26253" s="42"/>
      <c r="AB26253" s="38"/>
    </row>
    <row r="26254">
      <c r="P26254" s="42"/>
      <c r="AB26254" s="38"/>
    </row>
    <row r="26255">
      <c r="P26255" s="42"/>
      <c r="AB26255" s="38"/>
    </row>
    <row r="26256">
      <c r="P26256" s="42"/>
      <c r="AB26256" s="38"/>
    </row>
    <row r="26257">
      <c r="P26257" s="42"/>
      <c r="AB26257" s="38"/>
    </row>
    <row r="26258">
      <c r="P26258" s="42"/>
      <c r="AB26258" s="38"/>
    </row>
    <row r="26259">
      <c r="P26259" s="42"/>
      <c r="AB26259" s="38"/>
    </row>
    <row r="26260">
      <c r="P26260" s="42"/>
      <c r="AB26260" s="38"/>
    </row>
    <row r="26261">
      <c r="P26261" s="42"/>
      <c r="AB26261" s="38"/>
    </row>
    <row r="26262">
      <c r="P26262" s="42"/>
      <c r="AB26262" s="38"/>
    </row>
    <row r="26263">
      <c r="P26263" s="42"/>
      <c r="AB26263" s="38"/>
    </row>
    <row r="26264">
      <c r="P26264" s="42"/>
      <c r="AB26264" s="38"/>
    </row>
    <row r="26265">
      <c r="P26265" s="42"/>
      <c r="AB26265" s="38"/>
    </row>
    <row r="26266">
      <c r="P26266" s="42"/>
      <c r="AB26266" s="38"/>
    </row>
    <row r="26267">
      <c r="P26267" s="42"/>
      <c r="AB26267" s="38"/>
    </row>
    <row r="26268">
      <c r="P26268" s="42"/>
      <c r="AB26268" s="38"/>
    </row>
    <row r="26269">
      <c r="P26269" s="42"/>
      <c r="AB26269" s="38"/>
    </row>
    <row r="26270">
      <c r="P26270" s="42"/>
      <c r="AB26270" s="38"/>
    </row>
    <row r="26271">
      <c r="P26271" s="42"/>
      <c r="AB26271" s="38"/>
    </row>
    <row r="26272">
      <c r="P26272" s="42"/>
      <c r="AB26272" s="38"/>
    </row>
    <row r="26273">
      <c r="P26273" s="42"/>
      <c r="AB26273" s="38"/>
    </row>
    <row r="26274">
      <c r="P26274" s="42"/>
      <c r="AB26274" s="38"/>
    </row>
    <row r="26275">
      <c r="P26275" s="42"/>
      <c r="AB26275" s="38"/>
    </row>
    <row r="26276">
      <c r="P26276" s="42"/>
      <c r="AB26276" s="38"/>
    </row>
    <row r="26277">
      <c r="P26277" s="42"/>
      <c r="AB26277" s="38"/>
    </row>
    <row r="26278">
      <c r="P26278" s="42"/>
      <c r="AB26278" s="38"/>
    </row>
    <row r="26279">
      <c r="P26279" s="42"/>
      <c r="AB26279" s="38"/>
    </row>
    <row r="26280">
      <c r="P26280" s="42"/>
      <c r="AB26280" s="38"/>
    </row>
    <row r="26281">
      <c r="P26281" s="42"/>
      <c r="AB26281" s="38"/>
    </row>
    <row r="26282">
      <c r="P26282" s="42"/>
      <c r="AB26282" s="38"/>
    </row>
    <row r="26283">
      <c r="P26283" s="42"/>
      <c r="AB26283" s="38"/>
    </row>
    <row r="26284">
      <c r="P26284" s="42"/>
      <c r="AB26284" s="38"/>
    </row>
    <row r="26285">
      <c r="P26285" s="42"/>
      <c r="AB26285" s="38"/>
    </row>
    <row r="26286">
      <c r="P26286" s="42"/>
      <c r="AB26286" s="38"/>
    </row>
    <row r="26287">
      <c r="P26287" s="42"/>
      <c r="AB26287" s="38"/>
    </row>
    <row r="26288">
      <c r="P26288" s="42"/>
      <c r="AB26288" s="38"/>
    </row>
    <row r="26289">
      <c r="P26289" s="42"/>
      <c r="AB26289" s="38"/>
    </row>
    <row r="26290">
      <c r="P26290" s="42"/>
      <c r="AB26290" s="38"/>
    </row>
    <row r="26291">
      <c r="P26291" s="42"/>
      <c r="AB26291" s="38"/>
    </row>
    <row r="26292">
      <c r="P26292" s="42"/>
      <c r="AB26292" s="38"/>
    </row>
    <row r="26293">
      <c r="P26293" s="42"/>
      <c r="AB26293" s="38"/>
    </row>
    <row r="26294">
      <c r="P26294" s="42"/>
      <c r="AB26294" s="38"/>
    </row>
    <row r="26295">
      <c r="P26295" s="42"/>
      <c r="AB26295" s="38"/>
    </row>
    <row r="26296">
      <c r="P26296" s="42"/>
      <c r="AB26296" s="38"/>
    </row>
    <row r="26297">
      <c r="P26297" s="42"/>
      <c r="AB26297" s="38"/>
    </row>
    <row r="26298">
      <c r="P26298" s="42"/>
      <c r="AB26298" s="38"/>
    </row>
    <row r="26299">
      <c r="P26299" s="42"/>
      <c r="AB26299" s="38"/>
    </row>
    <row r="26300">
      <c r="P26300" s="42"/>
      <c r="AB26300" s="38"/>
    </row>
    <row r="26301">
      <c r="P26301" s="42"/>
      <c r="AB26301" s="38"/>
    </row>
    <row r="26302">
      <c r="P26302" s="42"/>
      <c r="AB26302" s="38"/>
    </row>
    <row r="26303">
      <c r="P26303" s="42"/>
      <c r="AB26303" s="38"/>
    </row>
    <row r="26304">
      <c r="P26304" s="42"/>
      <c r="AB26304" s="38"/>
    </row>
    <row r="26305">
      <c r="P26305" s="42"/>
      <c r="AB26305" s="38"/>
    </row>
    <row r="26306">
      <c r="P26306" s="42"/>
      <c r="AB26306" s="38"/>
    </row>
    <row r="26307">
      <c r="P26307" s="42"/>
      <c r="AB26307" s="38"/>
    </row>
    <row r="26308">
      <c r="P26308" s="42"/>
      <c r="AB26308" s="38"/>
    </row>
    <row r="26309">
      <c r="P26309" s="42"/>
      <c r="AB26309" s="38"/>
    </row>
    <row r="26310">
      <c r="P26310" s="42"/>
      <c r="AB26310" s="38"/>
    </row>
    <row r="26311">
      <c r="P26311" s="42"/>
      <c r="AB26311" s="38"/>
    </row>
    <row r="26312">
      <c r="P26312" s="42"/>
      <c r="AB26312" s="38"/>
    </row>
    <row r="26313">
      <c r="P26313" s="42"/>
      <c r="AB26313" s="38"/>
    </row>
    <row r="26314">
      <c r="P26314" s="42"/>
      <c r="AB26314" s="38"/>
    </row>
    <row r="26315">
      <c r="P26315" s="42"/>
      <c r="AB26315" s="38"/>
    </row>
    <row r="26316">
      <c r="P26316" s="42"/>
      <c r="AB26316" s="38"/>
    </row>
    <row r="26317">
      <c r="P26317" s="42"/>
      <c r="AB26317" s="38"/>
    </row>
    <row r="26318">
      <c r="P26318" s="42"/>
      <c r="AB26318" s="38"/>
    </row>
    <row r="26319">
      <c r="P26319" s="42"/>
      <c r="AB26319" s="38"/>
    </row>
    <row r="26320">
      <c r="P26320" s="42"/>
      <c r="AB26320" s="38"/>
    </row>
    <row r="26321">
      <c r="P26321" s="42"/>
      <c r="AB26321" s="38"/>
    </row>
    <row r="26322">
      <c r="P26322" s="42"/>
      <c r="AB26322" s="38"/>
    </row>
    <row r="26323">
      <c r="P26323" s="42"/>
      <c r="AB26323" s="38"/>
    </row>
    <row r="26324">
      <c r="P26324" s="42"/>
      <c r="AB26324" s="38"/>
    </row>
    <row r="26325">
      <c r="P26325" s="42"/>
      <c r="AB26325" s="38"/>
    </row>
    <row r="26326">
      <c r="P26326" s="42"/>
      <c r="AB26326" s="38"/>
    </row>
    <row r="26327">
      <c r="P26327" s="42"/>
      <c r="AB26327" s="38"/>
    </row>
    <row r="26328">
      <c r="P26328" s="42"/>
      <c r="AB26328" s="38"/>
    </row>
    <row r="26329">
      <c r="P26329" s="42"/>
      <c r="AB26329" s="38"/>
    </row>
    <row r="26330">
      <c r="P26330" s="42"/>
      <c r="AB26330" s="38"/>
    </row>
    <row r="26331">
      <c r="P26331" s="42"/>
      <c r="AB26331" s="38"/>
    </row>
    <row r="26332">
      <c r="P26332" s="42"/>
      <c r="AB26332" s="38"/>
    </row>
    <row r="26333">
      <c r="P26333" s="42"/>
      <c r="AB26333" s="38"/>
    </row>
    <row r="26334">
      <c r="P26334" s="42"/>
      <c r="AB26334" s="38"/>
    </row>
    <row r="26335">
      <c r="P26335" s="42"/>
      <c r="AB26335" s="38"/>
    </row>
    <row r="26336">
      <c r="P26336" s="42"/>
      <c r="AB26336" s="38"/>
    </row>
    <row r="26337">
      <c r="P26337" s="42"/>
      <c r="AB26337" s="38"/>
    </row>
    <row r="26338">
      <c r="P26338" s="42"/>
      <c r="AB26338" s="38"/>
    </row>
    <row r="26339">
      <c r="P26339" s="42"/>
      <c r="AB26339" s="38"/>
    </row>
    <row r="26340">
      <c r="P26340" s="42"/>
      <c r="AB26340" s="38"/>
    </row>
    <row r="26341">
      <c r="P26341" s="42"/>
      <c r="AB26341" s="38"/>
    </row>
    <row r="26342">
      <c r="P26342" s="42"/>
      <c r="AB26342" s="38"/>
    </row>
    <row r="26343">
      <c r="P26343" s="42"/>
      <c r="AB26343" s="38"/>
    </row>
    <row r="26344">
      <c r="P26344" s="42"/>
      <c r="AB26344" s="38"/>
    </row>
    <row r="26345">
      <c r="P26345" s="42"/>
      <c r="AB26345" s="38"/>
    </row>
    <row r="26346">
      <c r="P26346" s="42"/>
      <c r="AB26346" s="38"/>
    </row>
    <row r="26347">
      <c r="P26347" s="42"/>
      <c r="AB26347" s="38"/>
    </row>
    <row r="26348">
      <c r="P26348" s="42"/>
      <c r="AB26348" s="38"/>
    </row>
    <row r="26349">
      <c r="P26349" s="42"/>
      <c r="AB26349" s="38"/>
    </row>
    <row r="26350">
      <c r="P26350" s="42"/>
      <c r="AB26350" s="38"/>
    </row>
    <row r="26351">
      <c r="P26351" s="42"/>
      <c r="AB26351" s="38"/>
    </row>
    <row r="26352">
      <c r="P26352" s="42"/>
      <c r="AB26352" s="38"/>
    </row>
    <row r="26353">
      <c r="P26353" s="42"/>
      <c r="AB26353" s="38"/>
    </row>
    <row r="26354">
      <c r="P26354" s="42"/>
      <c r="AB26354" s="38"/>
    </row>
    <row r="26355">
      <c r="P26355" s="42"/>
      <c r="AB26355" s="38"/>
    </row>
    <row r="26356">
      <c r="P26356" s="42"/>
      <c r="AB26356" s="38"/>
    </row>
    <row r="26357">
      <c r="P26357" s="42"/>
      <c r="AB26357" s="38"/>
    </row>
    <row r="26358">
      <c r="P26358" s="42"/>
      <c r="AB26358" s="38"/>
    </row>
    <row r="26359">
      <c r="P26359" s="42"/>
      <c r="AB26359" s="38"/>
    </row>
    <row r="26360">
      <c r="P26360" s="42"/>
      <c r="AB26360" s="38"/>
    </row>
    <row r="26361">
      <c r="P26361" s="42"/>
      <c r="AB26361" s="38"/>
    </row>
    <row r="26362">
      <c r="P26362" s="42"/>
      <c r="AB26362" s="38"/>
    </row>
    <row r="26363">
      <c r="P26363" s="42"/>
      <c r="AB26363" s="38"/>
    </row>
    <row r="26364">
      <c r="P26364" s="42"/>
      <c r="AB26364" s="38"/>
    </row>
    <row r="26365">
      <c r="P26365" s="42"/>
      <c r="AB26365" s="38"/>
    </row>
    <row r="26366">
      <c r="P26366" s="42"/>
      <c r="AB26366" s="38"/>
    </row>
    <row r="26367">
      <c r="P26367" s="42"/>
      <c r="AB26367" s="38"/>
    </row>
    <row r="26368">
      <c r="P26368" s="42"/>
      <c r="AB26368" s="38"/>
    </row>
    <row r="26369">
      <c r="P26369" s="42"/>
      <c r="AB26369" s="38"/>
    </row>
    <row r="26370">
      <c r="P26370" s="42"/>
      <c r="AB26370" s="38"/>
    </row>
    <row r="26371">
      <c r="P26371" s="42"/>
      <c r="AB26371" s="38"/>
    </row>
    <row r="26372">
      <c r="P26372" s="42"/>
      <c r="AB26372" s="38"/>
    </row>
    <row r="26373">
      <c r="P26373" s="42"/>
      <c r="AB26373" s="38"/>
    </row>
    <row r="26374">
      <c r="P26374" s="42"/>
      <c r="AB26374" s="38"/>
    </row>
    <row r="26375">
      <c r="P26375" s="42"/>
      <c r="AB26375" s="38"/>
    </row>
    <row r="26376">
      <c r="P26376" s="42"/>
      <c r="AB26376" s="38"/>
    </row>
    <row r="26377">
      <c r="P26377" s="42"/>
      <c r="AB26377" s="38"/>
    </row>
    <row r="26378">
      <c r="P26378" s="42"/>
      <c r="AB26378" s="38"/>
    </row>
    <row r="26379">
      <c r="P26379" s="42"/>
      <c r="AB26379" s="38"/>
    </row>
    <row r="26380">
      <c r="P26380" s="42"/>
      <c r="AB26380" s="38"/>
    </row>
    <row r="26381">
      <c r="P26381" s="42"/>
      <c r="AB26381" s="38"/>
    </row>
    <row r="26382">
      <c r="P26382" s="42"/>
      <c r="AB26382" s="38"/>
    </row>
    <row r="26383">
      <c r="P26383" s="42"/>
      <c r="AB26383" s="38"/>
    </row>
    <row r="26384">
      <c r="P26384" s="42"/>
      <c r="AB26384" s="38"/>
    </row>
    <row r="26385">
      <c r="P26385" s="42"/>
      <c r="AB26385" s="38"/>
    </row>
    <row r="26386">
      <c r="P26386" s="42"/>
      <c r="AB26386" s="38"/>
    </row>
    <row r="26387">
      <c r="P26387" s="42"/>
      <c r="AB26387" s="38"/>
    </row>
    <row r="26388">
      <c r="P26388" s="42"/>
      <c r="AB26388" s="38"/>
    </row>
    <row r="26389">
      <c r="P26389" s="42"/>
      <c r="AB26389" s="38"/>
    </row>
    <row r="26390">
      <c r="P26390" s="42"/>
      <c r="AB26390" s="38"/>
    </row>
    <row r="26391">
      <c r="P26391" s="42"/>
      <c r="AB26391" s="38"/>
    </row>
    <row r="26392">
      <c r="P26392" s="42"/>
      <c r="AB26392" s="38"/>
    </row>
    <row r="26393">
      <c r="P26393" s="42"/>
      <c r="AB26393" s="38"/>
    </row>
    <row r="26394">
      <c r="P26394" s="42"/>
      <c r="AB26394" s="38"/>
    </row>
    <row r="26395">
      <c r="P26395" s="42"/>
      <c r="AB26395" s="38"/>
    </row>
    <row r="26396">
      <c r="P26396" s="42"/>
      <c r="AB26396" s="38"/>
    </row>
    <row r="26397">
      <c r="P26397" s="42"/>
      <c r="AB26397" s="38"/>
    </row>
    <row r="26398">
      <c r="P26398" s="42"/>
      <c r="AB26398" s="38"/>
    </row>
    <row r="26399">
      <c r="P26399" s="42"/>
      <c r="AB26399" s="38"/>
    </row>
    <row r="26400">
      <c r="P26400" s="42"/>
      <c r="AB26400" s="38"/>
    </row>
    <row r="26401">
      <c r="P26401" s="42"/>
      <c r="AB26401" s="38"/>
    </row>
    <row r="26402">
      <c r="P26402" s="42"/>
      <c r="AB26402" s="38"/>
    </row>
    <row r="26403">
      <c r="P26403" s="42"/>
      <c r="AB26403" s="38"/>
    </row>
    <row r="26404">
      <c r="P26404" s="42"/>
      <c r="AB26404" s="38"/>
    </row>
    <row r="26405">
      <c r="P26405" s="42"/>
      <c r="AB26405" s="38"/>
    </row>
    <row r="26406">
      <c r="P26406" s="42"/>
      <c r="AB26406" s="38"/>
    </row>
    <row r="26407">
      <c r="P26407" s="42"/>
      <c r="AB26407" s="38"/>
    </row>
    <row r="26408">
      <c r="P26408" s="42"/>
      <c r="AB26408" s="38"/>
    </row>
    <row r="26409">
      <c r="P26409" s="42"/>
      <c r="AB26409" s="38"/>
    </row>
    <row r="26410">
      <c r="P26410" s="42"/>
      <c r="AB26410" s="38"/>
    </row>
    <row r="26411">
      <c r="P26411" s="42"/>
      <c r="AB26411" s="38"/>
    </row>
    <row r="26412">
      <c r="P26412" s="42"/>
      <c r="AB26412" s="38"/>
    </row>
    <row r="26413">
      <c r="P26413" s="42"/>
      <c r="AB26413" s="38"/>
    </row>
    <row r="26414">
      <c r="P26414" s="42"/>
      <c r="AB26414" s="38"/>
    </row>
    <row r="26415">
      <c r="P26415" s="42"/>
      <c r="AB26415" s="38"/>
    </row>
    <row r="26416">
      <c r="P26416" s="42"/>
      <c r="AB26416" s="38"/>
    </row>
    <row r="26417">
      <c r="P26417" s="42"/>
      <c r="AB26417" s="38"/>
    </row>
    <row r="26418">
      <c r="P26418" s="42"/>
      <c r="AB26418" s="38"/>
    </row>
    <row r="26419">
      <c r="P26419" s="42"/>
      <c r="AB26419" s="38"/>
    </row>
    <row r="26420">
      <c r="P26420" s="42"/>
      <c r="AB26420" s="38"/>
    </row>
    <row r="26421">
      <c r="P26421" s="42"/>
      <c r="AB26421" s="38"/>
    </row>
    <row r="26422">
      <c r="P26422" s="42"/>
      <c r="AB26422" s="38"/>
    </row>
    <row r="26423">
      <c r="P26423" s="42"/>
      <c r="AB26423" s="38"/>
    </row>
    <row r="26424">
      <c r="P26424" s="42"/>
      <c r="AB26424" s="38"/>
    </row>
    <row r="26425">
      <c r="P26425" s="42"/>
      <c r="AB26425" s="38"/>
    </row>
    <row r="26426">
      <c r="P26426" s="42"/>
      <c r="AB26426" s="38"/>
    </row>
    <row r="26427">
      <c r="P26427" s="42"/>
      <c r="AB26427" s="38"/>
    </row>
    <row r="26428">
      <c r="P26428" s="42"/>
      <c r="AB26428" s="38"/>
    </row>
    <row r="26429">
      <c r="P26429" s="42"/>
      <c r="AB26429" s="38"/>
    </row>
    <row r="26430">
      <c r="P26430" s="42"/>
      <c r="AB26430" s="38"/>
    </row>
    <row r="26431">
      <c r="P26431" s="42"/>
      <c r="AB26431" s="38"/>
    </row>
    <row r="26432">
      <c r="P26432" s="42"/>
      <c r="AB26432" s="38"/>
    </row>
    <row r="26433">
      <c r="P26433" s="42"/>
      <c r="AB26433" s="38"/>
    </row>
    <row r="26434">
      <c r="P26434" s="42"/>
      <c r="AB26434" s="38"/>
    </row>
    <row r="26435">
      <c r="P26435" s="42"/>
      <c r="AB26435" s="38"/>
    </row>
    <row r="26436">
      <c r="P26436" s="42"/>
      <c r="AB26436" s="38"/>
    </row>
    <row r="26437">
      <c r="P26437" s="42"/>
      <c r="AB26437" s="38"/>
    </row>
    <row r="26438">
      <c r="P26438" s="42"/>
      <c r="AB26438" s="38"/>
    </row>
    <row r="26439">
      <c r="P26439" s="42"/>
      <c r="AB26439" s="38"/>
    </row>
    <row r="26440">
      <c r="P26440" s="42"/>
      <c r="AB26440" s="38"/>
    </row>
    <row r="26441">
      <c r="P26441" s="42"/>
      <c r="AB26441" s="38"/>
    </row>
    <row r="26442">
      <c r="P26442" s="42"/>
      <c r="AB26442" s="38"/>
    </row>
    <row r="26443">
      <c r="P26443" s="42"/>
      <c r="AB26443" s="38"/>
    </row>
    <row r="26444">
      <c r="P26444" s="42"/>
      <c r="AB26444" s="38"/>
    </row>
    <row r="26445">
      <c r="P26445" s="42"/>
      <c r="AB26445" s="38"/>
    </row>
    <row r="26446">
      <c r="P26446" s="42"/>
      <c r="AB26446" s="38"/>
    </row>
    <row r="26447">
      <c r="P26447" s="42"/>
      <c r="AB26447" s="38"/>
    </row>
    <row r="26448">
      <c r="P26448" s="42"/>
      <c r="AB26448" s="38"/>
    </row>
    <row r="26449">
      <c r="P26449" s="42"/>
      <c r="AB26449" s="38"/>
    </row>
    <row r="26450">
      <c r="P26450" s="42"/>
      <c r="AB26450" s="38"/>
    </row>
    <row r="26451">
      <c r="P26451" s="42"/>
      <c r="AB26451" s="38"/>
    </row>
    <row r="26452">
      <c r="P26452" s="42"/>
      <c r="AB26452" s="38"/>
    </row>
    <row r="26453">
      <c r="P26453" s="42"/>
      <c r="AB26453" s="38"/>
    </row>
    <row r="26454">
      <c r="P26454" s="42"/>
      <c r="AB26454" s="38"/>
    </row>
    <row r="26455">
      <c r="P26455" s="42"/>
      <c r="AB26455" s="38"/>
    </row>
    <row r="26456">
      <c r="P26456" s="42"/>
      <c r="AB26456" s="38"/>
    </row>
    <row r="26457">
      <c r="P26457" s="42"/>
      <c r="AB26457" s="38"/>
    </row>
    <row r="26458">
      <c r="P26458" s="42"/>
      <c r="AB26458" s="38"/>
    </row>
    <row r="26459">
      <c r="P26459" s="42"/>
      <c r="AB26459" s="38"/>
    </row>
    <row r="26460">
      <c r="P26460" s="42"/>
      <c r="AB26460" s="38"/>
    </row>
    <row r="26461">
      <c r="P26461" s="42"/>
      <c r="AB26461" s="38"/>
    </row>
    <row r="26462">
      <c r="P26462" s="42"/>
      <c r="AB26462" s="38"/>
    </row>
    <row r="26463">
      <c r="P26463" s="42"/>
      <c r="AB26463" s="38"/>
    </row>
    <row r="26464">
      <c r="P26464" s="42"/>
      <c r="AB26464" s="38"/>
    </row>
    <row r="26465">
      <c r="P26465" s="42"/>
      <c r="AB26465" s="38"/>
    </row>
    <row r="26466">
      <c r="P26466" s="42"/>
      <c r="AB26466" s="38"/>
    </row>
    <row r="26467">
      <c r="P26467" s="42"/>
      <c r="AB26467" s="38"/>
    </row>
    <row r="26468">
      <c r="P26468" s="42"/>
      <c r="AB26468" s="38"/>
    </row>
    <row r="26469">
      <c r="P26469" s="42"/>
      <c r="AB26469" s="38"/>
    </row>
    <row r="26470">
      <c r="P26470" s="42"/>
      <c r="AB26470" s="38"/>
    </row>
    <row r="26471">
      <c r="P26471" s="42"/>
      <c r="AB26471" s="38"/>
    </row>
    <row r="26472">
      <c r="P26472" s="42"/>
      <c r="AB26472" s="38"/>
    </row>
    <row r="26473">
      <c r="P26473" s="42"/>
      <c r="AB26473" s="38"/>
    </row>
    <row r="26474">
      <c r="P26474" s="42"/>
      <c r="AB26474" s="38"/>
    </row>
    <row r="26475">
      <c r="P26475" s="42"/>
      <c r="AB26475" s="38"/>
    </row>
    <row r="26476">
      <c r="P26476" s="42"/>
      <c r="AB26476" s="38"/>
    </row>
    <row r="26477">
      <c r="P26477" s="42"/>
      <c r="AB26477" s="38"/>
    </row>
    <row r="26478">
      <c r="P26478" s="42"/>
      <c r="AB26478" s="38"/>
    </row>
    <row r="26479">
      <c r="P26479" s="42"/>
      <c r="AB26479" s="38"/>
    </row>
    <row r="26480">
      <c r="P26480" s="42"/>
      <c r="AB26480" s="38"/>
    </row>
    <row r="26481">
      <c r="P26481" s="42"/>
      <c r="AB26481" s="38"/>
    </row>
    <row r="26482">
      <c r="P26482" s="42"/>
      <c r="AB26482" s="38"/>
    </row>
    <row r="26483">
      <c r="P26483" s="42"/>
      <c r="AB26483" s="38"/>
    </row>
    <row r="26484">
      <c r="P26484" s="42"/>
      <c r="AB26484" s="38"/>
    </row>
    <row r="26485">
      <c r="P26485" s="42"/>
      <c r="AB26485" s="38"/>
    </row>
    <row r="26486">
      <c r="P26486" s="42"/>
      <c r="AB26486" s="38"/>
    </row>
    <row r="26487">
      <c r="P26487" s="42"/>
      <c r="AB26487" s="38"/>
    </row>
    <row r="26488">
      <c r="P26488" s="42"/>
      <c r="AB26488" s="38"/>
    </row>
    <row r="26489">
      <c r="P26489" s="42"/>
      <c r="AB26489" s="38"/>
    </row>
    <row r="26490">
      <c r="P26490" s="42"/>
      <c r="AB26490" s="38"/>
    </row>
    <row r="26491">
      <c r="P26491" s="42"/>
      <c r="AB26491" s="38"/>
    </row>
    <row r="26492">
      <c r="P26492" s="42"/>
      <c r="AB26492" s="38"/>
    </row>
    <row r="26493">
      <c r="P26493" s="42"/>
      <c r="AB26493" s="38"/>
    </row>
    <row r="26494">
      <c r="P26494" s="42"/>
      <c r="AB26494" s="38"/>
    </row>
    <row r="26495">
      <c r="P26495" s="42"/>
      <c r="AB26495" s="38"/>
    </row>
    <row r="26496">
      <c r="P26496" s="42"/>
      <c r="AB26496" s="38"/>
    </row>
    <row r="26497">
      <c r="P26497" s="42"/>
      <c r="AB26497" s="38"/>
    </row>
    <row r="26498">
      <c r="P26498" s="42"/>
      <c r="AB26498" s="38"/>
    </row>
    <row r="26499">
      <c r="P26499" s="42"/>
      <c r="AB26499" s="38"/>
    </row>
    <row r="26500">
      <c r="P26500" s="42"/>
      <c r="AB26500" s="38"/>
    </row>
    <row r="26501">
      <c r="P26501" s="42"/>
      <c r="AB26501" s="38"/>
    </row>
    <row r="26502">
      <c r="P26502" s="42"/>
      <c r="AB26502" s="38"/>
    </row>
    <row r="26503">
      <c r="P26503" s="42"/>
      <c r="AB26503" s="38"/>
    </row>
    <row r="26504">
      <c r="P26504" s="42"/>
      <c r="AB26504" s="38"/>
    </row>
    <row r="26505">
      <c r="P26505" s="42"/>
      <c r="AB26505" s="38"/>
    </row>
    <row r="26506">
      <c r="P26506" s="42"/>
      <c r="AB26506" s="38"/>
    </row>
    <row r="26507">
      <c r="P26507" s="42"/>
      <c r="AB26507" s="38"/>
    </row>
    <row r="26508">
      <c r="P26508" s="42"/>
      <c r="AB26508" s="38"/>
    </row>
    <row r="26509">
      <c r="P26509" s="42"/>
      <c r="AB26509" s="38"/>
    </row>
    <row r="26510">
      <c r="P26510" s="42"/>
      <c r="AB26510" s="38"/>
    </row>
    <row r="26511">
      <c r="P26511" s="42"/>
      <c r="AB26511" s="38"/>
    </row>
    <row r="26512">
      <c r="P26512" s="42"/>
      <c r="AB26512" s="38"/>
    </row>
    <row r="26513">
      <c r="P26513" s="42"/>
      <c r="AB26513" s="38"/>
    </row>
    <row r="26514">
      <c r="P26514" s="42"/>
      <c r="AB26514" s="38"/>
    </row>
    <row r="26515">
      <c r="P26515" s="42"/>
      <c r="AB26515" s="38"/>
    </row>
    <row r="26516">
      <c r="P26516" s="42"/>
      <c r="AB26516" s="38"/>
    </row>
    <row r="26517">
      <c r="P26517" s="42"/>
      <c r="AB26517" s="38"/>
    </row>
    <row r="26518">
      <c r="P26518" s="42"/>
      <c r="AB26518" s="38"/>
    </row>
    <row r="26519">
      <c r="P26519" s="42"/>
      <c r="AB26519" s="38"/>
    </row>
    <row r="26520">
      <c r="P26520" s="42"/>
      <c r="AB26520" s="38"/>
    </row>
    <row r="26521">
      <c r="P26521" s="42"/>
      <c r="AB26521" s="38"/>
    </row>
    <row r="26522">
      <c r="P26522" s="42"/>
      <c r="AB26522" s="38"/>
    </row>
    <row r="26523">
      <c r="P26523" s="42"/>
      <c r="AB26523" s="38"/>
    </row>
    <row r="26524">
      <c r="P26524" s="42"/>
      <c r="AB26524" s="38"/>
    </row>
    <row r="26525">
      <c r="P26525" s="42"/>
      <c r="AB26525" s="38"/>
    </row>
    <row r="26526">
      <c r="P26526" s="42"/>
      <c r="AB26526" s="38"/>
    </row>
    <row r="26527">
      <c r="P26527" s="42"/>
      <c r="AB26527" s="38"/>
    </row>
    <row r="26528">
      <c r="P26528" s="42"/>
      <c r="AB26528" s="38"/>
    </row>
    <row r="26529">
      <c r="P26529" s="42"/>
      <c r="AB26529" s="38"/>
    </row>
    <row r="26530">
      <c r="P26530" s="42"/>
      <c r="AB26530" s="38"/>
    </row>
    <row r="26531">
      <c r="P26531" s="42"/>
      <c r="AB26531" s="38"/>
    </row>
    <row r="26532">
      <c r="P26532" s="42"/>
      <c r="AB26532" s="38"/>
    </row>
    <row r="26533">
      <c r="P26533" s="42"/>
      <c r="AB26533" s="38"/>
    </row>
    <row r="26534">
      <c r="P26534" s="42"/>
      <c r="AB26534" s="38"/>
    </row>
    <row r="26535">
      <c r="P26535" s="42"/>
      <c r="AB26535" s="38"/>
    </row>
    <row r="26536">
      <c r="P26536" s="42"/>
      <c r="AB26536" s="38"/>
    </row>
    <row r="26537">
      <c r="P26537" s="42"/>
      <c r="AB26537" s="38"/>
    </row>
    <row r="26538">
      <c r="P26538" s="42"/>
      <c r="AB26538" s="38"/>
    </row>
    <row r="26539">
      <c r="P26539" s="42"/>
      <c r="AB26539" s="38"/>
    </row>
    <row r="26540">
      <c r="P26540" s="42"/>
      <c r="AB26540" s="38"/>
    </row>
    <row r="26541">
      <c r="P26541" s="42"/>
      <c r="AB26541" s="38"/>
    </row>
    <row r="26542">
      <c r="P26542" s="42"/>
      <c r="AB26542" s="38"/>
    </row>
    <row r="26543">
      <c r="P26543" s="42"/>
      <c r="AB26543" s="38"/>
    </row>
    <row r="26544">
      <c r="P26544" s="42"/>
      <c r="AB26544" s="38"/>
    </row>
    <row r="26545">
      <c r="P26545" s="42"/>
      <c r="AB26545" s="38"/>
    </row>
    <row r="26546">
      <c r="P26546" s="42"/>
      <c r="AB26546" s="38"/>
    </row>
    <row r="26547">
      <c r="P26547" s="42"/>
      <c r="AB26547" s="38"/>
    </row>
    <row r="26548">
      <c r="P26548" s="42"/>
      <c r="AB26548" s="38"/>
    </row>
    <row r="26549">
      <c r="P26549" s="42"/>
      <c r="AB26549" s="38"/>
    </row>
    <row r="26550">
      <c r="P26550" s="42"/>
      <c r="AB26550" s="38"/>
    </row>
    <row r="26551">
      <c r="P26551" s="42"/>
      <c r="AB26551" s="38"/>
    </row>
    <row r="26552">
      <c r="P26552" s="42"/>
      <c r="AB26552" s="38"/>
    </row>
    <row r="26553">
      <c r="P26553" s="42"/>
      <c r="AB26553" s="38"/>
    </row>
    <row r="26554">
      <c r="P26554" s="42"/>
      <c r="AB26554" s="38"/>
    </row>
    <row r="26555">
      <c r="P26555" s="42"/>
      <c r="AB26555" s="38"/>
    </row>
    <row r="26556">
      <c r="P26556" s="42"/>
      <c r="AB26556" s="38"/>
    </row>
    <row r="26557">
      <c r="P26557" s="42"/>
      <c r="AB26557" s="38"/>
    </row>
    <row r="26558">
      <c r="P26558" s="42"/>
      <c r="AB26558" s="38"/>
    </row>
    <row r="26559">
      <c r="P26559" s="42"/>
      <c r="AB26559" s="38"/>
    </row>
    <row r="26560">
      <c r="P26560" s="42"/>
      <c r="AB26560" s="38"/>
    </row>
    <row r="26561">
      <c r="P26561" s="42"/>
      <c r="AB26561" s="38"/>
    </row>
    <row r="26562">
      <c r="P26562" s="42"/>
      <c r="AB26562" s="38"/>
    </row>
    <row r="26563">
      <c r="P26563" s="42"/>
      <c r="AB26563" s="38"/>
    </row>
    <row r="26564">
      <c r="P26564" s="42"/>
      <c r="AB26564" s="38"/>
    </row>
    <row r="26565">
      <c r="P26565" s="42"/>
      <c r="AB26565" s="38"/>
    </row>
    <row r="26566">
      <c r="P26566" s="42"/>
      <c r="AB26566" s="38"/>
    </row>
    <row r="26567">
      <c r="P26567" s="42"/>
      <c r="AB26567" s="38"/>
    </row>
    <row r="26568">
      <c r="P26568" s="42"/>
      <c r="AB26568" s="38"/>
    </row>
    <row r="26569">
      <c r="P26569" s="42"/>
      <c r="AB26569" s="38"/>
    </row>
    <row r="26570">
      <c r="P26570" s="42"/>
      <c r="AB26570" s="38"/>
    </row>
    <row r="26571">
      <c r="P26571" s="42"/>
      <c r="AB26571" s="38"/>
    </row>
    <row r="26572">
      <c r="P26572" s="42"/>
      <c r="AB26572" s="38"/>
    </row>
    <row r="26573">
      <c r="P26573" s="42"/>
      <c r="AB26573" s="38"/>
    </row>
    <row r="26574">
      <c r="P26574" s="42"/>
      <c r="AB26574" s="38"/>
    </row>
    <row r="26575">
      <c r="P26575" s="42"/>
      <c r="AB26575" s="38"/>
    </row>
    <row r="26576">
      <c r="P26576" s="42"/>
      <c r="AB26576" s="38"/>
    </row>
    <row r="26577">
      <c r="P26577" s="42"/>
      <c r="AB26577" s="38"/>
    </row>
    <row r="26578">
      <c r="P26578" s="42"/>
      <c r="AB26578" s="38"/>
    </row>
    <row r="26579">
      <c r="P26579" s="42"/>
      <c r="AB26579" s="38"/>
    </row>
    <row r="26580">
      <c r="P26580" s="42"/>
      <c r="AB26580" s="38"/>
    </row>
    <row r="26581">
      <c r="P26581" s="42"/>
      <c r="AB26581" s="38"/>
    </row>
    <row r="26582">
      <c r="P26582" s="42"/>
      <c r="AB26582" s="38"/>
    </row>
    <row r="26583">
      <c r="P26583" s="42"/>
      <c r="AB26583" s="38"/>
    </row>
    <row r="26584">
      <c r="P26584" s="42"/>
      <c r="AB26584" s="38"/>
    </row>
    <row r="26585">
      <c r="P26585" s="42"/>
      <c r="AB26585" s="38"/>
    </row>
    <row r="26586">
      <c r="P26586" s="42"/>
      <c r="AB26586" s="38"/>
    </row>
    <row r="26587">
      <c r="P26587" s="42"/>
      <c r="AB26587" s="38"/>
    </row>
    <row r="26588">
      <c r="P26588" s="42"/>
      <c r="AB26588" s="38"/>
    </row>
    <row r="26589">
      <c r="P26589" s="42"/>
      <c r="AB26589" s="38"/>
    </row>
    <row r="26590">
      <c r="P26590" s="42"/>
      <c r="AB26590" s="38"/>
    </row>
    <row r="26591">
      <c r="P26591" s="42"/>
      <c r="AB26591" s="38"/>
    </row>
    <row r="26592">
      <c r="P26592" s="42"/>
      <c r="AB26592" s="38"/>
    </row>
    <row r="26593">
      <c r="P26593" s="42"/>
      <c r="AB26593" s="38"/>
    </row>
    <row r="26594">
      <c r="P26594" s="42"/>
      <c r="AB26594" s="38"/>
    </row>
    <row r="26595">
      <c r="P26595" s="42"/>
      <c r="AB26595" s="38"/>
    </row>
    <row r="26596">
      <c r="P26596" s="42"/>
      <c r="AB26596" s="38"/>
    </row>
    <row r="26597">
      <c r="P26597" s="42"/>
      <c r="AB26597" s="38"/>
    </row>
    <row r="26598">
      <c r="P26598" s="42"/>
      <c r="AB26598" s="38"/>
    </row>
    <row r="26599">
      <c r="P26599" s="42"/>
      <c r="AB26599" s="38"/>
    </row>
    <row r="26600">
      <c r="P26600" s="42"/>
      <c r="AB26600" s="38"/>
    </row>
    <row r="26601">
      <c r="P26601" s="42"/>
      <c r="AB26601" s="38"/>
    </row>
    <row r="26602">
      <c r="P26602" s="42"/>
      <c r="AB26602" s="38"/>
    </row>
    <row r="26603">
      <c r="P26603" s="42"/>
      <c r="AB26603" s="38"/>
    </row>
    <row r="26604">
      <c r="P26604" s="42"/>
      <c r="AB26604" s="38"/>
    </row>
    <row r="26605">
      <c r="P26605" s="42"/>
      <c r="AB26605" s="38"/>
    </row>
    <row r="26606">
      <c r="P26606" s="42"/>
      <c r="AB26606" s="38"/>
    </row>
    <row r="26607">
      <c r="P26607" s="42"/>
      <c r="AB26607" s="38"/>
    </row>
    <row r="26608">
      <c r="P26608" s="42"/>
      <c r="AB26608" s="38"/>
    </row>
    <row r="26609">
      <c r="P26609" s="42"/>
      <c r="AB26609" s="38"/>
    </row>
    <row r="26610">
      <c r="P26610" s="42"/>
      <c r="AB26610" s="38"/>
    </row>
    <row r="26611">
      <c r="P26611" s="42"/>
      <c r="AB26611" s="38"/>
    </row>
    <row r="26612">
      <c r="P26612" s="42"/>
      <c r="AB26612" s="38"/>
    </row>
    <row r="26613">
      <c r="P26613" s="42"/>
      <c r="AB26613" s="38"/>
    </row>
    <row r="26614">
      <c r="P26614" s="42"/>
      <c r="AB26614" s="38"/>
    </row>
    <row r="26615">
      <c r="P26615" s="42"/>
      <c r="AB26615" s="38"/>
    </row>
    <row r="26616">
      <c r="P26616" s="42"/>
      <c r="AB26616" s="38"/>
    </row>
    <row r="26617">
      <c r="P26617" s="42"/>
      <c r="AB26617" s="38"/>
    </row>
    <row r="26618">
      <c r="P26618" s="42"/>
      <c r="AB26618" s="38"/>
    </row>
    <row r="26619">
      <c r="P26619" s="42"/>
      <c r="AB26619" s="38"/>
    </row>
    <row r="26620">
      <c r="P26620" s="42"/>
      <c r="AB26620" s="38"/>
    </row>
    <row r="26621">
      <c r="P26621" s="42"/>
      <c r="AB26621" s="38"/>
    </row>
    <row r="26622">
      <c r="P26622" s="42"/>
      <c r="AB26622" s="38"/>
    </row>
    <row r="26623">
      <c r="P26623" s="42"/>
      <c r="AB26623" s="38"/>
    </row>
    <row r="26624">
      <c r="P26624" s="42"/>
      <c r="AB26624" s="38"/>
    </row>
    <row r="26625">
      <c r="P26625" s="42"/>
      <c r="AB26625" s="38"/>
    </row>
    <row r="26626">
      <c r="P26626" s="42"/>
      <c r="AB26626" s="38"/>
    </row>
    <row r="26627">
      <c r="P26627" s="42"/>
      <c r="AB26627" s="38"/>
    </row>
    <row r="26628">
      <c r="P26628" s="42"/>
      <c r="AB26628" s="38"/>
    </row>
    <row r="26629">
      <c r="P26629" s="42"/>
      <c r="AB26629" s="38"/>
    </row>
    <row r="26630">
      <c r="P26630" s="42"/>
      <c r="AB26630" s="38"/>
    </row>
    <row r="26631">
      <c r="P26631" s="42"/>
      <c r="AB26631" s="38"/>
    </row>
    <row r="26632">
      <c r="P26632" s="42"/>
      <c r="AB26632" s="38"/>
    </row>
    <row r="26633">
      <c r="P26633" s="42"/>
      <c r="AB26633" s="38"/>
    </row>
    <row r="26634">
      <c r="P26634" s="42"/>
      <c r="AB26634" s="38"/>
    </row>
    <row r="26635">
      <c r="P26635" s="42"/>
      <c r="AB26635" s="38"/>
    </row>
    <row r="26636">
      <c r="P26636" s="42"/>
      <c r="AB26636" s="38"/>
    </row>
    <row r="26637">
      <c r="P26637" s="42"/>
      <c r="AB26637" s="38"/>
    </row>
    <row r="26638">
      <c r="P26638" s="42"/>
      <c r="AB26638" s="38"/>
    </row>
    <row r="26639">
      <c r="P26639" s="42"/>
      <c r="AB26639" s="38"/>
    </row>
    <row r="26640">
      <c r="P26640" s="42"/>
      <c r="AB26640" s="38"/>
    </row>
    <row r="26641">
      <c r="P26641" s="42"/>
      <c r="AB26641" s="38"/>
    </row>
    <row r="26642">
      <c r="P26642" s="42"/>
      <c r="AB26642" s="38"/>
    </row>
    <row r="26643">
      <c r="P26643" s="42"/>
      <c r="AB26643" s="38"/>
    </row>
    <row r="26644">
      <c r="P26644" s="42"/>
      <c r="AB26644" s="38"/>
    </row>
    <row r="26645">
      <c r="P26645" s="42"/>
      <c r="AB26645" s="38"/>
    </row>
    <row r="26646">
      <c r="P26646" s="42"/>
      <c r="AB26646" s="38"/>
    </row>
    <row r="26647">
      <c r="P26647" s="42"/>
      <c r="AB26647" s="38"/>
    </row>
    <row r="26648">
      <c r="P26648" s="42"/>
      <c r="AB26648" s="38"/>
    </row>
    <row r="26649">
      <c r="P26649" s="42"/>
      <c r="AB26649" s="38"/>
    </row>
    <row r="26650">
      <c r="P26650" s="42"/>
      <c r="AB26650" s="38"/>
    </row>
    <row r="26651">
      <c r="P26651" s="42"/>
      <c r="AB26651" s="38"/>
    </row>
    <row r="26652">
      <c r="P26652" s="42"/>
      <c r="AB26652" s="38"/>
    </row>
    <row r="26653">
      <c r="P26653" s="42"/>
      <c r="AB26653" s="38"/>
    </row>
    <row r="26654">
      <c r="P26654" s="42"/>
      <c r="AB26654" s="38"/>
    </row>
    <row r="26655">
      <c r="P26655" s="42"/>
      <c r="AB26655" s="38"/>
    </row>
    <row r="26656">
      <c r="P26656" s="42"/>
      <c r="AB26656" s="38"/>
    </row>
    <row r="26657">
      <c r="P26657" s="42"/>
      <c r="AB26657" s="38"/>
    </row>
    <row r="26658">
      <c r="P26658" s="42"/>
      <c r="AB26658" s="38"/>
    </row>
    <row r="26659">
      <c r="P26659" s="42"/>
      <c r="AB26659" s="38"/>
    </row>
    <row r="26660">
      <c r="P26660" s="42"/>
      <c r="AB26660" s="38"/>
    </row>
    <row r="26661">
      <c r="P26661" s="42"/>
      <c r="AB26661" s="38"/>
    </row>
    <row r="26662">
      <c r="P26662" s="42"/>
      <c r="AB26662" s="38"/>
    </row>
    <row r="26663">
      <c r="P26663" s="42"/>
      <c r="AB26663" s="38"/>
    </row>
    <row r="26664">
      <c r="P26664" s="42"/>
      <c r="AB26664" s="38"/>
    </row>
    <row r="26665">
      <c r="P26665" s="42"/>
      <c r="AB26665" s="38"/>
    </row>
    <row r="26666">
      <c r="P26666" s="42"/>
      <c r="AB26666" s="38"/>
    </row>
    <row r="26667">
      <c r="P26667" s="42"/>
      <c r="AB26667" s="38"/>
    </row>
    <row r="26668">
      <c r="P26668" s="42"/>
      <c r="AB26668" s="38"/>
    </row>
    <row r="26669">
      <c r="P26669" s="42"/>
      <c r="AB26669" s="38"/>
    </row>
    <row r="26670">
      <c r="P26670" s="42"/>
      <c r="AB26670" s="38"/>
    </row>
    <row r="26671">
      <c r="P26671" s="42"/>
      <c r="AB26671" s="38"/>
    </row>
    <row r="26672">
      <c r="P26672" s="42"/>
      <c r="AB26672" s="38"/>
    </row>
    <row r="26673">
      <c r="P26673" s="42"/>
      <c r="AB26673" s="38"/>
    </row>
    <row r="26674">
      <c r="P26674" s="42"/>
      <c r="AB26674" s="38"/>
    </row>
    <row r="26675">
      <c r="P26675" s="42"/>
      <c r="AB26675" s="38"/>
    </row>
    <row r="26676">
      <c r="P26676" s="42"/>
      <c r="AB26676" s="38"/>
    </row>
    <row r="26677">
      <c r="P26677" s="42"/>
      <c r="AB26677" s="38"/>
    </row>
    <row r="26678">
      <c r="P26678" s="42"/>
      <c r="AB26678" s="38"/>
    </row>
    <row r="26679">
      <c r="P26679" s="42"/>
      <c r="AB26679" s="38"/>
    </row>
    <row r="26680">
      <c r="P26680" s="42"/>
      <c r="AB26680" s="38"/>
    </row>
    <row r="26681">
      <c r="P26681" s="42"/>
      <c r="AB26681" s="38"/>
    </row>
    <row r="26682">
      <c r="P26682" s="42"/>
      <c r="AB26682" s="38"/>
    </row>
    <row r="26683">
      <c r="P26683" s="42"/>
      <c r="AB26683" s="38"/>
    </row>
    <row r="26684">
      <c r="P26684" s="42"/>
      <c r="AB26684" s="38"/>
    </row>
    <row r="26685">
      <c r="P26685" s="42"/>
      <c r="AB26685" s="38"/>
    </row>
    <row r="26686">
      <c r="P26686" s="42"/>
      <c r="AB26686" s="38"/>
    </row>
    <row r="26687">
      <c r="P26687" s="42"/>
      <c r="AB26687" s="38"/>
    </row>
    <row r="26688">
      <c r="P26688" s="42"/>
      <c r="AB26688" s="38"/>
    </row>
    <row r="26689">
      <c r="P26689" s="42"/>
      <c r="AB26689" s="38"/>
    </row>
    <row r="26690">
      <c r="P26690" s="42"/>
      <c r="AB26690" s="38"/>
    </row>
    <row r="26691">
      <c r="P26691" s="42"/>
      <c r="AB26691" s="38"/>
    </row>
    <row r="26692">
      <c r="P26692" s="42"/>
      <c r="AB26692" s="38"/>
    </row>
    <row r="26693">
      <c r="P26693" s="42"/>
      <c r="AB26693" s="38"/>
    </row>
    <row r="26694">
      <c r="P26694" s="42"/>
      <c r="AB26694" s="38"/>
    </row>
    <row r="26695">
      <c r="P26695" s="42"/>
      <c r="AB26695" s="38"/>
    </row>
    <row r="26696">
      <c r="P26696" s="42"/>
      <c r="AB26696" s="38"/>
    </row>
    <row r="26697">
      <c r="P26697" s="42"/>
      <c r="AB26697" s="38"/>
    </row>
    <row r="26698">
      <c r="P26698" s="42"/>
      <c r="AB26698" s="38"/>
    </row>
    <row r="26699">
      <c r="P26699" s="42"/>
      <c r="AB26699" s="38"/>
    </row>
    <row r="26700">
      <c r="P26700" s="42"/>
      <c r="AB26700" s="38"/>
    </row>
    <row r="26701">
      <c r="P26701" s="42"/>
      <c r="AB26701" s="38"/>
    </row>
    <row r="26702">
      <c r="P26702" s="42"/>
      <c r="AB26702" s="38"/>
    </row>
    <row r="26703">
      <c r="P26703" s="42"/>
      <c r="AB26703" s="38"/>
    </row>
    <row r="26704">
      <c r="P26704" s="42"/>
      <c r="AB26704" s="38"/>
    </row>
    <row r="26705">
      <c r="P26705" s="42"/>
      <c r="AB26705" s="38"/>
    </row>
    <row r="26706">
      <c r="P26706" s="42"/>
      <c r="AB26706" s="38"/>
    </row>
    <row r="26707">
      <c r="P26707" s="42"/>
      <c r="AB26707" s="38"/>
    </row>
    <row r="26708">
      <c r="P26708" s="42"/>
      <c r="AB26708" s="38"/>
    </row>
    <row r="26709">
      <c r="P26709" s="42"/>
      <c r="AB26709" s="38"/>
    </row>
    <row r="26710">
      <c r="P26710" s="42"/>
      <c r="AB26710" s="38"/>
    </row>
    <row r="26711">
      <c r="P26711" s="42"/>
      <c r="AB26711" s="38"/>
    </row>
    <row r="26712">
      <c r="P26712" s="42"/>
      <c r="AB26712" s="38"/>
    </row>
    <row r="26713">
      <c r="P26713" s="42"/>
      <c r="AB26713" s="38"/>
    </row>
    <row r="26714">
      <c r="P26714" s="42"/>
      <c r="AB26714" s="38"/>
    </row>
    <row r="26715">
      <c r="P26715" s="42"/>
      <c r="AB26715" s="38"/>
    </row>
    <row r="26716">
      <c r="P26716" s="42"/>
      <c r="AB26716" s="38"/>
    </row>
    <row r="26717">
      <c r="P26717" s="42"/>
      <c r="AB26717" s="38"/>
    </row>
    <row r="26718">
      <c r="P26718" s="42"/>
      <c r="AB26718" s="38"/>
    </row>
    <row r="26719">
      <c r="P26719" s="42"/>
      <c r="AB26719" s="38"/>
    </row>
    <row r="26720">
      <c r="P26720" s="42"/>
      <c r="AB26720" s="38"/>
    </row>
    <row r="26721">
      <c r="P26721" s="42"/>
      <c r="AB26721" s="38"/>
    </row>
    <row r="26722">
      <c r="P26722" s="42"/>
      <c r="AB26722" s="38"/>
    </row>
    <row r="26723">
      <c r="P26723" s="42"/>
      <c r="AB26723" s="38"/>
    </row>
    <row r="26724">
      <c r="P26724" s="42"/>
      <c r="AB26724" s="38"/>
    </row>
    <row r="26725">
      <c r="P26725" s="42"/>
      <c r="AB26725" s="38"/>
    </row>
    <row r="26726">
      <c r="P26726" s="42"/>
      <c r="AB26726" s="38"/>
    </row>
    <row r="26727">
      <c r="P26727" s="42"/>
      <c r="AB26727" s="38"/>
    </row>
    <row r="26728">
      <c r="P26728" s="42"/>
      <c r="AB26728" s="38"/>
    </row>
    <row r="26729">
      <c r="P26729" s="42"/>
      <c r="AB26729" s="38"/>
    </row>
    <row r="26730">
      <c r="P26730" s="42"/>
      <c r="AB26730" s="38"/>
    </row>
    <row r="26731">
      <c r="P26731" s="42"/>
      <c r="AB26731" s="38"/>
    </row>
    <row r="26732">
      <c r="P26732" s="42"/>
      <c r="AB26732" s="38"/>
    </row>
    <row r="26733">
      <c r="P26733" s="42"/>
      <c r="AB26733" s="38"/>
    </row>
    <row r="26734">
      <c r="P26734" s="42"/>
      <c r="AB26734" s="38"/>
    </row>
    <row r="26735">
      <c r="P26735" s="42"/>
      <c r="AB26735" s="38"/>
    </row>
    <row r="26736">
      <c r="P26736" s="42"/>
      <c r="AB26736" s="38"/>
    </row>
    <row r="26737">
      <c r="P26737" s="42"/>
      <c r="AB26737" s="38"/>
    </row>
    <row r="26738">
      <c r="P26738" s="42"/>
      <c r="AB26738" s="38"/>
    </row>
    <row r="26739">
      <c r="P26739" s="42"/>
      <c r="AB26739" s="38"/>
    </row>
    <row r="26740">
      <c r="P26740" s="42"/>
      <c r="AB26740" s="38"/>
    </row>
    <row r="26741">
      <c r="P26741" s="42"/>
      <c r="AB26741" s="38"/>
    </row>
    <row r="26742">
      <c r="P26742" s="42"/>
      <c r="AB26742" s="38"/>
    </row>
    <row r="26743">
      <c r="P26743" s="42"/>
      <c r="AB26743" s="38"/>
    </row>
    <row r="26744">
      <c r="P26744" s="42"/>
      <c r="AB26744" s="38"/>
    </row>
    <row r="26745">
      <c r="P26745" s="42"/>
      <c r="AB26745" s="38"/>
    </row>
    <row r="26746">
      <c r="P26746" s="42"/>
      <c r="AB26746" s="38"/>
    </row>
    <row r="26747">
      <c r="P26747" s="42"/>
      <c r="AB26747" s="38"/>
    </row>
    <row r="26748">
      <c r="P26748" s="42"/>
      <c r="AB26748" s="38"/>
    </row>
    <row r="26749">
      <c r="P26749" s="42"/>
      <c r="AB26749" s="38"/>
    </row>
    <row r="26750">
      <c r="P26750" s="42"/>
      <c r="AB26750" s="38"/>
    </row>
    <row r="26751">
      <c r="P26751" s="42"/>
      <c r="AB26751" s="38"/>
    </row>
    <row r="26752">
      <c r="P26752" s="42"/>
      <c r="AB26752" s="38"/>
    </row>
    <row r="26753">
      <c r="P26753" s="42"/>
      <c r="AB26753" s="38"/>
    </row>
    <row r="26754">
      <c r="P26754" s="42"/>
      <c r="AB26754" s="38"/>
    </row>
    <row r="26755">
      <c r="P26755" s="42"/>
      <c r="AB26755" s="38"/>
    </row>
    <row r="26756">
      <c r="P26756" s="42"/>
      <c r="AB26756" s="38"/>
    </row>
    <row r="26757">
      <c r="P26757" s="42"/>
      <c r="AB26757" s="38"/>
    </row>
    <row r="26758">
      <c r="P26758" s="42"/>
      <c r="AB26758" s="38"/>
    </row>
    <row r="26759">
      <c r="P26759" s="42"/>
      <c r="AB26759" s="38"/>
    </row>
    <row r="26760">
      <c r="P26760" s="42"/>
      <c r="AB26760" s="38"/>
    </row>
    <row r="26761">
      <c r="P26761" s="42"/>
      <c r="AB26761" s="38"/>
    </row>
    <row r="26762">
      <c r="P26762" s="42"/>
      <c r="AB26762" s="38"/>
    </row>
    <row r="26763">
      <c r="P26763" s="42"/>
      <c r="AB26763" s="38"/>
    </row>
    <row r="26764">
      <c r="P26764" s="42"/>
      <c r="AB26764" s="38"/>
    </row>
    <row r="26765">
      <c r="P26765" s="42"/>
      <c r="AB26765" s="38"/>
    </row>
    <row r="26766">
      <c r="P26766" s="42"/>
      <c r="AB26766" s="38"/>
    </row>
    <row r="26767">
      <c r="P26767" s="42"/>
      <c r="AB26767" s="38"/>
    </row>
    <row r="26768">
      <c r="P26768" s="42"/>
      <c r="AB26768" s="38"/>
    </row>
    <row r="26769">
      <c r="P26769" s="42"/>
      <c r="AB26769" s="38"/>
    </row>
    <row r="26770">
      <c r="P26770" s="42"/>
      <c r="AB26770" s="38"/>
    </row>
    <row r="26771">
      <c r="P26771" s="42"/>
      <c r="AB26771" s="38"/>
    </row>
    <row r="26772">
      <c r="P26772" s="42"/>
      <c r="AB26772" s="38"/>
    </row>
    <row r="26773">
      <c r="P26773" s="42"/>
      <c r="AB26773" s="38"/>
    </row>
    <row r="26774">
      <c r="P26774" s="42"/>
      <c r="AB26774" s="38"/>
    </row>
    <row r="26775">
      <c r="P26775" s="42"/>
      <c r="AB26775" s="38"/>
    </row>
    <row r="26776">
      <c r="P26776" s="42"/>
      <c r="AB26776" s="38"/>
    </row>
    <row r="26777">
      <c r="P26777" s="42"/>
      <c r="AB26777" s="38"/>
    </row>
    <row r="26778">
      <c r="P26778" s="42"/>
      <c r="AB26778" s="38"/>
    </row>
    <row r="26779">
      <c r="P26779" s="42"/>
      <c r="AB26779" s="38"/>
    </row>
    <row r="26780">
      <c r="P26780" s="42"/>
      <c r="AB26780" s="38"/>
    </row>
    <row r="26781">
      <c r="P26781" s="42"/>
      <c r="AB26781" s="38"/>
    </row>
    <row r="26782">
      <c r="P26782" s="42"/>
      <c r="AB26782" s="38"/>
    </row>
    <row r="26783">
      <c r="P26783" s="42"/>
      <c r="AB26783" s="38"/>
    </row>
    <row r="26784">
      <c r="P26784" s="42"/>
      <c r="AB26784" s="38"/>
    </row>
    <row r="26785">
      <c r="P26785" s="42"/>
      <c r="AB26785" s="38"/>
    </row>
    <row r="26786">
      <c r="P26786" s="42"/>
      <c r="AB26786" s="38"/>
    </row>
    <row r="26787">
      <c r="P26787" s="42"/>
      <c r="AB26787" s="38"/>
    </row>
    <row r="26788">
      <c r="P26788" s="42"/>
      <c r="AB26788" s="38"/>
    </row>
    <row r="26789">
      <c r="P26789" s="42"/>
      <c r="AB26789" s="38"/>
    </row>
    <row r="26790">
      <c r="P26790" s="42"/>
      <c r="AB26790" s="38"/>
    </row>
    <row r="26791">
      <c r="P26791" s="42"/>
      <c r="AB26791" s="38"/>
    </row>
    <row r="26792">
      <c r="P26792" s="42"/>
      <c r="AB26792" s="38"/>
    </row>
    <row r="26793">
      <c r="P26793" s="42"/>
      <c r="AB26793" s="38"/>
    </row>
    <row r="26794">
      <c r="P26794" s="42"/>
      <c r="AB26794" s="38"/>
    </row>
    <row r="26795">
      <c r="P26795" s="42"/>
      <c r="AB26795" s="38"/>
    </row>
    <row r="26796">
      <c r="P26796" s="42"/>
      <c r="AB26796" s="38"/>
    </row>
    <row r="26797">
      <c r="P26797" s="42"/>
      <c r="AB26797" s="38"/>
    </row>
    <row r="26798">
      <c r="P26798" s="42"/>
      <c r="AB26798" s="38"/>
    </row>
    <row r="26799">
      <c r="P26799" s="42"/>
      <c r="AB26799" s="38"/>
    </row>
    <row r="26800">
      <c r="P26800" s="42"/>
      <c r="AB26800" s="38"/>
    </row>
    <row r="26801">
      <c r="P26801" s="42"/>
      <c r="AB26801" s="38"/>
    </row>
    <row r="26802">
      <c r="P26802" s="42"/>
      <c r="AB26802" s="38"/>
    </row>
    <row r="26803">
      <c r="P26803" s="42"/>
      <c r="AB26803" s="38"/>
    </row>
    <row r="26804">
      <c r="P26804" s="42"/>
      <c r="AB26804" s="38"/>
    </row>
    <row r="26805">
      <c r="P26805" s="42"/>
      <c r="AB26805" s="38"/>
    </row>
    <row r="26806">
      <c r="P26806" s="42"/>
      <c r="AB26806" s="38"/>
    </row>
    <row r="26807">
      <c r="P26807" s="42"/>
      <c r="AB26807" s="38"/>
    </row>
    <row r="26808">
      <c r="P26808" s="42"/>
      <c r="AB26808" s="38"/>
    </row>
    <row r="26809">
      <c r="P26809" s="42"/>
      <c r="AB26809" s="38"/>
    </row>
    <row r="26810">
      <c r="P26810" s="42"/>
      <c r="AB26810" s="38"/>
    </row>
    <row r="26811">
      <c r="P26811" s="42"/>
      <c r="AB26811" s="38"/>
    </row>
    <row r="26812">
      <c r="P26812" s="42"/>
      <c r="AB26812" s="38"/>
    </row>
    <row r="26813">
      <c r="P26813" s="42"/>
      <c r="AB26813" s="38"/>
    </row>
    <row r="26814">
      <c r="P26814" s="42"/>
      <c r="AB26814" s="38"/>
    </row>
    <row r="26815">
      <c r="P26815" s="42"/>
      <c r="AB26815" s="38"/>
    </row>
    <row r="26816">
      <c r="P26816" s="42"/>
      <c r="AB26816" s="38"/>
    </row>
    <row r="26817">
      <c r="P26817" s="42"/>
      <c r="AB26817" s="38"/>
    </row>
    <row r="26818">
      <c r="P26818" s="42"/>
      <c r="AB26818" s="38"/>
    </row>
    <row r="26819">
      <c r="P26819" s="42"/>
      <c r="AB26819" s="38"/>
    </row>
    <row r="26820">
      <c r="P26820" s="42"/>
      <c r="AB26820" s="38"/>
    </row>
    <row r="26821">
      <c r="P26821" s="42"/>
      <c r="AB26821" s="38"/>
    </row>
    <row r="26822">
      <c r="P26822" s="42"/>
      <c r="AB26822" s="38"/>
    </row>
    <row r="26823">
      <c r="P26823" s="42"/>
      <c r="AB26823" s="38"/>
    </row>
    <row r="26824">
      <c r="P26824" s="42"/>
      <c r="AB26824" s="38"/>
    </row>
    <row r="26825">
      <c r="P26825" s="42"/>
      <c r="AB26825" s="38"/>
    </row>
    <row r="26826">
      <c r="P26826" s="42"/>
      <c r="AB26826" s="38"/>
    </row>
    <row r="26827">
      <c r="P26827" s="42"/>
      <c r="AB26827" s="38"/>
    </row>
    <row r="26828">
      <c r="P26828" s="42"/>
      <c r="AB26828" s="38"/>
    </row>
    <row r="26829">
      <c r="P26829" s="42"/>
      <c r="AB26829" s="38"/>
    </row>
    <row r="26830">
      <c r="P26830" s="42"/>
      <c r="AB26830" s="38"/>
    </row>
    <row r="26831">
      <c r="P26831" s="42"/>
      <c r="AB26831" s="38"/>
    </row>
    <row r="26832">
      <c r="P26832" s="42"/>
      <c r="AB26832" s="38"/>
    </row>
    <row r="26833">
      <c r="P26833" s="42"/>
      <c r="AB26833" s="38"/>
    </row>
    <row r="26834">
      <c r="P26834" s="42"/>
      <c r="AB26834" s="38"/>
    </row>
    <row r="26835">
      <c r="P26835" s="42"/>
      <c r="AB26835" s="38"/>
    </row>
    <row r="26836">
      <c r="P26836" s="42"/>
      <c r="AB26836" s="38"/>
    </row>
    <row r="26837">
      <c r="P26837" s="42"/>
      <c r="AB26837" s="38"/>
    </row>
    <row r="26838">
      <c r="P26838" s="42"/>
      <c r="AB26838" s="38"/>
    </row>
    <row r="26839">
      <c r="P26839" s="42"/>
      <c r="AB26839" s="38"/>
    </row>
    <row r="26840">
      <c r="P26840" s="42"/>
      <c r="AB26840" s="38"/>
    </row>
    <row r="26841">
      <c r="P26841" s="42"/>
      <c r="AB26841" s="38"/>
    </row>
    <row r="26842">
      <c r="P26842" s="42"/>
      <c r="AB26842" s="38"/>
    </row>
    <row r="26843">
      <c r="P26843" s="42"/>
      <c r="AB26843" s="38"/>
    </row>
    <row r="26844">
      <c r="P26844" s="42"/>
      <c r="AB26844" s="38"/>
    </row>
    <row r="26845">
      <c r="P26845" s="42"/>
      <c r="AB26845" s="38"/>
    </row>
    <row r="26846">
      <c r="P26846" s="42"/>
      <c r="AB26846" s="38"/>
    </row>
    <row r="26847">
      <c r="P26847" s="42"/>
      <c r="AB26847" s="38"/>
    </row>
    <row r="26848">
      <c r="P26848" s="42"/>
      <c r="AB26848" s="38"/>
    </row>
    <row r="26849">
      <c r="P26849" s="42"/>
      <c r="AB26849" s="38"/>
    </row>
    <row r="26850">
      <c r="P26850" s="42"/>
      <c r="AB26850" s="38"/>
    </row>
    <row r="26851">
      <c r="P26851" s="42"/>
      <c r="AB26851" s="38"/>
    </row>
    <row r="26852">
      <c r="P26852" s="42"/>
      <c r="AB26852" s="38"/>
    </row>
    <row r="26853">
      <c r="P26853" s="42"/>
      <c r="AB26853" s="38"/>
    </row>
    <row r="26854">
      <c r="P26854" s="42"/>
      <c r="AB26854" s="38"/>
    </row>
    <row r="26855">
      <c r="P26855" s="42"/>
      <c r="AB26855" s="38"/>
    </row>
    <row r="26856">
      <c r="P26856" s="42"/>
      <c r="AB26856" s="38"/>
    </row>
    <row r="26857">
      <c r="P26857" s="42"/>
      <c r="AB26857" s="38"/>
    </row>
    <row r="26858">
      <c r="P26858" s="42"/>
      <c r="AB26858" s="38"/>
    </row>
    <row r="26859">
      <c r="P26859" s="42"/>
      <c r="AB26859" s="38"/>
    </row>
    <row r="26860">
      <c r="P26860" s="42"/>
      <c r="AB26860" s="38"/>
    </row>
    <row r="26861">
      <c r="P26861" s="42"/>
      <c r="AB26861" s="38"/>
    </row>
    <row r="26862">
      <c r="P26862" s="42"/>
      <c r="AB26862" s="38"/>
    </row>
    <row r="26863">
      <c r="P26863" s="42"/>
      <c r="AB26863" s="38"/>
    </row>
    <row r="26864">
      <c r="P26864" s="42"/>
      <c r="AB26864" s="38"/>
    </row>
    <row r="26865">
      <c r="P26865" s="42"/>
      <c r="AB26865" s="38"/>
    </row>
    <row r="26866">
      <c r="P26866" s="42"/>
      <c r="AB26866" s="38"/>
    </row>
    <row r="26867">
      <c r="P26867" s="42"/>
      <c r="AB26867" s="38"/>
    </row>
    <row r="26868">
      <c r="P26868" s="42"/>
      <c r="AB26868" s="38"/>
    </row>
    <row r="26869">
      <c r="P26869" s="42"/>
      <c r="AB26869" s="38"/>
    </row>
    <row r="26870">
      <c r="P26870" s="42"/>
      <c r="AB26870" s="38"/>
    </row>
    <row r="26871">
      <c r="P26871" s="42"/>
      <c r="AB26871" s="38"/>
    </row>
    <row r="26872">
      <c r="P26872" s="42"/>
      <c r="AB26872" s="38"/>
    </row>
    <row r="26873">
      <c r="P26873" s="42"/>
      <c r="AB26873" s="38"/>
    </row>
    <row r="26874">
      <c r="P26874" s="42"/>
      <c r="AB26874" s="38"/>
    </row>
    <row r="26875">
      <c r="P26875" s="42"/>
      <c r="AB26875" s="38"/>
    </row>
    <row r="26876">
      <c r="P26876" s="42"/>
      <c r="AB26876" s="38"/>
    </row>
    <row r="26877">
      <c r="P26877" s="42"/>
      <c r="AB26877" s="38"/>
    </row>
    <row r="26878">
      <c r="P26878" s="42"/>
      <c r="AB26878" s="38"/>
    </row>
    <row r="26879">
      <c r="P26879" s="42"/>
      <c r="AB26879" s="38"/>
    </row>
    <row r="26880">
      <c r="P26880" s="42"/>
      <c r="AB26880" s="38"/>
    </row>
    <row r="26881">
      <c r="P26881" s="42"/>
      <c r="AB26881" s="38"/>
    </row>
    <row r="26882">
      <c r="P26882" s="42"/>
      <c r="AB26882" s="38"/>
    </row>
    <row r="26883">
      <c r="P26883" s="42"/>
      <c r="AB26883" s="38"/>
    </row>
    <row r="26884">
      <c r="P26884" s="42"/>
      <c r="AB26884" s="38"/>
    </row>
    <row r="26885">
      <c r="P26885" s="42"/>
      <c r="AB26885" s="38"/>
    </row>
    <row r="26886">
      <c r="P26886" s="42"/>
      <c r="AB26886" s="38"/>
    </row>
    <row r="26887">
      <c r="P26887" s="42"/>
      <c r="AB26887" s="38"/>
    </row>
    <row r="26888">
      <c r="P26888" s="42"/>
      <c r="AB26888" s="38"/>
    </row>
    <row r="26889">
      <c r="P26889" s="42"/>
      <c r="AB26889" s="38"/>
    </row>
    <row r="26890">
      <c r="P26890" s="42"/>
      <c r="AB26890" s="38"/>
    </row>
    <row r="26891">
      <c r="P26891" s="42"/>
      <c r="AB26891" s="38"/>
    </row>
    <row r="26892">
      <c r="P26892" s="42"/>
      <c r="AB26892" s="38"/>
    </row>
    <row r="26893">
      <c r="P26893" s="42"/>
      <c r="AB26893" s="38"/>
    </row>
    <row r="26894">
      <c r="P26894" s="42"/>
      <c r="AB26894" s="38"/>
    </row>
    <row r="26895">
      <c r="P26895" s="42"/>
      <c r="AB26895" s="38"/>
    </row>
    <row r="26896">
      <c r="P26896" s="42"/>
      <c r="AB26896" s="38"/>
    </row>
    <row r="26897">
      <c r="P26897" s="42"/>
      <c r="AB26897" s="38"/>
    </row>
    <row r="26898">
      <c r="P26898" s="42"/>
      <c r="AB26898" s="38"/>
    </row>
    <row r="26899">
      <c r="P26899" s="42"/>
      <c r="AB26899" s="38"/>
    </row>
    <row r="26900">
      <c r="P26900" s="42"/>
      <c r="AB26900" s="38"/>
    </row>
    <row r="26901">
      <c r="P26901" s="42"/>
      <c r="AB26901" s="38"/>
    </row>
    <row r="26902">
      <c r="P26902" s="42"/>
      <c r="AB26902" s="38"/>
    </row>
    <row r="26903">
      <c r="P26903" s="42"/>
      <c r="AB26903" s="38"/>
    </row>
    <row r="26904">
      <c r="P26904" s="42"/>
      <c r="AB26904" s="38"/>
    </row>
    <row r="26905">
      <c r="P26905" s="42"/>
      <c r="AB26905" s="38"/>
    </row>
    <row r="26906">
      <c r="P26906" s="42"/>
      <c r="AB26906" s="38"/>
    </row>
    <row r="26907">
      <c r="P26907" s="42"/>
      <c r="AB26907" s="38"/>
    </row>
    <row r="26908">
      <c r="P26908" s="42"/>
      <c r="AB26908" s="38"/>
    </row>
    <row r="26909">
      <c r="P26909" s="42"/>
      <c r="AB26909" s="38"/>
    </row>
    <row r="26910">
      <c r="P26910" s="42"/>
      <c r="AB26910" s="38"/>
    </row>
    <row r="26911">
      <c r="P26911" s="42"/>
      <c r="AB26911" s="38"/>
    </row>
    <row r="26912">
      <c r="P26912" s="42"/>
      <c r="AB26912" s="38"/>
    </row>
    <row r="26913">
      <c r="P26913" s="42"/>
      <c r="AB26913" s="38"/>
    </row>
    <row r="26914">
      <c r="P26914" s="42"/>
      <c r="AB26914" s="38"/>
    </row>
    <row r="26915">
      <c r="P26915" s="42"/>
      <c r="AB26915" s="38"/>
    </row>
    <row r="26916">
      <c r="P26916" s="42"/>
      <c r="AB26916" s="38"/>
    </row>
    <row r="26917">
      <c r="P26917" s="42"/>
      <c r="AB26917" s="38"/>
    </row>
    <row r="26918">
      <c r="P26918" s="42"/>
      <c r="AB26918" s="38"/>
    </row>
    <row r="26919">
      <c r="P26919" s="42"/>
      <c r="AB26919" s="38"/>
    </row>
    <row r="26920">
      <c r="P26920" s="42"/>
      <c r="AB26920" s="38"/>
    </row>
    <row r="26921">
      <c r="P26921" s="42"/>
      <c r="AB26921" s="38"/>
    </row>
    <row r="26922">
      <c r="P26922" s="42"/>
      <c r="AB26922" s="38"/>
    </row>
    <row r="26923">
      <c r="P26923" s="42"/>
      <c r="AB26923" s="38"/>
    </row>
    <row r="26924">
      <c r="P26924" s="42"/>
      <c r="AB26924" s="38"/>
    </row>
    <row r="26925">
      <c r="P26925" s="42"/>
      <c r="AB26925" s="38"/>
    </row>
    <row r="26926">
      <c r="P26926" s="42"/>
      <c r="AB26926" s="38"/>
    </row>
    <row r="26927">
      <c r="P26927" s="42"/>
      <c r="AB26927" s="38"/>
    </row>
    <row r="26928">
      <c r="P26928" s="42"/>
      <c r="AB26928" s="38"/>
    </row>
    <row r="26929">
      <c r="P26929" s="42"/>
      <c r="AB26929" s="38"/>
    </row>
    <row r="26930">
      <c r="P26930" s="42"/>
      <c r="AB26930" s="38"/>
    </row>
    <row r="26931">
      <c r="P26931" s="42"/>
      <c r="AB26931" s="38"/>
    </row>
    <row r="26932">
      <c r="P26932" s="42"/>
      <c r="AB26932" s="38"/>
    </row>
    <row r="26933">
      <c r="P26933" s="42"/>
      <c r="AB26933" s="38"/>
    </row>
    <row r="26934">
      <c r="P26934" s="42"/>
      <c r="AB26934" s="38"/>
    </row>
    <row r="26935">
      <c r="P26935" s="42"/>
      <c r="AB26935" s="38"/>
    </row>
    <row r="26936">
      <c r="P26936" s="42"/>
      <c r="AB26936" s="38"/>
    </row>
    <row r="26937">
      <c r="P26937" s="42"/>
      <c r="AB26937" s="38"/>
    </row>
    <row r="26938">
      <c r="P26938" s="42"/>
      <c r="AB26938" s="38"/>
    </row>
    <row r="26939">
      <c r="P26939" s="42"/>
      <c r="AB26939" s="38"/>
    </row>
    <row r="26940">
      <c r="P26940" s="42"/>
      <c r="AB26940" s="38"/>
    </row>
    <row r="26941">
      <c r="P26941" s="42"/>
      <c r="AB26941" s="38"/>
    </row>
    <row r="26942">
      <c r="P26942" s="42"/>
      <c r="AB26942" s="38"/>
    </row>
    <row r="26943">
      <c r="P26943" s="42"/>
      <c r="AB26943" s="38"/>
    </row>
    <row r="26944">
      <c r="P26944" s="42"/>
      <c r="AB26944" s="38"/>
    </row>
    <row r="26945">
      <c r="P26945" s="42"/>
      <c r="AB26945" s="38"/>
    </row>
    <row r="26946">
      <c r="P26946" s="42"/>
      <c r="AB26946" s="38"/>
    </row>
    <row r="26947">
      <c r="P26947" s="42"/>
      <c r="AB26947" s="38"/>
    </row>
    <row r="26948">
      <c r="P26948" s="42"/>
      <c r="AB26948" s="38"/>
    </row>
    <row r="26949">
      <c r="P26949" s="42"/>
      <c r="AB26949" s="38"/>
    </row>
    <row r="26950">
      <c r="P26950" s="42"/>
      <c r="AB26950" s="38"/>
    </row>
    <row r="26951">
      <c r="P26951" s="42"/>
      <c r="AB26951" s="38"/>
    </row>
    <row r="26952">
      <c r="P26952" s="42"/>
      <c r="AB26952" s="38"/>
    </row>
    <row r="26953">
      <c r="P26953" s="42"/>
      <c r="AB26953" s="38"/>
    </row>
    <row r="26954">
      <c r="P26954" s="42"/>
      <c r="AB26954" s="38"/>
    </row>
    <row r="26955">
      <c r="P26955" s="42"/>
      <c r="AB26955" s="38"/>
    </row>
    <row r="26956">
      <c r="P26956" s="42"/>
      <c r="AB26956" s="38"/>
    </row>
    <row r="26957">
      <c r="P26957" s="42"/>
      <c r="AB26957" s="38"/>
    </row>
    <row r="26958">
      <c r="P26958" s="42"/>
      <c r="AB26958" s="38"/>
    </row>
    <row r="26959">
      <c r="P26959" s="42"/>
      <c r="AB26959" s="38"/>
    </row>
    <row r="26960">
      <c r="P26960" s="42"/>
      <c r="AB26960" s="38"/>
    </row>
    <row r="26961">
      <c r="P26961" s="42"/>
      <c r="AB26961" s="38"/>
    </row>
    <row r="26962">
      <c r="P26962" s="42"/>
      <c r="AB26962" s="38"/>
    </row>
    <row r="26963">
      <c r="P26963" s="42"/>
      <c r="AB26963" s="38"/>
    </row>
    <row r="26964">
      <c r="P26964" s="42"/>
      <c r="AB26964" s="38"/>
    </row>
    <row r="26965">
      <c r="P26965" s="42"/>
      <c r="AB26965" s="38"/>
    </row>
    <row r="26966">
      <c r="P26966" s="42"/>
      <c r="AB26966" s="38"/>
    </row>
    <row r="26967">
      <c r="P26967" s="42"/>
      <c r="AB26967" s="38"/>
    </row>
    <row r="26968">
      <c r="P26968" s="42"/>
      <c r="AB26968" s="38"/>
    </row>
    <row r="26969">
      <c r="P26969" s="42"/>
      <c r="AB26969" s="38"/>
    </row>
    <row r="26970">
      <c r="P26970" s="42"/>
      <c r="AB26970" s="38"/>
    </row>
    <row r="26971">
      <c r="P26971" s="42"/>
      <c r="AB26971" s="38"/>
    </row>
    <row r="26972">
      <c r="P26972" s="42"/>
      <c r="AB26972" s="38"/>
    </row>
    <row r="26973">
      <c r="P26973" s="42"/>
      <c r="AB26973" s="38"/>
    </row>
    <row r="26974">
      <c r="P26974" s="42"/>
      <c r="AB26974" s="38"/>
    </row>
    <row r="26975">
      <c r="P26975" s="42"/>
      <c r="AB26975" s="38"/>
    </row>
    <row r="26976">
      <c r="P26976" s="42"/>
      <c r="AB26976" s="38"/>
    </row>
    <row r="26977">
      <c r="P26977" s="42"/>
      <c r="AB26977" s="38"/>
    </row>
    <row r="26978">
      <c r="P26978" s="42"/>
      <c r="AB26978" s="38"/>
    </row>
    <row r="26979">
      <c r="P26979" s="42"/>
      <c r="AB26979" s="38"/>
    </row>
    <row r="26980">
      <c r="P26980" s="42"/>
      <c r="AB26980" s="38"/>
    </row>
    <row r="26981">
      <c r="P26981" s="42"/>
      <c r="AB26981" s="38"/>
    </row>
    <row r="26982">
      <c r="P26982" s="42"/>
      <c r="AB26982" s="38"/>
    </row>
    <row r="26983">
      <c r="P26983" s="42"/>
      <c r="AB26983" s="38"/>
    </row>
    <row r="26984">
      <c r="P26984" s="42"/>
      <c r="AB26984" s="38"/>
    </row>
    <row r="26985">
      <c r="P26985" s="42"/>
      <c r="AB26985" s="38"/>
    </row>
    <row r="26986">
      <c r="P26986" s="42"/>
      <c r="AB26986" s="38"/>
    </row>
    <row r="26987">
      <c r="P26987" s="42"/>
      <c r="AB26987" s="38"/>
    </row>
    <row r="26988">
      <c r="P26988" s="42"/>
      <c r="AB26988" s="38"/>
    </row>
    <row r="26989">
      <c r="P26989" s="42"/>
      <c r="AB26989" s="38"/>
    </row>
    <row r="26990">
      <c r="P26990" s="42"/>
      <c r="AB26990" s="38"/>
    </row>
    <row r="26991">
      <c r="P26991" s="42"/>
      <c r="AB26991" s="38"/>
    </row>
    <row r="26992">
      <c r="P26992" s="42"/>
      <c r="AB26992" s="38"/>
    </row>
    <row r="26993">
      <c r="P26993" s="42"/>
      <c r="AB26993" s="38"/>
    </row>
    <row r="26994">
      <c r="P26994" s="42"/>
      <c r="AB26994" s="38"/>
    </row>
    <row r="26995">
      <c r="P26995" s="42"/>
      <c r="AB26995" s="38"/>
    </row>
    <row r="26996">
      <c r="P26996" s="42"/>
      <c r="AB26996" s="38"/>
    </row>
    <row r="26997">
      <c r="P26997" s="42"/>
      <c r="AB26997" s="38"/>
    </row>
    <row r="26998">
      <c r="P26998" s="42"/>
      <c r="AB26998" s="38"/>
    </row>
    <row r="26999">
      <c r="P26999" s="42"/>
      <c r="AB26999" s="38"/>
    </row>
    <row r="27000">
      <c r="P27000" s="42"/>
      <c r="AB27000" s="38"/>
    </row>
    <row r="27001">
      <c r="P27001" s="42"/>
      <c r="AB27001" s="38"/>
    </row>
    <row r="27002">
      <c r="P27002" s="42"/>
      <c r="AB27002" s="38"/>
    </row>
    <row r="27003">
      <c r="P27003" s="42"/>
      <c r="AB27003" s="38"/>
    </row>
    <row r="27004">
      <c r="P27004" s="42"/>
      <c r="AB27004" s="38"/>
    </row>
    <row r="27005">
      <c r="P27005" s="42"/>
      <c r="AB27005" s="38"/>
    </row>
    <row r="27006">
      <c r="P27006" s="42"/>
      <c r="AB27006" s="38"/>
    </row>
    <row r="27007">
      <c r="P27007" s="42"/>
      <c r="AB27007" s="38"/>
    </row>
    <row r="27008">
      <c r="P27008" s="42"/>
      <c r="AB27008" s="38"/>
    </row>
    <row r="27009">
      <c r="P27009" s="42"/>
      <c r="AB27009" s="38"/>
    </row>
    <row r="27010">
      <c r="P27010" s="42"/>
      <c r="AB27010" s="38"/>
    </row>
    <row r="27011">
      <c r="P27011" s="42"/>
      <c r="AB27011" s="38"/>
    </row>
    <row r="27012">
      <c r="P27012" s="42"/>
      <c r="AB27012" s="38"/>
    </row>
    <row r="27013">
      <c r="P27013" s="42"/>
      <c r="AB27013" s="38"/>
    </row>
    <row r="27014">
      <c r="P27014" s="42"/>
      <c r="AB27014" s="38"/>
    </row>
    <row r="27015">
      <c r="P27015" s="42"/>
      <c r="AB27015" s="38"/>
    </row>
    <row r="27016">
      <c r="P27016" s="42"/>
      <c r="AB27016" s="38"/>
    </row>
    <row r="27017">
      <c r="P27017" s="42"/>
      <c r="AB27017" s="38"/>
    </row>
    <row r="27018">
      <c r="P27018" s="42"/>
      <c r="AB27018" s="38"/>
    </row>
    <row r="27019">
      <c r="P27019" s="42"/>
      <c r="AB27019" s="38"/>
    </row>
    <row r="27020">
      <c r="P27020" s="42"/>
      <c r="AB27020" s="38"/>
    </row>
    <row r="27021">
      <c r="P27021" s="42"/>
      <c r="AB27021" s="38"/>
    </row>
    <row r="27022">
      <c r="P27022" s="42"/>
      <c r="AB27022" s="38"/>
    </row>
    <row r="27023">
      <c r="P27023" s="42"/>
      <c r="AB27023" s="38"/>
    </row>
    <row r="27024">
      <c r="P27024" s="42"/>
      <c r="AB27024" s="38"/>
    </row>
    <row r="27025">
      <c r="P27025" s="42"/>
      <c r="AB27025" s="38"/>
    </row>
    <row r="27026">
      <c r="P27026" s="42"/>
      <c r="AB27026" s="38"/>
    </row>
    <row r="27027">
      <c r="P27027" s="42"/>
      <c r="AB27027" s="38"/>
    </row>
    <row r="27028">
      <c r="P27028" s="42"/>
      <c r="AB27028" s="38"/>
    </row>
    <row r="27029">
      <c r="P27029" s="42"/>
      <c r="AB27029" s="38"/>
    </row>
    <row r="27030">
      <c r="P27030" s="42"/>
      <c r="AB27030" s="38"/>
    </row>
    <row r="27031">
      <c r="P27031" s="42"/>
      <c r="AB27031" s="38"/>
    </row>
    <row r="27032">
      <c r="P27032" s="42"/>
      <c r="AB27032" s="38"/>
    </row>
    <row r="27033">
      <c r="P27033" s="42"/>
      <c r="AB27033" s="38"/>
    </row>
    <row r="27034">
      <c r="P27034" s="42"/>
      <c r="AB27034" s="38"/>
    </row>
    <row r="27035">
      <c r="P27035" s="42"/>
      <c r="AB27035" s="38"/>
    </row>
    <row r="27036">
      <c r="P27036" s="42"/>
      <c r="AB27036" s="38"/>
    </row>
    <row r="27037">
      <c r="P27037" s="42"/>
      <c r="AB27037" s="38"/>
    </row>
    <row r="27038">
      <c r="P27038" s="42"/>
      <c r="AB27038" s="38"/>
    </row>
    <row r="27039">
      <c r="P27039" s="42"/>
      <c r="AB27039" s="38"/>
    </row>
    <row r="27040">
      <c r="P27040" s="42"/>
      <c r="AB27040" s="38"/>
    </row>
    <row r="27041">
      <c r="P27041" s="42"/>
      <c r="AB27041" s="38"/>
    </row>
    <row r="27042">
      <c r="P27042" s="42"/>
      <c r="AB27042" s="38"/>
    </row>
    <row r="27043">
      <c r="P27043" s="42"/>
      <c r="AB27043" s="38"/>
    </row>
    <row r="27044">
      <c r="P27044" s="42"/>
      <c r="AB27044" s="38"/>
    </row>
    <row r="27045">
      <c r="P27045" s="42"/>
      <c r="AB27045" s="38"/>
    </row>
    <row r="27046">
      <c r="P27046" s="42"/>
      <c r="AB27046" s="38"/>
    </row>
    <row r="27047">
      <c r="P27047" s="42"/>
      <c r="AB27047" s="38"/>
    </row>
    <row r="27048">
      <c r="P27048" s="42"/>
      <c r="AB27048" s="38"/>
    </row>
    <row r="27049">
      <c r="P27049" s="42"/>
      <c r="AB27049" s="38"/>
    </row>
    <row r="27050">
      <c r="P27050" s="42"/>
      <c r="AB27050" s="38"/>
    </row>
    <row r="27051">
      <c r="P27051" s="42"/>
      <c r="AB27051" s="38"/>
    </row>
    <row r="27052">
      <c r="P27052" s="42"/>
      <c r="AB27052" s="38"/>
    </row>
    <row r="27053">
      <c r="P27053" s="42"/>
      <c r="AB27053" s="38"/>
    </row>
    <row r="27054">
      <c r="P27054" s="42"/>
      <c r="AB27054" s="38"/>
    </row>
    <row r="27055">
      <c r="P27055" s="42"/>
      <c r="AB27055" s="38"/>
    </row>
    <row r="27056">
      <c r="P27056" s="42"/>
      <c r="AB27056" s="38"/>
    </row>
    <row r="27057">
      <c r="P27057" s="42"/>
      <c r="AB27057" s="38"/>
    </row>
    <row r="27058">
      <c r="P27058" s="42"/>
      <c r="AB27058" s="38"/>
    </row>
    <row r="27059">
      <c r="P27059" s="42"/>
      <c r="AB27059" s="38"/>
    </row>
    <row r="27060">
      <c r="P27060" s="42"/>
      <c r="AB27060" s="38"/>
    </row>
    <row r="27061">
      <c r="P27061" s="42"/>
      <c r="AB27061" s="38"/>
    </row>
    <row r="27062">
      <c r="P27062" s="42"/>
      <c r="AB27062" s="38"/>
    </row>
    <row r="27063">
      <c r="P27063" s="42"/>
      <c r="AB27063" s="38"/>
    </row>
    <row r="27064">
      <c r="P27064" s="42"/>
      <c r="AB27064" s="38"/>
    </row>
    <row r="27065">
      <c r="P27065" s="42"/>
      <c r="AB27065" s="38"/>
    </row>
    <row r="27066">
      <c r="P27066" s="42"/>
      <c r="AB27066" s="38"/>
    </row>
    <row r="27067">
      <c r="P27067" s="42"/>
      <c r="AB27067" s="38"/>
    </row>
    <row r="27068">
      <c r="P27068" s="42"/>
      <c r="AB27068" s="38"/>
    </row>
    <row r="27069">
      <c r="P27069" s="42"/>
      <c r="AB27069" s="38"/>
    </row>
    <row r="27070">
      <c r="P27070" s="42"/>
      <c r="AB27070" s="38"/>
    </row>
    <row r="27071">
      <c r="P27071" s="42"/>
      <c r="AB27071" s="38"/>
    </row>
    <row r="27072">
      <c r="P27072" s="42"/>
      <c r="AB27072" s="38"/>
    </row>
    <row r="27073">
      <c r="P27073" s="42"/>
      <c r="AB27073" s="38"/>
    </row>
    <row r="27074">
      <c r="P27074" s="42"/>
      <c r="AB27074" s="38"/>
    </row>
    <row r="27075">
      <c r="P27075" s="42"/>
      <c r="AB27075" s="38"/>
    </row>
    <row r="27076">
      <c r="P27076" s="42"/>
      <c r="AB27076" s="38"/>
    </row>
    <row r="27077">
      <c r="P27077" s="42"/>
      <c r="AB27077" s="38"/>
    </row>
    <row r="27078">
      <c r="P27078" s="42"/>
      <c r="AB27078" s="38"/>
    </row>
    <row r="27079">
      <c r="P27079" s="42"/>
      <c r="AB27079" s="38"/>
    </row>
    <row r="27080">
      <c r="P27080" s="42"/>
      <c r="AB27080" s="38"/>
    </row>
    <row r="27081">
      <c r="P27081" s="42"/>
      <c r="AB27081" s="38"/>
    </row>
    <row r="27082">
      <c r="P27082" s="42"/>
      <c r="AB27082" s="38"/>
    </row>
    <row r="27083">
      <c r="P27083" s="42"/>
      <c r="AB27083" s="38"/>
    </row>
    <row r="27084">
      <c r="P27084" s="42"/>
      <c r="AB27084" s="38"/>
    </row>
    <row r="27085">
      <c r="P27085" s="42"/>
      <c r="AB27085" s="38"/>
    </row>
    <row r="27086">
      <c r="P27086" s="42"/>
      <c r="AB27086" s="38"/>
    </row>
    <row r="27087">
      <c r="P27087" s="42"/>
      <c r="AB27087" s="38"/>
    </row>
    <row r="27088">
      <c r="P27088" s="42"/>
      <c r="AB27088" s="38"/>
    </row>
    <row r="27089">
      <c r="P27089" s="42"/>
      <c r="AB27089" s="38"/>
    </row>
    <row r="27090">
      <c r="P27090" s="42"/>
      <c r="AB27090" s="38"/>
    </row>
    <row r="27091">
      <c r="P27091" s="42"/>
      <c r="AB27091" s="38"/>
    </row>
    <row r="27092">
      <c r="P27092" s="42"/>
      <c r="AB27092" s="38"/>
    </row>
    <row r="27093">
      <c r="P27093" s="42"/>
      <c r="AB27093" s="38"/>
    </row>
    <row r="27094">
      <c r="P27094" s="42"/>
      <c r="AB27094" s="38"/>
    </row>
    <row r="27095">
      <c r="P27095" s="42"/>
      <c r="AB27095" s="38"/>
    </row>
    <row r="27096">
      <c r="P27096" s="42"/>
      <c r="AB27096" s="38"/>
    </row>
    <row r="27097">
      <c r="P27097" s="42"/>
      <c r="AB27097" s="38"/>
    </row>
    <row r="27098">
      <c r="P27098" s="42"/>
      <c r="AB27098" s="38"/>
    </row>
    <row r="27099">
      <c r="P27099" s="42"/>
      <c r="AB27099" s="38"/>
    </row>
    <row r="27100">
      <c r="P27100" s="42"/>
      <c r="AB27100" s="38"/>
    </row>
    <row r="27101">
      <c r="P27101" s="42"/>
      <c r="AB27101" s="38"/>
    </row>
    <row r="27102">
      <c r="P27102" s="42"/>
      <c r="AB27102" s="38"/>
    </row>
    <row r="27103">
      <c r="P27103" s="42"/>
      <c r="AB27103" s="38"/>
    </row>
    <row r="27104">
      <c r="P27104" s="42"/>
      <c r="AB27104" s="38"/>
    </row>
    <row r="27105">
      <c r="P27105" s="42"/>
      <c r="AB27105" s="38"/>
    </row>
    <row r="27106">
      <c r="P27106" s="42"/>
      <c r="AB27106" s="38"/>
    </row>
    <row r="27107">
      <c r="P27107" s="42"/>
      <c r="AB27107" s="38"/>
    </row>
    <row r="27108">
      <c r="P27108" s="42"/>
      <c r="AB27108" s="38"/>
    </row>
    <row r="27109">
      <c r="P27109" s="42"/>
      <c r="AB27109" s="38"/>
    </row>
    <row r="27110">
      <c r="P27110" s="42"/>
      <c r="AB27110" s="38"/>
    </row>
    <row r="27111">
      <c r="P27111" s="42"/>
      <c r="AB27111" s="38"/>
    </row>
    <row r="27112">
      <c r="P27112" s="42"/>
      <c r="AB27112" s="38"/>
    </row>
    <row r="27113">
      <c r="P27113" s="42"/>
      <c r="AB27113" s="38"/>
    </row>
    <row r="27114">
      <c r="P27114" s="42"/>
      <c r="AB27114" s="38"/>
    </row>
    <row r="27115">
      <c r="P27115" s="42"/>
      <c r="AB27115" s="38"/>
    </row>
    <row r="27116">
      <c r="P27116" s="42"/>
      <c r="AB27116" s="38"/>
    </row>
    <row r="27117">
      <c r="P27117" s="42"/>
      <c r="AB27117" s="38"/>
    </row>
    <row r="27118">
      <c r="P27118" s="42"/>
      <c r="AB27118" s="38"/>
    </row>
    <row r="27119">
      <c r="P27119" s="42"/>
      <c r="AB27119" s="38"/>
    </row>
    <row r="27120">
      <c r="P27120" s="42"/>
      <c r="AB27120" s="38"/>
    </row>
    <row r="27121">
      <c r="P27121" s="42"/>
      <c r="AB27121" s="38"/>
    </row>
    <row r="27122">
      <c r="P27122" s="42"/>
      <c r="AB27122" s="38"/>
    </row>
    <row r="27123">
      <c r="P27123" s="42"/>
      <c r="AB27123" s="38"/>
    </row>
    <row r="27124">
      <c r="P27124" s="42"/>
      <c r="AB27124" s="38"/>
    </row>
    <row r="27125">
      <c r="P27125" s="42"/>
      <c r="AB27125" s="38"/>
    </row>
    <row r="27126">
      <c r="P27126" s="42"/>
      <c r="AB27126" s="38"/>
    </row>
    <row r="27127">
      <c r="P27127" s="42"/>
      <c r="AB27127" s="38"/>
    </row>
    <row r="27128">
      <c r="P27128" s="42"/>
      <c r="AB27128" s="38"/>
    </row>
    <row r="27129">
      <c r="P27129" s="42"/>
      <c r="AB27129" s="38"/>
    </row>
    <row r="27130">
      <c r="P27130" s="42"/>
      <c r="AB27130" s="38"/>
    </row>
    <row r="27131">
      <c r="P27131" s="42"/>
      <c r="AB27131" s="38"/>
    </row>
    <row r="27132">
      <c r="P27132" s="42"/>
      <c r="AB27132" s="38"/>
    </row>
    <row r="27133">
      <c r="P27133" s="42"/>
      <c r="AB27133" s="38"/>
    </row>
    <row r="27134">
      <c r="P27134" s="42"/>
      <c r="AB27134" s="38"/>
    </row>
    <row r="27135">
      <c r="P27135" s="42"/>
      <c r="AB27135" s="38"/>
    </row>
    <row r="27136">
      <c r="P27136" s="42"/>
      <c r="AB27136" s="38"/>
    </row>
    <row r="27137">
      <c r="P27137" s="42"/>
      <c r="AB27137" s="38"/>
    </row>
    <row r="27138">
      <c r="P27138" s="42"/>
      <c r="AB27138" s="38"/>
    </row>
    <row r="27139">
      <c r="P27139" s="42"/>
      <c r="AB27139" s="38"/>
    </row>
    <row r="27140">
      <c r="P27140" s="42"/>
      <c r="AB27140" s="38"/>
    </row>
    <row r="27141">
      <c r="P27141" s="42"/>
      <c r="AB27141" s="38"/>
    </row>
    <row r="27142">
      <c r="P27142" s="42"/>
      <c r="AB27142" s="38"/>
    </row>
    <row r="27143">
      <c r="P27143" s="42"/>
      <c r="AB27143" s="38"/>
    </row>
    <row r="27144">
      <c r="P27144" s="42"/>
      <c r="AB27144" s="38"/>
    </row>
    <row r="27145">
      <c r="P27145" s="42"/>
      <c r="AB27145" s="38"/>
    </row>
    <row r="27146">
      <c r="P27146" s="42"/>
      <c r="AB27146" s="38"/>
    </row>
    <row r="27147">
      <c r="P27147" s="42"/>
      <c r="AB27147" s="38"/>
    </row>
    <row r="27148">
      <c r="P27148" s="42"/>
      <c r="AB27148" s="38"/>
    </row>
    <row r="27149">
      <c r="P27149" s="42"/>
      <c r="AB27149" s="38"/>
    </row>
    <row r="27150">
      <c r="P27150" s="42"/>
      <c r="AB27150" s="38"/>
    </row>
    <row r="27151">
      <c r="P27151" s="42"/>
      <c r="AB27151" s="38"/>
    </row>
    <row r="27152">
      <c r="P27152" s="42"/>
      <c r="AB27152" s="38"/>
    </row>
    <row r="27153">
      <c r="P27153" s="42"/>
      <c r="AB27153" s="38"/>
    </row>
    <row r="27154">
      <c r="P27154" s="42"/>
      <c r="AB27154" s="38"/>
    </row>
    <row r="27155">
      <c r="P27155" s="42"/>
      <c r="AB27155" s="38"/>
    </row>
    <row r="27156">
      <c r="P27156" s="42"/>
      <c r="AB27156" s="38"/>
    </row>
    <row r="27157">
      <c r="P27157" s="42"/>
      <c r="AB27157" s="38"/>
    </row>
    <row r="27158">
      <c r="P27158" s="42"/>
      <c r="AB27158" s="38"/>
    </row>
    <row r="27159">
      <c r="P27159" s="42"/>
      <c r="AB27159" s="38"/>
    </row>
    <row r="27160">
      <c r="P27160" s="42"/>
      <c r="AB27160" s="38"/>
    </row>
    <row r="27161">
      <c r="P27161" s="42"/>
      <c r="AB27161" s="38"/>
    </row>
    <row r="27162">
      <c r="P27162" s="42"/>
      <c r="AB27162" s="38"/>
    </row>
    <row r="27163">
      <c r="P27163" s="42"/>
      <c r="AB27163" s="38"/>
    </row>
    <row r="27164">
      <c r="P27164" s="42"/>
      <c r="AB27164" s="38"/>
    </row>
    <row r="27165">
      <c r="P27165" s="42"/>
      <c r="AB27165" s="38"/>
    </row>
    <row r="27166">
      <c r="P27166" s="42"/>
      <c r="AB27166" s="38"/>
    </row>
    <row r="27167">
      <c r="P27167" s="42"/>
      <c r="AB27167" s="38"/>
    </row>
    <row r="27168">
      <c r="P27168" s="42"/>
      <c r="AB27168" s="38"/>
    </row>
    <row r="27169">
      <c r="P27169" s="42"/>
      <c r="AB27169" s="38"/>
    </row>
    <row r="27170">
      <c r="P27170" s="42"/>
      <c r="AB27170" s="38"/>
    </row>
    <row r="27171">
      <c r="P27171" s="42"/>
      <c r="AB27171" s="38"/>
    </row>
    <row r="27172">
      <c r="P27172" s="42"/>
      <c r="AB27172" s="38"/>
    </row>
    <row r="27173">
      <c r="P27173" s="42"/>
      <c r="AB27173" s="38"/>
    </row>
    <row r="27174">
      <c r="P27174" s="42"/>
      <c r="AB27174" s="38"/>
    </row>
    <row r="27175">
      <c r="P27175" s="42"/>
      <c r="AB27175" s="38"/>
    </row>
    <row r="27176">
      <c r="P27176" s="42"/>
      <c r="AB27176" s="38"/>
    </row>
    <row r="27177">
      <c r="P27177" s="42"/>
      <c r="AB27177" s="38"/>
    </row>
    <row r="27178">
      <c r="P27178" s="42"/>
      <c r="AB27178" s="38"/>
    </row>
    <row r="27179">
      <c r="P27179" s="42"/>
      <c r="AB27179" s="38"/>
    </row>
    <row r="27180">
      <c r="P27180" s="42"/>
      <c r="AB27180" s="38"/>
    </row>
    <row r="27181">
      <c r="P27181" s="42"/>
      <c r="AB27181" s="38"/>
    </row>
    <row r="27182">
      <c r="P27182" s="42"/>
      <c r="AB27182" s="38"/>
    </row>
    <row r="27183">
      <c r="P27183" s="42"/>
      <c r="AB27183" s="38"/>
    </row>
    <row r="27184">
      <c r="P27184" s="42"/>
      <c r="AB27184" s="38"/>
    </row>
    <row r="27185">
      <c r="P27185" s="42"/>
      <c r="AB27185" s="38"/>
    </row>
    <row r="27186">
      <c r="P27186" s="42"/>
      <c r="AB27186" s="38"/>
    </row>
    <row r="27187">
      <c r="P27187" s="42"/>
      <c r="AB27187" s="38"/>
    </row>
    <row r="27188">
      <c r="P27188" s="42"/>
      <c r="AB27188" s="38"/>
    </row>
    <row r="27189">
      <c r="P27189" s="42"/>
      <c r="AB27189" s="38"/>
    </row>
    <row r="27190">
      <c r="P27190" s="42"/>
      <c r="AB27190" s="38"/>
    </row>
    <row r="27191">
      <c r="P27191" s="42"/>
      <c r="AB27191" s="38"/>
    </row>
    <row r="27192">
      <c r="P27192" s="42"/>
      <c r="AB27192" s="38"/>
    </row>
    <row r="27193">
      <c r="P27193" s="42"/>
      <c r="AB27193" s="38"/>
    </row>
    <row r="27194">
      <c r="P27194" s="42"/>
      <c r="AB27194" s="38"/>
    </row>
    <row r="27195">
      <c r="P27195" s="42"/>
      <c r="AB27195" s="38"/>
    </row>
    <row r="27196">
      <c r="P27196" s="42"/>
      <c r="AB27196" s="38"/>
    </row>
    <row r="27197">
      <c r="P27197" s="42"/>
      <c r="AB27197" s="38"/>
    </row>
    <row r="27198">
      <c r="P27198" s="42"/>
      <c r="AB27198" s="38"/>
    </row>
    <row r="27199">
      <c r="P27199" s="42"/>
      <c r="AB27199" s="38"/>
    </row>
    <row r="27200">
      <c r="P27200" s="42"/>
      <c r="AB27200" s="38"/>
    </row>
    <row r="27201">
      <c r="P27201" s="42"/>
      <c r="AB27201" s="38"/>
    </row>
    <row r="27202">
      <c r="P27202" s="42"/>
      <c r="AB27202" s="38"/>
    </row>
    <row r="27203">
      <c r="P27203" s="42"/>
      <c r="AB27203" s="38"/>
    </row>
    <row r="27204">
      <c r="P27204" s="42"/>
      <c r="AB27204" s="38"/>
    </row>
    <row r="27205">
      <c r="P27205" s="42"/>
      <c r="AB27205" s="38"/>
    </row>
    <row r="27206">
      <c r="P27206" s="42"/>
      <c r="AB27206" s="38"/>
    </row>
    <row r="27207">
      <c r="P27207" s="42"/>
      <c r="AB27207" s="38"/>
    </row>
    <row r="27208">
      <c r="P27208" s="42"/>
      <c r="AB27208" s="38"/>
    </row>
    <row r="27209">
      <c r="P27209" s="42"/>
      <c r="AB27209" s="38"/>
    </row>
    <row r="27210">
      <c r="P27210" s="42"/>
      <c r="AB27210" s="38"/>
    </row>
    <row r="27211">
      <c r="P27211" s="42"/>
      <c r="AB27211" s="38"/>
    </row>
    <row r="27212">
      <c r="P27212" s="42"/>
      <c r="AB27212" s="38"/>
    </row>
    <row r="27213">
      <c r="P27213" s="42"/>
      <c r="AB27213" s="38"/>
    </row>
    <row r="27214">
      <c r="P27214" s="42"/>
      <c r="AB27214" s="38"/>
    </row>
    <row r="27215">
      <c r="P27215" s="42"/>
      <c r="AB27215" s="38"/>
    </row>
    <row r="27216">
      <c r="P27216" s="42"/>
      <c r="AB27216" s="38"/>
    </row>
    <row r="27217">
      <c r="P27217" s="42"/>
      <c r="AB27217" s="38"/>
    </row>
    <row r="27218">
      <c r="P27218" s="42"/>
      <c r="AB27218" s="38"/>
    </row>
    <row r="27219">
      <c r="P27219" s="42"/>
      <c r="AB27219" s="38"/>
    </row>
    <row r="27220">
      <c r="P27220" s="42"/>
      <c r="AB27220" s="38"/>
    </row>
    <row r="27221">
      <c r="P27221" s="42"/>
      <c r="AB27221" s="38"/>
    </row>
    <row r="27222">
      <c r="P27222" s="42"/>
      <c r="AB27222" s="38"/>
    </row>
    <row r="27223">
      <c r="P27223" s="42"/>
      <c r="AB27223" s="38"/>
    </row>
    <row r="27224">
      <c r="P27224" s="42"/>
      <c r="AB27224" s="38"/>
    </row>
    <row r="27225">
      <c r="P27225" s="42"/>
      <c r="AB27225" s="38"/>
    </row>
    <row r="27226">
      <c r="P27226" s="42"/>
      <c r="AB27226" s="38"/>
    </row>
    <row r="27227">
      <c r="P27227" s="42"/>
      <c r="AB27227" s="38"/>
    </row>
    <row r="27228">
      <c r="P27228" s="42"/>
      <c r="AB27228" s="38"/>
    </row>
    <row r="27229">
      <c r="P27229" s="42"/>
      <c r="AB27229" s="38"/>
    </row>
    <row r="27230">
      <c r="P27230" s="42"/>
      <c r="AB27230" s="38"/>
    </row>
    <row r="27231">
      <c r="P27231" s="42"/>
      <c r="AB27231" s="38"/>
    </row>
    <row r="27232">
      <c r="P27232" s="42"/>
      <c r="AB27232" s="38"/>
    </row>
    <row r="27233">
      <c r="P27233" s="42"/>
      <c r="AB27233" s="38"/>
    </row>
    <row r="27234">
      <c r="P27234" s="42"/>
      <c r="AB27234" s="38"/>
    </row>
    <row r="27235">
      <c r="P27235" s="42"/>
      <c r="AB27235" s="38"/>
    </row>
    <row r="27236">
      <c r="P27236" s="42"/>
      <c r="AB27236" s="38"/>
    </row>
    <row r="27237">
      <c r="P27237" s="42"/>
      <c r="AB27237" s="38"/>
    </row>
    <row r="27238">
      <c r="P27238" s="42"/>
      <c r="AB27238" s="38"/>
    </row>
    <row r="27239">
      <c r="P27239" s="42"/>
      <c r="AB27239" s="38"/>
    </row>
    <row r="27240">
      <c r="P27240" s="42"/>
      <c r="AB27240" s="38"/>
    </row>
    <row r="27241">
      <c r="P27241" s="42"/>
      <c r="AB27241" s="38"/>
    </row>
    <row r="27242">
      <c r="P27242" s="42"/>
      <c r="AB27242" s="38"/>
    </row>
    <row r="27243">
      <c r="P27243" s="42"/>
      <c r="AB27243" s="38"/>
    </row>
    <row r="27244">
      <c r="P27244" s="42"/>
      <c r="AB27244" s="38"/>
    </row>
    <row r="27245">
      <c r="P27245" s="42"/>
      <c r="AB27245" s="38"/>
    </row>
    <row r="27246">
      <c r="P27246" s="42"/>
      <c r="AB27246" s="38"/>
    </row>
    <row r="27247">
      <c r="P27247" s="42"/>
      <c r="AB27247" s="38"/>
    </row>
    <row r="27248">
      <c r="P27248" s="42"/>
      <c r="AB27248" s="38"/>
    </row>
    <row r="27249">
      <c r="P27249" s="42"/>
      <c r="AB27249" s="38"/>
    </row>
    <row r="27250">
      <c r="P27250" s="42"/>
      <c r="AB27250" s="38"/>
    </row>
    <row r="27251">
      <c r="P27251" s="42"/>
      <c r="AB27251" s="38"/>
    </row>
    <row r="27252">
      <c r="P27252" s="42"/>
      <c r="AB27252" s="38"/>
    </row>
    <row r="27253">
      <c r="P27253" s="42"/>
      <c r="AB27253" s="38"/>
    </row>
    <row r="27254">
      <c r="P27254" s="42"/>
      <c r="AB27254" s="38"/>
    </row>
    <row r="27255">
      <c r="P27255" s="42"/>
      <c r="AB27255" s="38"/>
    </row>
    <row r="27256">
      <c r="P27256" s="42"/>
      <c r="AB27256" s="38"/>
    </row>
    <row r="27257">
      <c r="P27257" s="42"/>
      <c r="AB27257" s="38"/>
    </row>
    <row r="27258">
      <c r="P27258" s="42"/>
      <c r="AB27258" s="38"/>
    </row>
    <row r="27259">
      <c r="P27259" s="42"/>
      <c r="AB27259" s="38"/>
    </row>
    <row r="27260">
      <c r="P27260" s="42"/>
      <c r="AB27260" s="38"/>
    </row>
    <row r="27261">
      <c r="P27261" s="42"/>
      <c r="AB27261" s="38"/>
    </row>
    <row r="27262">
      <c r="P27262" s="42"/>
      <c r="AB27262" s="38"/>
    </row>
    <row r="27263">
      <c r="P27263" s="42"/>
      <c r="AB27263" s="38"/>
    </row>
    <row r="27264">
      <c r="P27264" s="42"/>
      <c r="AB27264" s="38"/>
    </row>
    <row r="27265">
      <c r="P27265" s="42"/>
      <c r="AB27265" s="38"/>
    </row>
    <row r="27266">
      <c r="P27266" s="42"/>
      <c r="AB27266" s="38"/>
    </row>
    <row r="27267">
      <c r="P27267" s="42"/>
      <c r="AB27267" s="38"/>
    </row>
    <row r="27268">
      <c r="P27268" s="42"/>
      <c r="AB27268" s="38"/>
    </row>
    <row r="27269">
      <c r="P27269" s="42"/>
      <c r="AB27269" s="38"/>
    </row>
    <row r="27270">
      <c r="P27270" s="42"/>
      <c r="AB27270" s="38"/>
    </row>
    <row r="27271">
      <c r="P27271" s="42"/>
      <c r="AB27271" s="38"/>
    </row>
    <row r="27272">
      <c r="P27272" s="42"/>
      <c r="AB27272" s="38"/>
    </row>
    <row r="27273">
      <c r="P27273" s="42"/>
      <c r="AB27273" s="38"/>
    </row>
    <row r="27274">
      <c r="P27274" s="42"/>
      <c r="AB27274" s="38"/>
    </row>
    <row r="27275">
      <c r="P27275" s="42"/>
      <c r="AB27275" s="38"/>
    </row>
    <row r="27276">
      <c r="P27276" s="42"/>
      <c r="AB27276" s="38"/>
    </row>
    <row r="27277">
      <c r="P27277" s="42"/>
      <c r="AB27277" s="38"/>
    </row>
    <row r="27278">
      <c r="P27278" s="42"/>
      <c r="AB27278" s="38"/>
    </row>
    <row r="27279">
      <c r="P27279" s="42"/>
      <c r="AB27279" s="38"/>
    </row>
    <row r="27280">
      <c r="P27280" s="42"/>
      <c r="AB27280" s="38"/>
    </row>
    <row r="27281">
      <c r="P27281" s="42"/>
      <c r="AB27281" s="38"/>
    </row>
    <row r="27282">
      <c r="P27282" s="42"/>
      <c r="AB27282" s="38"/>
    </row>
    <row r="27283">
      <c r="P27283" s="42"/>
      <c r="AB27283" s="38"/>
    </row>
    <row r="27284">
      <c r="P27284" s="42"/>
      <c r="AB27284" s="38"/>
    </row>
    <row r="27285">
      <c r="P27285" s="42"/>
      <c r="AB27285" s="38"/>
    </row>
    <row r="27286">
      <c r="P27286" s="42"/>
      <c r="AB27286" s="38"/>
    </row>
    <row r="27287">
      <c r="P27287" s="42"/>
      <c r="AB27287" s="38"/>
    </row>
    <row r="27288">
      <c r="P27288" s="42"/>
      <c r="AB27288" s="38"/>
    </row>
    <row r="27289">
      <c r="P27289" s="42"/>
      <c r="AB27289" s="38"/>
    </row>
    <row r="27290">
      <c r="P27290" s="42"/>
      <c r="AB27290" s="38"/>
    </row>
    <row r="27291">
      <c r="P27291" s="42"/>
      <c r="AB27291" s="38"/>
    </row>
    <row r="27292">
      <c r="P27292" s="42"/>
      <c r="AB27292" s="38"/>
    </row>
    <row r="27293">
      <c r="P27293" s="42"/>
      <c r="AB27293" s="38"/>
    </row>
    <row r="27294">
      <c r="P27294" s="42"/>
      <c r="AB27294" s="38"/>
    </row>
    <row r="27295">
      <c r="P27295" s="42"/>
      <c r="AB27295" s="38"/>
    </row>
    <row r="27296">
      <c r="P27296" s="42"/>
      <c r="AB27296" s="38"/>
    </row>
    <row r="27297">
      <c r="P27297" s="42"/>
      <c r="AB27297" s="38"/>
    </row>
    <row r="27298">
      <c r="P27298" s="42"/>
      <c r="AB27298" s="38"/>
    </row>
    <row r="27299">
      <c r="P27299" s="42"/>
      <c r="AB27299" s="38"/>
    </row>
    <row r="27300">
      <c r="P27300" s="42"/>
      <c r="AB27300" s="38"/>
    </row>
    <row r="27301">
      <c r="P27301" s="42"/>
      <c r="AB27301" s="38"/>
    </row>
    <row r="27302">
      <c r="P27302" s="42"/>
      <c r="AB27302" s="38"/>
    </row>
    <row r="27303">
      <c r="P27303" s="42"/>
      <c r="AB27303" s="38"/>
    </row>
    <row r="27304">
      <c r="P27304" s="42"/>
      <c r="AB27304" s="38"/>
    </row>
    <row r="27305">
      <c r="P27305" s="42"/>
      <c r="AB27305" s="38"/>
    </row>
    <row r="27306">
      <c r="P27306" s="42"/>
      <c r="AB27306" s="38"/>
    </row>
    <row r="27307">
      <c r="P27307" s="42"/>
      <c r="AB27307" s="38"/>
    </row>
    <row r="27308">
      <c r="P27308" s="42"/>
      <c r="AB27308" s="38"/>
    </row>
    <row r="27309">
      <c r="P27309" s="42"/>
      <c r="AB27309" s="38"/>
    </row>
    <row r="27310">
      <c r="P27310" s="42"/>
      <c r="AB27310" s="38"/>
    </row>
    <row r="27311">
      <c r="P27311" s="42"/>
      <c r="AB27311" s="38"/>
    </row>
    <row r="27312">
      <c r="P27312" s="42"/>
      <c r="AB27312" s="38"/>
    </row>
    <row r="27313">
      <c r="P27313" s="42"/>
      <c r="AB27313" s="38"/>
    </row>
    <row r="27314">
      <c r="P27314" s="42"/>
      <c r="AB27314" s="38"/>
    </row>
    <row r="27315">
      <c r="P27315" s="42"/>
      <c r="AB27315" s="38"/>
    </row>
    <row r="27316">
      <c r="P27316" s="42"/>
      <c r="AB27316" s="38"/>
    </row>
    <row r="27317">
      <c r="P27317" s="42"/>
      <c r="AB27317" s="38"/>
    </row>
    <row r="27318">
      <c r="P27318" s="42"/>
      <c r="AB27318" s="38"/>
    </row>
    <row r="27319">
      <c r="P27319" s="42"/>
      <c r="AB27319" s="38"/>
    </row>
    <row r="27320">
      <c r="P27320" s="42"/>
      <c r="AB27320" s="38"/>
    </row>
    <row r="27321">
      <c r="P27321" s="42"/>
      <c r="AB27321" s="38"/>
    </row>
    <row r="27322">
      <c r="P27322" s="42"/>
      <c r="AB27322" s="38"/>
    </row>
    <row r="27323">
      <c r="P27323" s="42"/>
      <c r="AB27323" s="38"/>
    </row>
    <row r="27324">
      <c r="P27324" s="42"/>
      <c r="AB27324" s="38"/>
    </row>
    <row r="27325">
      <c r="P27325" s="42"/>
      <c r="AB27325" s="38"/>
    </row>
    <row r="27326">
      <c r="P27326" s="42"/>
      <c r="AB27326" s="38"/>
    </row>
    <row r="27327">
      <c r="P27327" s="42"/>
      <c r="AB27327" s="38"/>
    </row>
    <row r="27328">
      <c r="P27328" s="42"/>
      <c r="AB27328" s="38"/>
    </row>
    <row r="27329">
      <c r="P27329" s="42"/>
      <c r="AB27329" s="38"/>
    </row>
    <row r="27330">
      <c r="P27330" s="42"/>
      <c r="AB27330" s="38"/>
    </row>
    <row r="27331">
      <c r="P27331" s="42"/>
      <c r="AB27331" s="38"/>
    </row>
    <row r="27332">
      <c r="P27332" s="42"/>
      <c r="AB27332" s="38"/>
    </row>
    <row r="27333">
      <c r="P27333" s="42"/>
      <c r="AB27333" s="38"/>
    </row>
    <row r="27334">
      <c r="P27334" s="42"/>
      <c r="AB27334" s="38"/>
    </row>
    <row r="27335">
      <c r="P27335" s="42"/>
      <c r="AB27335" s="38"/>
    </row>
    <row r="27336">
      <c r="P27336" s="42"/>
      <c r="AB27336" s="38"/>
    </row>
    <row r="27337">
      <c r="P27337" s="42"/>
      <c r="AB27337" s="38"/>
    </row>
    <row r="27338">
      <c r="P27338" s="42"/>
      <c r="AB27338" s="38"/>
    </row>
    <row r="27339">
      <c r="P27339" s="42"/>
      <c r="AB27339" s="38"/>
    </row>
    <row r="27340">
      <c r="P27340" s="42"/>
      <c r="AB27340" s="38"/>
    </row>
    <row r="27341">
      <c r="P27341" s="42"/>
      <c r="AB27341" s="38"/>
    </row>
    <row r="27342">
      <c r="P27342" s="42"/>
      <c r="AB27342" s="38"/>
    </row>
    <row r="27343">
      <c r="P27343" s="42"/>
      <c r="AB27343" s="38"/>
    </row>
    <row r="27344">
      <c r="P27344" s="42"/>
      <c r="AB27344" s="38"/>
    </row>
    <row r="27345">
      <c r="P27345" s="42"/>
      <c r="AB27345" s="38"/>
    </row>
    <row r="27346">
      <c r="P27346" s="42"/>
      <c r="AB27346" s="38"/>
    </row>
    <row r="27347">
      <c r="P27347" s="42"/>
      <c r="AB27347" s="38"/>
    </row>
    <row r="27348">
      <c r="P27348" s="42"/>
      <c r="AB27348" s="38"/>
    </row>
    <row r="27349">
      <c r="P27349" s="42"/>
      <c r="AB27349" s="38"/>
    </row>
    <row r="27350">
      <c r="P27350" s="42"/>
      <c r="AB27350" s="38"/>
    </row>
    <row r="27351">
      <c r="P27351" s="42"/>
      <c r="AB27351" s="38"/>
    </row>
    <row r="27352">
      <c r="P27352" s="42"/>
      <c r="AB27352" s="38"/>
    </row>
    <row r="27353">
      <c r="P27353" s="42"/>
      <c r="AB27353" s="38"/>
    </row>
    <row r="27354">
      <c r="P27354" s="42"/>
      <c r="AB27354" s="38"/>
    </row>
    <row r="27355">
      <c r="P27355" s="42"/>
      <c r="AB27355" s="38"/>
    </row>
    <row r="27356">
      <c r="P27356" s="42"/>
      <c r="AB27356" s="38"/>
    </row>
    <row r="27357">
      <c r="P27357" s="42"/>
      <c r="AB27357" s="38"/>
    </row>
    <row r="27358">
      <c r="P27358" s="42"/>
      <c r="AB27358" s="38"/>
    </row>
    <row r="27359">
      <c r="P27359" s="42"/>
      <c r="AB27359" s="38"/>
    </row>
    <row r="27360">
      <c r="P27360" s="42"/>
      <c r="AB27360" s="38"/>
    </row>
    <row r="27361">
      <c r="P27361" s="42"/>
      <c r="AB27361" s="38"/>
    </row>
    <row r="27362">
      <c r="P27362" s="42"/>
      <c r="AB27362" s="38"/>
    </row>
    <row r="27363">
      <c r="P27363" s="42"/>
      <c r="AB27363" s="38"/>
    </row>
    <row r="27364">
      <c r="P27364" s="42"/>
      <c r="AB27364" s="38"/>
    </row>
    <row r="27365">
      <c r="P27365" s="42"/>
      <c r="AB27365" s="38"/>
    </row>
    <row r="27366">
      <c r="P27366" s="42"/>
      <c r="AB27366" s="38"/>
    </row>
    <row r="27367">
      <c r="P27367" s="42"/>
      <c r="AB27367" s="38"/>
    </row>
    <row r="27368">
      <c r="P27368" s="42"/>
      <c r="AB27368" s="38"/>
    </row>
    <row r="27369">
      <c r="P27369" s="42"/>
      <c r="AB27369" s="38"/>
    </row>
    <row r="27370">
      <c r="P27370" s="42"/>
      <c r="AB27370" s="38"/>
    </row>
    <row r="27371">
      <c r="P27371" s="42"/>
      <c r="AB27371" s="38"/>
    </row>
    <row r="27372">
      <c r="P27372" s="42"/>
      <c r="AB27372" s="38"/>
    </row>
    <row r="27373">
      <c r="P27373" s="42"/>
      <c r="AB27373" s="38"/>
    </row>
    <row r="27374">
      <c r="P27374" s="42"/>
      <c r="AB27374" s="38"/>
    </row>
    <row r="27375">
      <c r="P27375" s="42"/>
      <c r="AB27375" s="38"/>
    </row>
    <row r="27376">
      <c r="P27376" s="42"/>
      <c r="AB27376" s="38"/>
    </row>
    <row r="27377">
      <c r="P27377" s="42"/>
      <c r="AB27377" s="38"/>
    </row>
    <row r="27378">
      <c r="P27378" s="42"/>
      <c r="AB27378" s="38"/>
    </row>
    <row r="27379">
      <c r="P27379" s="42"/>
      <c r="AB27379" s="38"/>
    </row>
    <row r="27380">
      <c r="P27380" s="42"/>
      <c r="AB27380" s="38"/>
    </row>
    <row r="27381">
      <c r="P27381" s="42"/>
      <c r="AB27381" s="38"/>
    </row>
    <row r="27382">
      <c r="P27382" s="42"/>
      <c r="AB27382" s="38"/>
    </row>
    <row r="27383">
      <c r="P27383" s="42"/>
      <c r="AB27383" s="38"/>
    </row>
    <row r="27384">
      <c r="P27384" s="42"/>
      <c r="AB27384" s="38"/>
    </row>
    <row r="27385">
      <c r="P27385" s="42"/>
      <c r="AB27385" s="38"/>
    </row>
    <row r="27386">
      <c r="P27386" s="42"/>
      <c r="AB27386" s="38"/>
    </row>
    <row r="27387">
      <c r="P27387" s="42"/>
      <c r="AB27387" s="38"/>
    </row>
    <row r="27388">
      <c r="P27388" s="42"/>
      <c r="AB27388" s="38"/>
    </row>
    <row r="27389">
      <c r="P27389" s="42"/>
      <c r="AB27389" s="38"/>
    </row>
    <row r="27390">
      <c r="P27390" s="42"/>
      <c r="AB27390" s="38"/>
    </row>
    <row r="27391">
      <c r="P27391" s="42"/>
      <c r="AB27391" s="38"/>
    </row>
    <row r="27392">
      <c r="P27392" s="42"/>
      <c r="AB27392" s="38"/>
    </row>
    <row r="27393">
      <c r="P27393" s="42"/>
      <c r="AB27393" s="38"/>
    </row>
    <row r="27394">
      <c r="P27394" s="42"/>
      <c r="AB27394" s="38"/>
    </row>
    <row r="27395">
      <c r="P27395" s="42"/>
      <c r="AB27395" s="38"/>
    </row>
    <row r="27396">
      <c r="P27396" s="42"/>
      <c r="AB27396" s="38"/>
    </row>
    <row r="27397">
      <c r="P27397" s="42"/>
      <c r="AB27397" s="38"/>
    </row>
    <row r="27398">
      <c r="P27398" s="42"/>
      <c r="AB27398" s="38"/>
    </row>
    <row r="27399">
      <c r="P27399" s="42"/>
      <c r="AB27399" s="38"/>
    </row>
    <row r="27400">
      <c r="P27400" s="42"/>
      <c r="AB27400" s="38"/>
    </row>
    <row r="27401">
      <c r="P27401" s="42"/>
      <c r="AB27401" s="38"/>
    </row>
    <row r="27402">
      <c r="P27402" s="42"/>
      <c r="AB27402" s="38"/>
    </row>
    <row r="27403">
      <c r="P27403" s="42"/>
      <c r="AB27403" s="38"/>
    </row>
    <row r="27404">
      <c r="P27404" s="42"/>
      <c r="AB27404" s="38"/>
    </row>
    <row r="27405">
      <c r="P27405" s="42"/>
      <c r="AB27405" s="38"/>
    </row>
    <row r="27406">
      <c r="P27406" s="42"/>
      <c r="AB27406" s="38"/>
    </row>
    <row r="27407">
      <c r="P27407" s="42"/>
      <c r="AB27407" s="38"/>
    </row>
    <row r="27408">
      <c r="P27408" s="42"/>
      <c r="AB27408" s="38"/>
    </row>
    <row r="27409">
      <c r="P27409" s="42"/>
      <c r="AB27409" s="38"/>
    </row>
    <row r="27410">
      <c r="P27410" s="42"/>
      <c r="AB27410" s="38"/>
    </row>
    <row r="27411">
      <c r="P27411" s="42"/>
      <c r="AB27411" s="38"/>
    </row>
    <row r="27412">
      <c r="P27412" s="42"/>
      <c r="AB27412" s="38"/>
    </row>
    <row r="27413">
      <c r="P27413" s="42"/>
      <c r="AB27413" s="38"/>
    </row>
    <row r="27414">
      <c r="P27414" s="42"/>
      <c r="AB27414" s="38"/>
    </row>
    <row r="27415">
      <c r="P27415" s="42"/>
      <c r="AB27415" s="38"/>
    </row>
    <row r="27416">
      <c r="P27416" s="42"/>
      <c r="AB27416" s="38"/>
    </row>
    <row r="27417">
      <c r="P27417" s="42"/>
      <c r="AB27417" s="38"/>
    </row>
    <row r="27418">
      <c r="P27418" s="42"/>
      <c r="AB27418" s="38"/>
    </row>
    <row r="27419">
      <c r="P27419" s="42"/>
      <c r="AB27419" s="38"/>
    </row>
    <row r="27420">
      <c r="P27420" s="42"/>
      <c r="AB27420" s="38"/>
    </row>
    <row r="27421">
      <c r="P27421" s="42"/>
      <c r="AB27421" s="38"/>
    </row>
    <row r="27422">
      <c r="P27422" s="42"/>
      <c r="AB27422" s="38"/>
    </row>
    <row r="27423">
      <c r="P27423" s="42"/>
      <c r="AB27423" s="38"/>
    </row>
    <row r="27424">
      <c r="P27424" s="42"/>
      <c r="AB27424" s="38"/>
    </row>
    <row r="27425">
      <c r="P27425" s="42"/>
      <c r="AB27425" s="38"/>
    </row>
    <row r="27426">
      <c r="P27426" s="42"/>
      <c r="AB27426" s="38"/>
    </row>
    <row r="27427">
      <c r="P27427" s="42"/>
      <c r="AB27427" s="38"/>
    </row>
    <row r="27428">
      <c r="P27428" s="42"/>
      <c r="AB27428" s="38"/>
    </row>
    <row r="27429">
      <c r="P27429" s="42"/>
      <c r="AB27429" s="38"/>
    </row>
    <row r="27430">
      <c r="P27430" s="42"/>
      <c r="AB27430" s="38"/>
    </row>
    <row r="27431">
      <c r="P27431" s="42"/>
      <c r="AB27431" s="38"/>
    </row>
    <row r="27432">
      <c r="P27432" s="42"/>
      <c r="AB27432" s="38"/>
    </row>
    <row r="27433">
      <c r="P27433" s="42"/>
      <c r="AB27433" s="38"/>
    </row>
    <row r="27434">
      <c r="P27434" s="42"/>
      <c r="AB27434" s="38"/>
    </row>
    <row r="27435">
      <c r="P27435" s="42"/>
      <c r="AB27435" s="38"/>
    </row>
    <row r="27436">
      <c r="P27436" s="42"/>
      <c r="AB27436" s="38"/>
    </row>
    <row r="27437">
      <c r="P27437" s="42"/>
      <c r="AB27437" s="38"/>
    </row>
    <row r="27438">
      <c r="P27438" s="42"/>
      <c r="AB27438" s="38"/>
    </row>
    <row r="27439">
      <c r="P27439" s="42"/>
      <c r="AB27439" s="38"/>
    </row>
    <row r="27440">
      <c r="P27440" s="42"/>
      <c r="AB27440" s="38"/>
    </row>
    <row r="27441">
      <c r="P27441" s="42"/>
      <c r="AB27441" s="38"/>
    </row>
    <row r="27442">
      <c r="P27442" s="42"/>
      <c r="AB27442" s="38"/>
    </row>
    <row r="27443">
      <c r="P27443" s="42"/>
      <c r="AB27443" s="38"/>
    </row>
    <row r="27444">
      <c r="P27444" s="42"/>
      <c r="AB27444" s="38"/>
    </row>
    <row r="27445">
      <c r="P27445" s="42"/>
      <c r="AB27445" s="38"/>
    </row>
    <row r="27446">
      <c r="P27446" s="42"/>
      <c r="AB27446" s="38"/>
    </row>
    <row r="27447">
      <c r="P27447" s="42"/>
      <c r="AB27447" s="38"/>
    </row>
    <row r="27448">
      <c r="P27448" s="42"/>
      <c r="AB27448" s="38"/>
    </row>
    <row r="27449">
      <c r="P27449" s="42"/>
      <c r="AB27449" s="38"/>
    </row>
    <row r="27450">
      <c r="P27450" s="42"/>
      <c r="AB27450" s="38"/>
    </row>
    <row r="27451">
      <c r="P27451" s="42"/>
      <c r="AB27451" s="38"/>
    </row>
    <row r="27452">
      <c r="P27452" s="42"/>
      <c r="AB27452" s="38"/>
    </row>
    <row r="27453">
      <c r="P27453" s="42"/>
      <c r="AB27453" s="38"/>
    </row>
    <row r="27454">
      <c r="P27454" s="42"/>
      <c r="AB27454" s="38"/>
    </row>
    <row r="27455">
      <c r="P27455" s="42"/>
      <c r="AB27455" s="38"/>
    </row>
    <row r="27456">
      <c r="P27456" s="42"/>
      <c r="AB27456" s="38"/>
    </row>
    <row r="27457">
      <c r="P27457" s="42"/>
      <c r="AB27457" s="38"/>
    </row>
    <row r="27458">
      <c r="P27458" s="42"/>
      <c r="AB27458" s="38"/>
    </row>
    <row r="27459">
      <c r="P27459" s="42"/>
      <c r="AB27459" s="38"/>
    </row>
    <row r="27460">
      <c r="P27460" s="42"/>
      <c r="AB27460" s="38"/>
    </row>
    <row r="27461">
      <c r="P27461" s="42"/>
      <c r="AB27461" s="38"/>
    </row>
    <row r="27462">
      <c r="P27462" s="42"/>
      <c r="AB27462" s="38"/>
    </row>
    <row r="27463">
      <c r="P27463" s="42"/>
      <c r="AB27463" s="38"/>
    </row>
    <row r="27464">
      <c r="P27464" s="42"/>
      <c r="AB27464" s="38"/>
    </row>
    <row r="27465">
      <c r="P27465" s="42"/>
      <c r="AB27465" s="38"/>
    </row>
    <row r="27466">
      <c r="P27466" s="42"/>
      <c r="AB27466" s="38"/>
    </row>
    <row r="27467">
      <c r="P27467" s="42"/>
      <c r="AB27467" s="38"/>
    </row>
    <row r="27468">
      <c r="P27468" s="42"/>
      <c r="AB27468" s="38"/>
    </row>
    <row r="27469">
      <c r="P27469" s="42"/>
      <c r="AB27469" s="38"/>
    </row>
    <row r="27470">
      <c r="P27470" s="42"/>
      <c r="AB27470" s="38"/>
    </row>
    <row r="27471">
      <c r="P27471" s="42"/>
      <c r="AB27471" s="38"/>
    </row>
    <row r="27472">
      <c r="P27472" s="42"/>
      <c r="AB27472" s="38"/>
    </row>
    <row r="27473">
      <c r="P27473" s="42"/>
      <c r="AB27473" s="38"/>
    </row>
    <row r="27474">
      <c r="P27474" s="42"/>
      <c r="AB27474" s="38"/>
    </row>
    <row r="27475">
      <c r="P27475" s="42"/>
      <c r="AB27475" s="38"/>
    </row>
    <row r="27476">
      <c r="P27476" s="42"/>
      <c r="AB27476" s="38"/>
    </row>
    <row r="27477">
      <c r="P27477" s="42"/>
      <c r="AB27477" s="38"/>
    </row>
    <row r="27478">
      <c r="P27478" s="42"/>
      <c r="AB27478" s="38"/>
    </row>
    <row r="27479">
      <c r="P27479" s="42"/>
      <c r="AB27479" s="38"/>
    </row>
    <row r="27480">
      <c r="P27480" s="42"/>
      <c r="AB27480" s="38"/>
    </row>
    <row r="27481">
      <c r="P27481" s="42"/>
      <c r="AB27481" s="38"/>
    </row>
    <row r="27482">
      <c r="P27482" s="42"/>
      <c r="AB27482" s="38"/>
    </row>
    <row r="27483">
      <c r="P27483" s="42"/>
      <c r="AB27483" s="38"/>
    </row>
    <row r="27484">
      <c r="P27484" s="42"/>
      <c r="AB27484" s="38"/>
    </row>
    <row r="27485">
      <c r="P27485" s="42"/>
      <c r="AB27485" s="38"/>
    </row>
    <row r="27486">
      <c r="P27486" s="42"/>
      <c r="AB27486" s="38"/>
    </row>
    <row r="27487">
      <c r="P27487" s="42"/>
      <c r="AB27487" s="38"/>
    </row>
    <row r="27488">
      <c r="P27488" s="42"/>
      <c r="AB27488" s="38"/>
    </row>
    <row r="27489">
      <c r="P27489" s="42"/>
      <c r="AB27489" s="38"/>
    </row>
    <row r="27490">
      <c r="P27490" s="42"/>
      <c r="AB27490" s="38"/>
    </row>
    <row r="27491">
      <c r="P27491" s="42"/>
      <c r="AB27491" s="38"/>
    </row>
    <row r="27492">
      <c r="P27492" s="42"/>
      <c r="AB27492" s="38"/>
    </row>
    <row r="27493">
      <c r="P27493" s="42"/>
      <c r="AB27493" s="38"/>
    </row>
    <row r="27494">
      <c r="P27494" s="42"/>
      <c r="AB27494" s="38"/>
    </row>
    <row r="27495">
      <c r="P27495" s="42"/>
      <c r="AB27495" s="38"/>
    </row>
    <row r="27496">
      <c r="P27496" s="42"/>
      <c r="AB27496" s="38"/>
    </row>
    <row r="27497">
      <c r="P27497" s="42"/>
      <c r="AB27497" s="38"/>
    </row>
    <row r="27498">
      <c r="P27498" s="42"/>
      <c r="AB27498" s="38"/>
    </row>
    <row r="27499">
      <c r="P27499" s="42"/>
      <c r="AB27499" s="38"/>
    </row>
    <row r="27500">
      <c r="P27500" s="42"/>
      <c r="AB27500" s="38"/>
    </row>
    <row r="27501">
      <c r="P27501" s="42"/>
      <c r="AB27501" s="38"/>
    </row>
    <row r="27502">
      <c r="P27502" s="42"/>
      <c r="AB27502" s="38"/>
    </row>
    <row r="27503">
      <c r="P27503" s="42"/>
      <c r="AB27503" s="38"/>
    </row>
    <row r="27504">
      <c r="P27504" s="42"/>
      <c r="AB27504" s="38"/>
    </row>
    <row r="27505">
      <c r="P27505" s="42"/>
      <c r="AB27505" s="38"/>
    </row>
    <row r="27506">
      <c r="P27506" s="42"/>
      <c r="AB27506" s="38"/>
    </row>
    <row r="27507">
      <c r="P27507" s="42"/>
      <c r="AB27507" s="38"/>
    </row>
    <row r="27508">
      <c r="P27508" s="42"/>
      <c r="AB27508" s="38"/>
    </row>
    <row r="27509">
      <c r="P27509" s="42"/>
      <c r="AB27509" s="38"/>
    </row>
    <row r="27510">
      <c r="P27510" s="42"/>
      <c r="AB27510" s="38"/>
    </row>
    <row r="27511">
      <c r="P27511" s="42"/>
      <c r="AB27511" s="38"/>
    </row>
    <row r="27512">
      <c r="P27512" s="42"/>
      <c r="AB27512" s="38"/>
    </row>
    <row r="27513">
      <c r="P27513" s="42"/>
      <c r="AB27513" s="38"/>
    </row>
    <row r="27514">
      <c r="P27514" s="42"/>
      <c r="AB27514" s="38"/>
    </row>
    <row r="27515">
      <c r="P27515" s="42"/>
      <c r="AB27515" s="38"/>
    </row>
    <row r="27516">
      <c r="P27516" s="42"/>
      <c r="AB27516" s="38"/>
    </row>
    <row r="27517">
      <c r="P27517" s="42"/>
      <c r="AB27517" s="38"/>
    </row>
    <row r="27518">
      <c r="P27518" s="42"/>
      <c r="AB27518" s="38"/>
    </row>
    <row r="27519">
      <c r="P27519" s="42"/>
      <c r="AB27519" s="38"/>
    </row>
    <row r="27520">
      <c r="P27520" s="42"/>
      <c r="AB27520" s="38"/>
    </row>
    <row r="27521">
      <c r="P27521" s="42"/>
      <c r="AB27521" s="38"/>
    </row>
    <row r="27522">
      <c r="P27522" s="42"/>
      <c r="AB27522" s="38"/>
    </row>
    <row r="27523">
      <c r="P27523" s="42"/>
      <c r="AB27523" s="38"/>
    </row>
    <row r="27524">
      <c r="P27524" s="42"/>
      <c r="AB27524" s="38"/>
    </row>
    <row r="27525">
      <c r="P27525" s="42"/>
      <c r="AB27525" s="38"/>
    </row>
    <row r="27526">
      <c r="P27526" s="42"/>
      <c r="AB27526" s="38"/>
    </row>
    <row r="27527">
      <c r="P27527" s="42"/>
      <c r="AB27527" s="38"/>
    </row>
    <row r="27528">
      <c r="P27528" s="42"/>
      <c r="AB27528" s="38"/>
    </row>
    <row r="27529">
      <c r="P27529" s="42"/>
      <c r="AB27529" s="38"/>
    </row>
    <row r="27530">
      <c r="P27530" s="42"/>
      <c r="AB27530" s="38"/>
    </row>
    <row r="27531">
      <c r="P27531" s="42"/>
      <c r="AB27531" s="38"/>
    </row>
    <row r="27532">
      <c r="P27532" s="42"/>
      <c r="AB27532" s="38"/>
    </row>
    <row r="27533">
      <c r="P27533" s="42"/>
      <c r="AB27533" s="38"/>
    </row>
    <row r="27534">
      <c r="P27534" s="42"/>
      <c r="AB27534" s="38"/>
    </row>
    <row r="27535">
      <c r="P27535" s="42"/>
      <c r="AB27535" s="38"/>
    </row>
    <row r="27536">
      <c r="P27536" s="42"/>
      <c r="AB27536" s="38"/>
    </row>
    <row r="27537">
      <c r="P27537" s="42"/>
      <c r="AB27537" s="38"/>
    </row>
    <row r="27538">
      <c r="P27538" s="42"/>
      <c r="AB27538" s="38"/>
    </row>
    <row r="27539">
      <c r="P27539" s="42"/>
      <c r="AB27539" s="38"/>
    </row>
    <row r="27540">
      <c r="P27540" s="42"/>
      <c r="AB27540" s="38"/>
    </row>
    <row r="27541">
      <c r="P27541" s="42"/>
      <c r="AB27541" s="38"/>
    </row>
    <row r="27542">
      <c r="P27542" s="42"/>
      <c r="AB27542" s="38"/>
    </row>
    <row r="27543">
      <c r="P27543" s="42"/>
      <c r="AB27543" s="38"/>
    </row>
    <row r="27544">
      <c r="P27544" s="42"/>
      <c r="AB27544" s="38"/>
    </row>
    <row r="27545">
      <c r="P27545" s="42"/>
      <c r="AB27545" s="38"/>
    </row>
    <row r="27546">
      <c r="P27546" s="42"/>
      <c r="AB27546" s="38"/>
    </row>
    <row r="27547">
      <c r="P27547" s="42"/>
      <c r="AB27547" s="38"/>
    </row>
    <row r="27548">
      <c r="P27548" s="42"/>
      <c r="AB27548" s="38"/>
    </row>
    <row r="27549">
      <c r="P27549" s="42"/>
      <c r="AB27549" s="38"/>
    </row>
    <row r="27550">
      <c r="P27550" s="42"/>
      <c r="AB27550" s="38"/>
    </row>
    <row r="27551">
      <c r="P27551" s="42"/>
      <c r="AB27551" s="38"/>
    </row>
    <row r="27552">
      <c r="P27552" s="42"/>
      <c r="AB27552" s="38"/>
    </row>
    <row r="27553">
      <c r="P27553" s="42"/>
      <c r="AB27553" s="38"/>
    </row>
    <row r="27554">
      <c r="P27554" s="42"/>
      <c r="AB27554" s="38"/>
    </row>
    <row r="27555">
      <c r="P27555" s="42"/>
      <c r="AB27555" s="38"/>
    </row>
    <row r="27556">
      <c r="P27556" s="42"/>
      <c r="AB27556" s="38"/>
    </row>
    <row r="27557">
      <c r="P27557" s="42"/>
      <c r="AB27557" s="38"/>
    </row>
    <row r="27558">
      <c r="P27558" s="42"/>
      <c r="AB27558" s="38"/>
    </row>
    <row r="27559">
      <c r="P27559" s="42"/>
      <c r="AB27559" s="38"/>
    </row>
    <row r="27560">
      <c r="P27560" s="42"/>
      <c r="AB27560" s="38"/>
    </row>
    <row r="27561">
      <c r="P27561" s="42"/>
      <c r="AB27561" s="38"/>
    </row>
    <row r="27562">
      <c r="P27562" s="42"/>
      <c r="AB27562" s="38"/>
    </row>
    <row r="27563">
      <c r="P27563" s="42"/>
      <c r="AB27563" s="38"/>
    </row>
    <row r="27564">
      <c r="P27564" s="42"/>
      <c r="AB27564" s="38"/>
    </row>
    <row r="27565">
      <c r="P27565" s="42"/>
      <c r="AB27565" s="38"/>
    </row>
    <row r="27566">
      <c r="P27566" s="42"/>
      <c r="AB27566" s="38"/>
    </row>
    <row r="27567">
      <c r="P27567" s="42"/>
      <c r="AB27567" s="38"/>
    </row>
    <row r="27568">
      <c r="P27568" s="42"/>
      <c r="AB27568" s="38"/>
    </row>
    <row r="27569">
      <c r="P27569" s="42"/>
      <c r="AB27569" s="38"/>
    </row>
    <row r="27570">
      <c r="P27570" s="42"/>
      <c r="AB27570" s="38"/>
    </row>
    <row r="27571">
      <c r="P27571" s="42"/>
      <c r="AB27571" s="38"/>
    </row>
    <row r="27572">
      <c r="P27572" s="42"/>
      <c r="AB27572" s="38"/>
    </row>
    <row r="27573">
      <c r="P27573" s="42"/>
      <c r="AB27573" s="38"/>
    </row>
    <row r="27574">
      <c r="P27574" s="42"/>
      <c r="AB27574" s="38"/>
    </row>
    <row r="27575">
      <c r="P27575" s="42"/>
      <c r="AB27575" s="38"/>
    </row>
    <row r="27576">
      <c r="P27576" s="42"/>
      <c r="AB27576" s="38"/>
    </row>
    <row r="27577">
      <c r="P27577" s="42"/>
      <c r="AB27577" s="38"/>
    </row>
    <row r="27578">
      <c r="P27578" s="42"/>
      <c r="AB27578" s="38"/>
    </row>
    <row r="27579">
      <c r="P27579" s="42"/>
      <c r="AB27579" s="38"/>
    </row>
    <row r="27580">
      <c r="P27580" s="42"/>
      <c r="AB27580" s="38"/>
    </row>
    <row r="27581">
      <c r="P27581" s="42"/>
      <c r="AB27581" s="38"/>
    </row>
    <row r="27582">
      <c r="P27582" s="42"/>
      <c r="AB27582" s="38"/>
    </row>
    <row r="27583">
      <c r="P27583" s="42"/>
      <c r="AB27583" s="38"/>
    </row>
    <row r="27584">
      <c r="P27584" s="42"/>
      <c r="AB27584" s="38"/>
    </row>
    <row r="27585">
      <c r="P27585" s="42"/>
      <c r="AB27585" s="38"/>
    </row>
    <row r="27586">
      <c r="P27586" s="42"/>
      <c r="AB27586" s="38"/>
    </row>
    <row r="27587">
      <c r="P27587" s="42"/>
      <c r="AB27587" s="38"/>
    </row>
    <row r="27588">
      <c r="P27588" s="42"/>
      <c r="AB27588" s="38"/>
    </row>
    <row r="27589">
      <c r="P27589" s="42"/>
      <c r="AB27589" s="38"/>
    </row>
    <row r="27590">
      <c r="P27590" s="42"/>
      <c r="AB27590" s="38"/>
    </row>
    <row r="27591">
      <c r="P27591" s="42"/>
      <c r="AB27591" s="38"/>
    </row>
    <row r="27592">
      <c r="P27592" s="42"/>
      <c r="AB27592" s="38"/>
    </row>
    <row r="27593">
      <c r="P27593" s="42"/>
      <c r="AB27593" s="38"/>
    </row>
    <row r="27594">
      <c r="P27594" s="42"/>
      <c r="AB27594" s="38"/>
    </row>
    <row r="27595">
      <c r="P27595" s="42"/>
      <c r="AB27595" s="38"/>
    </row>
    <row r="27596">
      <c r="P27596" s="42"/>
      <c r="AB27596" s="38"/>
    </row>
    <row r="27597">
      <c r="P27597" s="42"/>
      <c r="AB27597" s="38"/>
    </row>
    <row r="27598">
      <c r="P27598" s="42"/>
      <c r="AB27598" s="38"/>
    </row>
    <row r="27599">
      <c r="P27599" s="42"/>
      <c r="AB27599" s="38"/>
    </row>
    <row r="27600">
      <c r="P27600" s="42"/>
      <c r="AB27600" s="38"/>
    </row>
    <row r="27601">
      <c r="P27601" s="42"/>
      <c r="AB27601" s="38"/>
    </row>
    <row r="27602">
      <c r="P27602" s="42"/>
      <c r="AB27602" s="38"/>
    </row>
    <row r="27603">
      <c r="P27603" s="42"/>
      <c r="AB27603" s="38"/>
    </row>
    <row r="27604">
      <c r="P27604" s="42"/>
      <c r="AB27604" s="38"/>
    </row>
    <row r="27605">
      <c r="P27605" s="42"/>
      <c r="AB27605" s="38"/>
    </row>
    <row r="27606">
      <c r="P27606" s="42"/>
      <c r="AB27606" s="38"/>
    </row>
    <row r="27607">
      <c r="P27607" s="42"/>
      <c r="AB27607" s="38"/>
    </row>
    <row r="27608">
      <c r="P27608" s="42"/>
      <c r="AB27608" s="38"/>
    </row>
    <row r="27609">
      <c r="P27609" s="42"/>
      <c r="AB27609" s="38"/>
    </row>
    <row r="27610">
      <c r="P27610" s="42"/>
      <c r="AB27610" s="38"/>
    </row>
    <row r="27611">
      <c r="P27611" s="42"/>
      <c r="AB27611" s="38"/>
    </row>
    <row r="27612">
      <c r="P27612" s="42"/>
      <c r="AB27612" s="38"/>
    </row>
    <row r="27613">
      <c r="P27613" s="42"/>
      <c r="AB27613" s="38"/>
    </row>
    <row r="27614">
      <c r="P27614" s="42"/>
      <c r="AB27614" s="38"/>
    </row>
    <row r="27615">
      <c r="P27615" s="42"/>
      <c r="AB27615" s="38"/>
    </row>
    <row r="27616">
      <c r="P27616" s="42"/>
      <c r="AB27616" s="38"/>
    </row>
    <row r="27617">
      <c r="P27617" s="42"/>
      <c r="AB27617" s="38"/>
    </row>
    <row r="27618">
      <c r="P27618" s="42"/>
      <c r="AB27618" s="38"/>
    </row>
    <row r="27619">
      <c r="P27619" s="42"/>
      <c r="AB27619" s="38"/>
    </row>
    <row r="27620">
      <c r="P27620" s="42"/>
      <c r="AB27620" s="38"/>
    </row>
    <row r="27621">
      <c r="P27621" s="42"/>
      <c r="AB27621" s="38"/>
    </row>
    <row r="27622">
      <c r="P27622" s="42"/>
      <c r="AB27622" s="38"/>
    </row>
    <row r="27623">
      <c r="P27623" s="42"/>
      <c r="AB27623" s="38"/>
    </row>
    <row r="27624">
      <c r="P27624" s="42"/>
      <c r="AB27624" s="38"/>
    </row>
    <row r="27625">
      <c r="P27625" s="42"/>
      <c r="AB27625" s="38"/>
    </row>
    <row r="27626">
      <c r="P27626" s="42"/>
      <c r="AB27626" s="38"/>
    </row>
    <row r="27627">
      <c r="P27627" s="42"/>
      <c r="AB27627" s="38"/>
    </row>
    <row r="27628">
      <c r="P27628" s="42"/>
      <c r="AB27628" s="38"/>
    </row>
    <row r="27629">
      <c r="P27629" s="42"/>
      <c r="AB27629" s="38"/>
    </row>
    <row r="27630">
      <c r="P27630" s="42"/>
      <c r="AB27630" s="38"/>
    </row>
    <row r="27631">
      <c r="P27631" s="42"/>
      <c r="AB27631" s="38"/>
    </row>
    <row r="27632">
      <c r="P27632" s="42"/>
      <c r="AB27632" s="38"/>
    </row>
    <row r="27633">
      <c r="P27633" s="42"/>
      <c r="AB27633" s="38"/>
    </row>
    <row r="27634">
      <c r="P27634" s="42"/>
      <c r="AB27634" s="38"/>
    </row>
    <row r="27635">
      <c r="P27635" s="42"/>
      <c r="AB27635" s="38"/>
    </row>
    <row r="27636">
      <c r="P27636" s="42"/>
      <c r="AB27636" s="38"/>
    </row>
    <row r="27637">
      <c r="P27637" s="42"/>
      <c r="AB27637" s="38"/>
    </row>
    <row r="27638">
      <c r="P27638" s="42"/>
      <c r="AB27638" s="38"/>
    </row>
    <row r="27639">
      <c r="P27639" s="42"/>
      <c r="AB27639" s="38"/>
    </row>
    <row r="27640">
      <c r="P27640" s="42"/>
      <c r="AB27640" s="38"/>
    </row>
    <row r="27641">
      <c r="P27641" s="42"/>
      <c r="AB27641" s="38"/>
    </row>
    <row r="27642">
      <c r="P27642" s="42"/>
      <c r="AB27642" s="38"/>
    </row>
    <row r="27643">
      <c r="P27643" s="42"/>
      <c r="AB27643" s="38"/>
    </row>
    <row r="27644">
      <c r="P27644" s="42"/>
      <c r="AB27644" s="38"/>
    </row>
    <row r="27645">
      <c r="P27645" s="42"/>
      <c r="AB27645" s="38"/>
    </row>
    <row r="27646">
      <c r="P27646" s="42"/>
      <c r="AB27646" s="38"/>
    </row>
    <row r="27647">
      <c r="P27647" s="42"/>
      <c r="AB27647" s="38"/>
    </row>
    <row r="27648">
      <c r="P27648" s="42"/>
      <c r="AB27648" s="38"/>
    </row>
    <row r="27649">
      <c r="P27649" s="42"/>
      <c r="AB27649" s="38"/>
    </row>
    <row r="27650">
      <c r="P27650" s="42"/>
      <c r="AB27650" s="38"/>
    </row>
    <row r="27651">
      <c r="P27651" s="42"/>
      <c r="AB27651" s="38"/>
    </row>
    <row r="27652">
      <c r="P27652" s="42"/>
      <c r="AB27652" s="38"/>
    </row>
    <row r="27653">
      <c r="P27653" s="42"/>
      <c r="AB27653" s="38"/>
    </row>
    <row r="27654">
      <c r="P27654" s="42"/>
      <c r="AB27654" s="38"/>
    </row>
    <row r="27655">
      <c r="P27655" s="42"/>
      <c r="AB27655" s="38"/>
    </row>
    <row r="27656">
      <c r="P27656" s="42"/>
      <c r="AB27656" s="38"/>
    </row>
    <row r="27657">
      <c r="P27657" s="42"/>
      <c r="AB27657" s="38"/>
    </row>
    <row r="27658">
      <c r="P27658" s="42"/>
      <c r="AB27658" s="38"/>
    </row>
    <row r="27659">
      <c r="P27659" s="42"/>
      <c r="AB27659" s="38"/>
    </row>
    <row r="27660">
      <c r="P27660" s="42"/>
      <c r="AB27660" s="38"/>
    </row>
    <row r="27661">
      <c r="P27661" s="42"/>
      <c r="AB27661" s="38"/>
    </row>
    <row r="27662">
      <c r="P27662" s="42"/>
      <c r="AB27662" s="38"/>
    </row>
    <row r="27663">
      <c r="P27663" s="42"/>
      <c r="AB27663" s="38"/>
    </row>
    <row r="27664">
      <c r="P27664" s="42"/>
      <c r="AB27664" s="38"/>
    </row>
    <row r="27665">
      <c r="P27665" s="42"/>
      <c r="AB27665" s="38"/>
    </row>
    <row r="27666">
      <c r="P27666" s="42"/>
      <c r="AB27666" s="38"/>
    </row>
    <row r="27667">
      <c r="P27667" s="42"/>
      <c r="AB27667" s="38"/>
    </row>
    <row r="27668">
      <c r="P27668" s="42"/>
      <c r="AB27668" s="38"/>
    </row>
    <row r="27669">
      <c r="P27669" s="42"/>
      <c r="AB27669" s="38"/>
    </row>
    <row r="27670">
      <c r="P27670" s="42"/>
      <c r="AB27670" s="38"/>
    </row>
    <row r="27671">
      <c r="P27671" s="42"/>
      <c r="AB27671" s="38"/>
    </row>
    <row r="27672">
      <c r="P27672" s="42"/>
      <c r="AB27672" s="38"/>
    </row>
    <row r="27673">
      <c r="P27673" s="42"/>
      <c r="AB27673" s="38"/>
    </row>
    <row r="27674">
      <c r="P27674" s="42"/>
      <c r="AB27674" s="38"/>
    </row>
    <row r="27675">
      <c r="P27675" s="42"/>
      <c r="AB27675" s="38"/>
    </row>
    <row r="27676">
      <c r="P27676" s="42"/>
      <c r="AB27676" s="38"/>
    </row>
    <row r="27677">
      <c r="P27677" s="42"/>
      <c r="AB27677" s="38"/>
    </row>
    <row r="27678">
      <c r="P27678" s="42"/>
      <c r="AB27678" s="38"/>
    </row>
    <row r="27679">
      <c r="P27679" s="42"/>
      <c r="AB27679" s="38"/>
    </row>
    <row r="27680">
      <c r="P27680" s="42"/>
      <c r="AB27680" s="38"/>
    </row>
    <row r="27681">
      <c r="P27681" s="42"/>
      <c r="AB27681" s="38"/>
    </row>
    <row r="27682">
      <c r="P27682" s="42"/>
      <c r="AB27682" s="38"/>
    </row>
    <row r="27683">
      <c r="P27683" s="42"/>
      <c r="AB27683" s="38"/>
    </row>
    <row r="27684">
      <c r="P27684" s="42"/>
      <c r="AB27684" s="38"/>
    </row>
    <row r="27685">
      <c r="P27685" s="42"/>
      <c r="AB27685" s="38"/>
    </row>
    <row r="27686">
      <c r="P27686" s="42"/>
      <c r="AB27686" s="38"/>
    </row>
    <row r="27687">
      <c r="P27687" s="42"/>
      <c r="AB27687" s="38"/>
    </row>
    <row r="27688">
      <c r="P27688" s="42"/>
      <c r="AB27688" s="38"/>
    </row>
    <row r="27689">
      <c r="P27689" s="42"/>
      <c r="AB27689" s="38"/>
    </row>
    <row r="27690">
      <c r="P27690" s="42"/>
      <c r="AB27690" s="38"/>
    </row>
    <row r="27691">
      <c r="P27691" s="42"/>
      <c r="AB27691" s="38"/>
    </row>
    <row r="27692">
      <c r="P27692" s="42"/>
      <c r="AB27692" s="38"/>
    </row>
    <row r="27693">
      <c r="P27693" s="42"/>
      <c r="AB27693" s="38"/>
    </row>
    <row r="27694">
      <c r="P27694" s="42"/>
      <c r="AB27694" s="38"/>
    </row>
    <row r="27695">
      <c r="P27695" s="42"/>
      <c r="AB27695" s="38"/>
    </row>
    <row r="27696">
      <c r="P27696" s="42"/>
      <c r="AB27696" s="38"/>
    </row>
    <row r="27697">
      <c r="P27697" s="42"/>
      <c r="AB27697" s="38"/>
    </row>
    <row r="27698">
      <c r="P27698" s="42"/>
      <c r="AB27698" s="38"/>
    </row>
    <row r="27699">
      <c r="P27699" s="42"/>
      <c r="AB27699" s="38"/>
    </row>
    <row r="27700">
      <c r="P27700" s="42"/>
      <c r="AB27700" s="38"/>
    </row>
    <row r="27701">
      <c r="P27701" s="42"/>
      <c r="AB27701" s="38"/>
    </row>
    <row r="27702">
      <c r="P27702" s="42"/>
      <c r="AB27702" s="38"/>
    </row>
    <row r="27703">
      <c r="P27703" s="42"/>
      <c r="AB27703" s="38"/>
    </row>
    <row r="27704">
      <c r="P27704" s="42"/>
      <c r="AB27704" s="38"/>
    </row>
    <row r="27705">
      <c r="P27705" s="42"/>
      <c r="AB27705" s="38"/>
    </row>
    <row r="27706">
      <c r="P27706" s="42"/>
      <c r="AB27706" s="38"/>
    </row>
    <row r="27707">
      <c r="P27707" s="42"/>
      <c r="AB27707" s="38"/>
    </row>
    <row r="27708">
      <c r="P27708" s="42"/>
      <c r="AB27708" s="38"/>
    </row>
    <row r="27709">
      <c r="P27709" s="42"/>
      <c r="AB27709" s="38"/>
    </row>
    <row r="27710">
      <c r="P27710" s="42"/>
      <c r="AB27710" s="38"/>
    </row>
    <row r="27711">
      <c r="P27711" s="42"/>
      <c r="AB27711" s="38"/>
    </row>
    <row r="27712">
      <c r="P27712" s="42"/>
      <c r="AB27712" s="38"/>
    </row>
    <row r="27713">
      <c r="P27713" s="42"/>
      <c r="AB27713" s="38"/>
    </row>
    <row r="27714">
      <c r="P27714" s="42"/>
      <c r="AB27714" s="38"/>
    </row>
    <row r="27715">
      <c r="P27715" s="42"/>
      <c r="AB27715" s="38"/>
    </row>
    <row r="27716">
      <c r="P27716" s="42"/>
      <c r="AB27716" s="38"/>
    </row>
    <row r="27717">
      <c r="P27717" s="42"/>
      <c r="AB27717" s="38"/>
    </row>
    <row r="27718">
      <c r="P27718" s="42"/>
      <c r="AB27718" s="38"/>
    </row>
    <row r="27719">
      <c r="P27719" s="42"/>
      <c r="AB27719" s="38"/>
    </row>
    <row r="27720">
      <c r="P27720" s="42"/>
      <c r="AB27720" s="38"/>
    </row>
    <row r="27721">
      <c r="P27721" s="42"/>
      <c r="AB27721" s="38"/>
    </row>
    <row r="27722">
      <c r="P27722" s="42"/>
      <c r="AB27722" s="38"/>
    </row>
    <row r="27723">
      <c r="P27723" s="42"/>
      <c r="AB27723" s="38"/>
    </row>
    <row r="27724">
      <c r="P27724" s="42"/>
      <c r="AB27724" s="38"/>
    </row>
    <row r="27725">
      <c r="P27725" s="42"/>
      <c r="AB27725" s="38"/>
    </row>
    <row r="27726">
      <c r="P27726" s="42"/>
      <c r="AB27726" s="38"/>
    </row>
    <row r="27727">
      <c r="P27727" s="42"/>
      <c r="AB27727" s="38"/>
    </row>
    <row r="27728">
      <c r="P27728" s="42"/>
      <c r="AB27728" s="38"/>
    </row>
    <row r="27729">
      <c r="P27729" s="42"/>
      <c r="AB27729" s="38"/>
    </row>
    <row r="27730">
      <c r="P27730" s="42"/>
      <c r="AB27730" s="38"/>
    </row>
    <row r="27731">
      <c r="P27731" s="42"/>
      <c r="AB27731" s="38"/>
    </row>
    <row r="27732">
      <c r="P27732" s="42"/>
      <c r="AB27732" s="38"/>
    </row>
    <row r="27733">
      <c r="P27733" s="42"/>
      <c r="AB27733" s="38"/>
    </row>
    <row r="27734">
      <c r="P27734" s="42"/>
      <c r="AB27734" s="38"/>
    </row>
    <row r="27735">
      <c r="P27735" s="42"/>
      <c r="AB27735" s="38"/>
    </row>
    <row r="27736">
      <c r="P27736" s="42"/>
      <c r="AB27736" s="38"/>
    </row>
    <row r="27737">
      <c r="P27737" s="42"/>
      <c r="AB27737" s="38"/>
    </row>
    <row r="27738">
      <c r="P27738" s="42"/>
      <c r="AB27738" s="38"/>
    </row>
    <row r="27739">
      <c r="P27739" s="42"/>
      <c r="AB27739" s="38"/>
    </row>
    <row r="27740">
      <c r="P27740" s="42"/>
      <c r="AB27740" s="38"/>
    </row>
    <row r="27741">
      <c r="P27741" s="42"/>
      <c r="AB27741" s="38"/>
    </row>
    <row r="27742">
      <c r="P27742" s="42"/>
      <c r="AB27742" s="38"/>
    </row>
    <row r="27743">
      <c r="P27743" s="42"/>
      <c r="AB27743" s="38"/>
    </row>
    <row r="27744">
      <c r="P27744" s="42"/>
      <c r="AB27744" s="38"/>
    </row>
    <row r="27745">
      <c r="P27745" s="42"/>
      <c r="AB27745" s="38"/>
    </row>
    <row r="27746">
      <c r="P27746" s="42"/>
      <c r="AB27746" s="38"/>
    </row>
    <row r="27747">
      <c r="P27747" s="42"/>
      <c r="AB27747" s="38"/>
    </row>
    <row r="27748">
      <c r="P27748" s="42"/>
      <c r="AB27748" s="38"/>
    </row>
    <row r="27749">
      <c r="P27749" s="42"/>
      <c r="AB27749" s="38"/>
    </row>
    <row r="27750">
      <c r="P27750" s="42"/>
      <c r="AB27750" s="38"/>
    </row>
    <row r="27751">
      <c r="P27751" s="42"/>
      <c r="AB27751" s="38"/>
    </row>
    <row r="27752">
      <c r="P27752" s="42"/>
      <c r="AB27752" s="38"/>
    </row>
    <row r="27753">
      <c r="P27753" s="42"/>
      <c r="AB27753" s="38"/>
    </row>
    <row r="27754">
      <c r="P27754" s="42"/>
      <c r="AB27754" s="38"/>
    </row>
    <row r="27755">
      <c r="P27755" s="42"/>
      <c r="AB27755" s="38"/>
    </row>
    <row r="27756">
      <c r="P27756" s="42"/>
      <c r="AB27756" s="38"/>
    </row>
    <row r="27757">
      <c r="P27757" s="42"/>
      <c r="AB27757" s="38"/>
    </row>
    <row r="27758">
      <c r="P27758" s="42"/>
      <c r="AB27758" s="38"/>
    </row>
    <row r="27759">
      <c r="P27759" s="42"/>
      <c r="AB27759" s="38"/>
    </row>
    <row r="27760">
      <c r="P27760" s="42"/>
      <c r="AB27760" s="38"/>
    </row>
    <row r="27761">
      <c r="P27761" s="42"/>
      <c r="AB27761" s="38"/>
    </row>
    <row r="27762">
      <c r="P27762" s="42"/>
      <c r="AB27762" s="38"/>
    </row>
    <row r="27763">
      <c r="P27763" s="42"/>
      <c r="AB27763" s="38"/>
    </row>
    <row r="27764">
      <c r="P27764" s="42"/>
      <c r="AB27764" s="38"/>
    </row>
    <row r="27765">
      <c r="P27765" s="42"/>
      <c r="AB27765" s="38"/>
    </row>
    <row r="27766">
      <c r="P27766" s="42"/>
      <c r="AB27766" s="38"/>
    </row>
    <row r="27767">
      <c r="P27767" s="42"/>
      <c r="AB27767" s="38"/>
    </row>
    <row r="27768">
      <c r="P27768" s="42"/>
      <c r="AB27768" s="38"/>
    </row>
    <row r="27769">
      <c r="P27769" s="42"/>
      <c r="AB27769" s="38"/>
    </row>
    <row r="27770">
      <c r="P27770" s="42"/>
      <c r="AB27770" s="38"/>
    </row>
    <row r="27771">
      <c r="P27771" s="42"/>
      <c r="AB27771" s="38"/>
    </row>
    <row r="27772">
      <c r="P27772" s="42"/>
      <c r="AB27772" s="38"/>
    </row>
    <row r="27773">
      <c r="P27773" s="42"/>
      <c r="AB27773" s="38"/>
    </row>
    <row r="27774">
      <c r="P27774" s="42"/>
      <c r="AB27774" s="38"/>
    </row>
    <row r="27775">
      <c r="P27775" s="42"/>
      <c r="AB27775" s="38"/>
    </row>
    <row r="27776">
      <c r="P27776" s="42"/>
      <c r="AB27776" s="38"/>
    </row>
    <row r="27777">
      <c r="P27777" s="42"/>
      <c r="AB27777" s="38"/>
    </row>
    <row r="27778">
      <c r="P27778" s="42"/>
      <c r="AB27778" s="38"/>
    </row>
    <row r="27779">
      <c r="P27779" s="42"/>
      <c r="AB27779" s="38"/>
    </row>
    <row r="27780">
      <c r="P27780" s="42"/>
      <c r="AB27780" s="38"/>
    </row>
    <row r="27781">
      <c r="P27781" s="42"/>
      <c r="AB27781" s="38"/>
    </row>
    <row r="27782">
      <c r="P27782" s="42"/>
      <c r="AB27782" s="38"/>
    </row>
    <row r="27783">
      <c r="P27783" s="42"/>
      <c r="AB27783" s="38"/>
    </row>
    <row r="27784">
      <c r="P27784" s="42"/>
      <c r="AB27784" s="38"/>
    </row>
    <row r="27785">
      <c r="P27785" s="42"/>
      <c r="AB27785" s="38"/>
    </row>
    <row r="27786">
      <c r="P27786" s="42"/>
      <c r="AB27786" s="38"/>
    </row>
    <row r="27787">
      <c r="P27787" s="42"/>
      <c r="AB27787" s="38"/>
    </row>
    <row r="27788">
      <c r="P27788" s="42"/>
      <c r="AB27788" s="38"/>
    </row>
    <row r="27789">
      <c r="P27789" s="42"/>
      <c r="AB27789" s="38"/>
    </row>
    <row r="27790">
      <c r="P27790" s="42"/>
      <c r="AB27790" s="38"/>
    </row>
    <row r="27791">
      <c r="P27791" s="42"/>
      <c r="AB27791" s="38"/>
    </row>
    <row r="27792">
      <c r="P27792" s="42"/>
      <c r="AB27792" s="38"/>
    </row>
    <row r="27793">
      <c r="P27793" s="42"/>
      <c r="AB27793" s="38"/>
    </row>
    <row r="27794">
      <c r="P27794" s="42"/>
      <c r="AB27794" s="38"/>
    </row>
    <row r="27795">
      <c r="P27795" s="42"/>
      <c r="AB27795" s="38"/>
    </row>
    <row r="27796">
      <c r="P27796" s="42"/>
      <c r="AB27796" s="38"/>
    </row>
    <row r="27797">
      <c r="P27797" s="42"/>
      <c r="AB27797" s="38"/>
    </row>
    <row r="27798">
      <c r="P27798" s="42"/>
      <c r="AB27798" s="38"/>
    </row>
    <row r="27799">
      <c r="P27799" s="42"/>
      <c r="AB27799" s="38"/>
    </row>
    <row r="27800">
      <c r="P27800" s="42"/>
      <c r="AB27800" s="38"/>
    </row>
    <row r="27801">
      <c r="P27801" s="42"/>
      <c r="AB27801" s="38"/>
    </row>
    <row r="27802">
      <c r="P27802" s="42"/>
      <c r="AB27802" s="38"/>
    </row>
    <row r="27803">
      <c r="P27803" s="42"/>
      <c r="AB27803" s="38"/>
    </row>
    <row r="27804">
      <c r="P27804" s="42"/>
      <c r="AB27804" s="38"/>
    </row>
    <row r="27805">
      <c r="P27805" s="42"/>
      <c r="AB27805" s="38"/>
    </row>
    <row r="27806">
      <c r="P27806" s="42"/>
      <c r="AB27806" s="38"/>
    </row>
    <row r="27807">
      <c r="P27807" s="42"/>
      <c r="AB27807" s="38"/>
    </row>
    <row r="27808">
      <c r="P27808" s="42"/>
      <c r="AB27808" s="38"/>
    </row>
    <row r="27809">
      <c r="P27809" s="42"/>
      <c r="AB27809" s="38"/>
    </row>
    <row r="27810">
      <c r="P27810" s="42"/>
      <c r="AB27810" s="38"/>
    </row>
    <row r="27811">
      <c r="P27811" s="42"/>
      <c r="AB27811" s="38"/>
    </row>
    <row r="27812">
      <c r="P27812" s="42"/>
      <c r="AB27812" s="38"/>
    </row>
    <row r="27813">
      <c r="P27813" s="42"/>
      <c r="AB27813" s="38"/>
    </row>
    <row r="27814">
      <c r="P27814" s="42"/>
      <c r="AB27814" s="38"/>
    </row>
    <row r="27815">
      <c r="P27815" s="42"/>
      <c r="AB27815" s="38"/>
    </row>
    <row r="27816">
      <c r="P27816" s="42"/>
      <c r="AB27816" s="38"/>
    </row>
    <row r="27817">
      <c r="P27817" s="42"/>
      <c r="AB27817" s="38"/>
    </row>
    <row r="27818">
      <c r="P27818" s="42"/>
      <c r="AB27818" s="38"/>
    </row>
    <row r="27819">
      <c r="P27819" s="42"/>
      <c r="AB27819" s="38"/>
    </row>
    <row r="27820">
      <c r="P27820" s="42"/>
      <c r="AB27820" s="38"/>
    </row>
    <row r="27821">
      <c r="P27821" s="42"/>
      <c r="AB27821" s="38"/>
    </row>
    <row r="27822">
      <c r="P27822" s="42"/>
      <c r="AB27822" s="38"/>
    </row>
    <row r="27823">
      <c r="P27823" s="42"/>
      <c r="AB27823" s="38"/>
    </row>
    <row r="27824">
      <c r="P27824" s="42"/>
      <c r="AB27824" s="38"/>
    </row>
    <row r="27825">
      <c r="P27825" s="42"/>
      <c r="AB27825" s="38"/>
    </row>
    <row r="27826">
      <c r="P27826" s="42"/>
      <c r="AB27826" s="38"/>
    </row>
    <row r="27827">
      <c r="P27827" s="42"/>
      <c r="AB27827" s="38"/>
    </row>
    <row r="27828">
      <c r="P27828" s="42"/>
      <c r="AB27828" s="38"/>
    </row>
    <row r="27829">
      <c r="P27829" s="42"/>
      <c r="AB27829" s="38"/>
    </row>
    <row r="27830">
      <c r="P27830" s="42"/>
      <c r="AB27830" s="38"/>
    </row>
    <row r="27831">
      <c r="P27831" s="42"/>
      <c r="AB27831" s="38"/>
    </row>
    <row r="27832">
      <c r="P27832" s="42"/>
      <c r="AB27832" s="38"/>
    </row>
    <row r="27833">
      <c r="P27833" s="42"/>
      <c r="AB27833" s="38"/>
    </row>
    <row r="27834">
      <c r="P27834" s="42"/>
      <c r="AB27834" s="38"/>
    </row>
    <row r="27835">
      <c r="P27835" s="42"/>
      <c r="AB27835" s="38"/>
    </row>
    <row r="27836">
      <c r="P27836" s="42"/>
      <c r="AB27836" s="38"/>
    </row>
    <row r="27837">
      <c r="P27837" s="42"/>
      <c r="AB27837" s="38"/>
    </row>
    <row r="27838">
      <c r="P27838" s="42"/>
      <c r="AB27838" s="38"/>
    </row>
    <row r="27839">
      <c r="P27839" s="42"/>
      <c r="AB27839" s="38"/>
    </row>
    <row r="27840">
      <c r="P27840" s="42"/>
      <c r="AB27840" s="38"/>
    </row>
    <row r="27841">
      <c r="P27841" s="42"/>
      <c r="AB27841" s="38"/>
    </row>
    <row r="27842">
      <c r="P27842" s="42"/>
      <c r="AB27842" s="38"/>
    </row>
    <row r="27843">
      <c r="P27843" s="42"/>
      <c r="AB27843" s="38"/>
    </row>
    <row r="27844">
      <c r="P27844" s="42"/>
      <c r="AB27844" s="38"/>
    </row>
    <row r="27845">
      <c r="P27845" s="42"/>
      <c r="AB27845" s="38"/>
    </row>
    <row r="27846">
      <c r="P27846" s="42"/>
      <c r="AB27846" s="38"/>
    </row>
    <row r="27847">
      <c r="P27847" s="42"/>
      <c r="AB27847" s="38"/>
    </row>
    <row r="27848">
      <c r="P27848" s="42"/>
      <c r="AB27848" s="38"/>
    </row>
    <row r="27849">
      <c r="P27849" s="42"/>
      <c r="AB27849" s="38"/>
    </row>
    <row r="27850">
      <c r="P27850" s="42"/>
      <c r="AB27850" s="38"/>
    </row>
    <row r="27851">
      <c r="P27851" s="42"/>
      <c r="AB27851" s="38"/>
    </row>
    <row r="27852">
      <c r="P27852" s="42"/>
      <c r="AB27852" s="38"/>
    </row>
    <row r="27853">
      <c r="P27853" s="42"/>
      <c r="AB27853" s="38"/>
    </row>
    <row r="27854">
      <c r="P27854" s="42"/>
      <c r="AB27854" s="38"/>
    </row>
    <row r="27855">
      <c r="P27855" s="42"/>
      <c r="AB27855" s="38"/>
    </row>
    <row r="27856">
      <c r="P27856" s="42"/>
      <c r="AB27856" s="38"/>
    </row>
    <row r="27857">
      <c r="P27857" s="42"/>
      <c r="AB27857" s="38"/>
    </row>
    <row r="27858">
      <c r="P27858" s="42"/>
      <c r="AB27858" s="38"/>
    </row>
    <row r="27859">
      <c r="P27859" s="42"/>
      <c r="AB27859" s="38"/>
    </row>
    <row r="27860">
      <c r="P27860" s="42"/>
      <c r="AB27860" s="38"/>
    </row>
    <row r="27861">
      <c r="P27861" s="42"/>
      <c r="AB27861" s="38"/>
    </row>
    <row r="27862">
      <c r="P27862" s="42"/>
      <c r="AB27862" s="38"/>
    </row>
    <row r="27863">
      <c r="P27863" s="42"/>
      <c r="AB27863" s="38"/>
    </row>
    <row r="27864">
      <c r="P27864" s="42"/>
      <c r="AB27864" s="38"/>
    </row>
    <row r="27865">
      <c r="P27865" s="42"/>
      <c r="AB27865" s="38"/>
    </row>
    <row r="27866">
      <c r="P27866" s="42"/>
      <c r="AB27866" s="38"/>
    </row>
    <row r="27867">
      <c r="P27867" s="42"/>
      <c r="AB27867" s="38"/>
    </row>
    <row r="27868">
      <c r="P27868" s="42"/>
      <c r="AB27868" s="38"/>
    </row>
    <row r="27869">
      <c r="P27869" s="42"/>
      <c r="AB27869" s="38"/>
    </row>
    <row r="27870">
      <c r="P27870" s="42"/>
      <c r="AB27870" s="38"/>
    </row>
    <row r="27871">
      <c r="P27871" s="42"/>
      <c r="AB27871" s="38"/>
    </row>
    <row r="27872">
      <c r="P27872" s="42"/>
      <c r="AB27872" s="38"/>
    </row>
    <row r="27873">
      <c r="P27873" s="42"/>
      <c r="AB27873" s="38"/>
    </row>
    <row r="27874">
      <c r="P27874" s="42"/>
      <c r="AB27874" s="38"/>
    </row>
    <row r="27875">
      <c r="P27875" s="42"/>
      <c r="AB27875" s="38"/>
    </row>
    <row r="27876">
      <c r="P27876" s="42"/>
      <c r="AB27876" s="38"/>
    </row>
    <row r="27877">
      <c r="P27877" s="42"/>
      <c r="AB27877" s="38"/>
    </row>
    <row r="27878">
      <c r="P27878" s="42"/>
      <c r="AB27878" s="38"/>
    </row>
    <row r="27879">
      <c r="P27879" s="42"/>
      <c r="AB27879" s="38"/>
    </row>
    <row r="27880">
      <c r="P27880" s="42"/>
      <c r="AB27880" s="38"/>
    </row>
    <row r="27881">
      <c r="P27881" s="42"/>
      <c r="AB27881" s="38"/>
    </row>
    <row r="27882">
      <c r="P27882" s="42"/>
      <c r="AB27882" s="38"/>
    </row>
    <row r="27883">
      <c r="P27883" s="42"/>
      <c r="AB27883" s="38"/>
    </row>
    <row r="27884">
      <c r="P27884" s="42"/>
      <c r="AB27884" s="38"/>
    </row>
    <row r="27885">
      <c r="P27885" s="42"/>
      <c r="AB27885" s="38"/>
    </row>
    <row r="27886">
      <c r="P27886" s="42"/>
      <c r="AB27886" s="38"/>
    </row>
    <row r="27887">
      <c r="P27887" s="42"/>
      <c r="AB27887" s="38"/>
    </row>
    <row r="27888">
      <c r="P27888" s="42"/>
      <c r="AB27888" s="38"/>
    </row>
    <row r="27889">
      <c r="P27889" s="42"/>
      <c r="AB27889" s="38"/>
    </row>
    <row r="27890">
      <c r="P27890" s="42"/>
      <c r="AB27890" s="38"/>
    </row>
    <row r="27891">
      <c r="P27891" s="42"/>
      <c r="AB27891" s="38"/>
    </row>
    <row r="27892">
      <c r="P27892" s="42"/>
      <c r="AB27892" s="38"/>
    </row>
    <row r="27893">
      <c r="P27893" s="42"/>
      <c r="AB27893" s="38"/>
    </row>
    <row r="27894">
      <c r="P27894" s="42"/>
      <c r="AB27894" s="38"/>
    </row>
    <row r="27895">
      <c r="P27895" s="42"/>
      <c r="AB27895" s="38"/>
    </row>
    <row r="27896">
      <c r="P27896" s="42"/>
      <c r="AB27896" s="38"/>
    </row>
    <row r="27897">
      <c r="P27897" s="42"/>
      <c r="AB27897" s="38"/>
    </row>
    <row r="27898">
      <c r="P27898" s="42"/>
      <c r="AB27898" s="38"/>
    </row>
    <row r="27899">
      <c r="P27899" s="42"/>
      <c r="AB27899" s="38"/>
    </row>
    <row r="27900">
      <c r="P27900" s="42"/>
      <c r="AB27900" s="38"/>
    </row>
    <row r="27901">
      <c r="P27901" s="42"/>
      <c r="AB27901" s="38"/>
    </row>
    <row r="27902">
      <c r="P27902" s="42"/>
      <c r="AB27902" s="38"/>
    </row>
    <row r="27903">
      <c r="P27903" s="42"/>
      <c r="AB27903" s="38"/>
    </row>
    <row r="27904">
      <c r="P27904" s="42"/>
      <c r="AB27904" s="38"/>
    </row>
    <row r="27905">
      <c r="P27905" s="42"/>
      <c r="AB27905" s="38"/>
    </row>
    <row r="27906">
      <c r="P27906" s="42"/>
      <c r="AB27906" s="38"/>
    </row>
    <row r="27907">
      <c r="P27907" s="42"/>
      <c r="AB27907" s="38"/>
    </row>
    <row r="27908">
      <c r="P27908" s="42"/>
      <c r="AB27908" s="38"/>
    </row>
    <row r="27909">
      <c r="P27909" s="42"/>
      <c r="AB27909" s="38"/>
    </row>
    <row r="27910">
      <c r="P27910" s="42"/>
      <c r="AB27910" s="38"/>
    </row>
    <row r="27911">
      <c r="P27911" s="42"/>
      <c r="AB27911" s="38"/>
    </row>
    <row r="27912">
      <c r="P27912" s="42"/>
      <c r="AB27912" s="38"/>
    </row>
    <row r="27913">
      <c r="P27913" s="42"/>
      <c r="AB27913" s="38"/>
    </row>
    <row r="27914">
      <c r="P27914" s="42"/>
      <c r="AB27914" s="38"/>
    </row>
    <row r="27915">
      <c r="P27915" s="42"/>
      <c r="AB27915" s="38"/>
    </row>
    <row r="27916">
      <c r="P27916" s="42"/>
      <c r="AB27916" s="38"/>
    </row>
    <row r="27917">
      <c r="P27917" s="42"/>
      <c r="AB27917" s="38"/>
    </row>
    <row r="27918">
      <c r="P27918" s="42"/>
      <c r="AB27918" s="38"/>
    </row>
    <row r="27919">
      <c r="P27919" s="42"/>
      <c r="AB27919" s="38"/>
    </row>
    <row r="27920">
      <c r="P27920" s="42"/>
      <c r="AB27920" s="38"/>
    </row>
    <row r="27921">
      <c r="P27921" s="42"/>
      <c r="AB27921" s="38"/>
    </row>
    <row r="27922">
      <c r="P27922" s="42"/>
      <c r="AB27922" s="38"/>
    </row>
    <row r="27923">
      <c r="P27923" s="42"/>
      <c r="AB27923" s="38"/>
    </row>
    <row r="27924">
      <c r="P27924" s="42"/>
      <c r="AB27924" s="38"/>
    </row>
    <row r="27925">
      <c r="P27925" s="42"/>
      <c r="AB27925" s="38"/>
    </row>
    <row r="27926">
      <c r="P27926" s="42"/>
      <c r="AB27926" s="38"/>
    </row>
    <row r="27927">
      <c r="P27927" s="42"/>
      <c r="AB27927" s="38"/>
    </row>
    <row r="27928">
      <c r="P27928" s="42"/>
      <c r="AB27928" s="38"/>
    </row>
    <row r="27929">
      <c r="P27929" s="42"/>
      <c r="AB27929" s="38"/>
    </row>
    <row r="27930">
      <c r="P27930" s="42"/>
      <c r="AB27930" s="38"/>
    </row>
    <row r="27931">
      <c r="P27931" s="42"/>
      <c r="AB27931" s="38"/>
    </row>
    <row r="27932">
      <c r="P27932" s="42"/>
      <c r="AB27932" s="38"/>
    </row>
    <row r="27933">
      <c r="P27933" s="42"/>
      <c r="AB27933" s="38"/>
    </row>
    <row r="27934">
      <c r="P27934" s="42"/>
      <c r="AB27934" s="38"/>
    </row>
    <row r="27935">
      <c r="P27935" s="42"/>
      <c r="AB27935" s="38"/>
    </row>
    <row r="27936">
      <c r="P27936" s="42"/>
      <c r="AB27936" s="38"/>
    </row>
    <row r="27937">
      <c r="P27937" s="42"/>
      <c r="AB27937" s="38"/>
    </row>
    <row r="27938">
      <c r="P27938" s="42"/>
      <c r="AB27938" s="38"/>
    </row>
    <row r="27939">
      <c r="P27939" s="42"/>
      <c r="AB27939" s="38"/>
    </row>
    <row r="27940">
      <c r="P27940" s="42"/>
      <c r="AB27940" s="38"/>
    </row>
    <row r="27941">
      <c r="P27941" s="42"/>
      <c r="AB27941" s="38"/>
    </row>
    <row r="27942">
      <c r="P27942" s="42"/>
      <c r="AB27942" s="38"/>
    </row>
    <row r="27943">
      <c r="P27943" s="42"/>
      <c r="AB27943" s="38"/>
    </row>
    <row r="27944">
      <c r="P27944" s="42"/>
      <c r="AB27944" s="38"/>
    </row>
    <row r="27945">
      <c r="P27945" s="42"/>
      <c r="AB27945" s="38"/>
    </row>
    <row r="27946">
      <c r="P27946" s="42"/>
      <c r="AB27946" s="38"/>
    </row>
    <row r="27947">
      <c r="P27947" s="42"/>
      <c r="AB27947" s="38"/>
    </row>
    <row r="27948">
      <c r="P27948" s="42"/>
      <c r="AB27948" s="38"/>
    </row>
    <row r="27949">
      <c r="P27949" s="42"/>
      <c r="AB27949" s="38"/>
    </row>
    <row r="27950">
      <c r="P27950" s="42"/>
      <c r="AB27950" s="38"/>
    </row>
    <row r="27951">
      <c r="P27951" s="42"/>
      <c r="AB27951" s="38"/>
    </row>
    <row r="27952">
      <c r="P27952" s="42"/>
      <c r="AB27952" s="38"/>
    </row>
    <row r="27953">
      <c r="P27953" s="42"/>
      <c r="AB27953" s="38"/>
    </row>
    <row r="27954">
      <c r="P27954" s="42"/>
      <c r="AB27954" s="38"/>
    </row>
    <row r="27955">
      <c r="P27955" s="42"/>
      <c r="AB27955" s="38"/>
    </row>
    <row r="27956">
      <c r="P27956" s="42"/>
      <c r="AB27956" s="38"/>
    </row>
    <row r="27957">
      <c r="P27957" s="42"/>
      <c r="AB27957" s="38"/>
    </row>
    <row r="27958">
      <c r="P27958" s="42"/>
      <c r="AB27958" s="38"/>
    </row>
    <row r="27959">
      <c r="P27959" s="42"/>
      <c r="AB27959" s="38"/>
    </row>
    <row r="27960">
      <c r="P27960" s="42"/>
      <c r="AB27960" s="38"/>
    </row>
    <row r="27961">
      <c r="P27961" s="42"/>
      <c r="AB27961" s="38"/>
    </row>
    <row r="27962">
      <c r="P27962" s="42"/>
      <c r="AB27962" s="38"/>
    </row>
    <row r="27963">
      <c r="P27963" s="42"/>
      <c r="AB27963" s="38"/>
    </row>
    <row r="27964">
      <c r="P27964" s="42"/>
      <c r="AB27964" s="38"/>
    </row>
    <row r="27965">
      <c r="P27965" s="42"/>
      <c r="AB27965" s="38"/>
    </row>
    <row r="27966">
      <c r="P27966" s="42"/>
      <c r="AB27966" s="38"/>
    </row>
    <row r="27967">
      <c r="P27967" s="42"/>
      <c r="AB27967" s="38"/>
    </row>
    <row r="27968">
      <c r="P27968" s="42"/>
      <c r="AB27968" s="38"/>
    </row>
    <row r="27969">
      <c r="P27969" s="42"/>
      <c r="AB27969" s="38"/>
    </row>
    <row r="27970">
      <c r="P27970" s="42"/>
      <c r="AB27970" s="38"/>
    </row>
    <row r="27971">
      <c r="P27971" s="42"/>
      <c r="AB27971" s="38"/>
    </row>
    <row r="27972">
      <c r="P27972" s="42"/>
      <c r="AB27972" s="38"/>
    </row>
    <row r="27973">
      <c r="P27973" s="42"/>
      <c r="AB27973" s="38"/>
    </row>
    <row r="27974">
      <c r="P27974" s="42"/>
      <c r="AB27974" s="38"/>
    </row>
    <row r="27975">
      <c r="P27975" s="42"/>
      <c r="AB27975" s="38"/>
    </row>
    <row r="27976">
      <c r="P27976" s="42"/>
      <c r="AB27976" s="38"/>
    </row>
    <row r="27977">
      <c r="P27977" s="42"/>
      <c r="AB27977" s="38"/>
    </row>
    <row r="27978">
      <c r="P27978" s="42"/>
      <c r="AB27978" s="38"/>
    </row>
    <row r="27979">
      <c r="P27979" s="42"/>
      <c r="AB27979" s="38"/>
    </row>
    <row r="27980">
      <c r="P27980" s="42"/>
      <c r="AB27980" s="38"/>
    </row>
    <row r="27981">
      <c r="P27981" s="42"/>
      <c r="AB27981" s="38"/>
    </row>
    <row r="27982">
      <c r="P27982" s="42"/>
      <c r="AB27982" s="38"/>
    </row>
    <row r="27983">
      <c r="P27983" s="42"/>
      <c r="AB27983" s="38"/>
    </row>
    <row r="27984">
      <c r="P27984" s="42"/>
      <c r="AB27984" s="38"/>
    </row>
    <row r="27985">
      <c r="P27985" s="42"/>
      <c r="AB27985" s="38"/>
    </row>
    <row r="27986">
      <c r="P27986" s="42"/>
      <c r="AB27986" s="38"/>
    </row>
    <row r="27987">
      <c r="P27987" s="42"/>
      <c r="AB27987" s="38"/>
    </row>
    <row r="27988">
      <c r="P27988" s="42"/>
      <c r="AB27988" s="38"/>
    </row>
    <row r="27989">
      <c r="P27989" s="42"/>
      <c r="AB27989" s="38"/>
    </row>
    <row r="27990">
      <c r="P27990" s="42"/>
      <c r="AB27990" s="38"/>
    </row>
    <row r="27991">
      <c r="P27991" s="42"/>
      <c r="AB27991" s="38"/>
    </row>
    <row r="27992">
      <c r="P27992" s="42"/>
      <c r="AB27992" s="38"/>
    </row>
    <row r="27993">
      <c r="P27993" s="42"/>
      <c r="AB27993" s="38"/>
    </row>
    <row r="27994">
      <c r="P27994" s="42"/>
      <c r="AB27994" s="38"/>
    </row>
    <row r="27995">
      <c r="P27995" s="42"/>
      <c r="AB27995" s="38"/>
    </row>
    <row r="27996">
      <c r="P27996" s="42"/>
      <c r="AB27996" s="38"/>
    </row>
    <row r="27997">
      <c r="P27997" s="42"/>
      <c r="AB27997" s="38"/>
    </row>
    <row r="27998">
      <c r="P27998" s="42"/>
      <c r="AB27998" s="38"/>
    </row>
    <row r="27999">
      <c r="P27999" s="42"/>
      <c r="AB27999" s="38"/>
    </row>
    <row r="28000">
      <c r="P28000" s="42"/>
      <c r="AB28000" s="38"/>
    </row>
    <row r="28001">
      <c r="P28001" s="42"/>
      <c r="AB28001" s="38"/>
    </row>
    <row r="28002">
      <c r="P28002" s="42"/>
      <c r="AB28002" s="38"/>
    </row>
    <row r="28003">
      <c r="P28003" s="42"/>
      <c r="AB28003" s="38"/>
    </row>
    <row r="28004">
      <c r="P28004" s="42"/>
      <c r="AB28004" s="38"/>
    </row>
    <row r="28005">
      <c r="P28005" s="42"/>
      <c r="AB28005" s="38"/>
    </row>
    <row r="28006">
      <c r="P28006" s="42"/>
      <c r="AB28006" s="38"/>
    </row>
    <row r="28007">
      <c r="P28007" s="42"/>
      <c r="AB28007" s="38"/>
    </row>
    <row r="28008">
      <c r="P28008" s="42"/>
      <c r="AB28008" s="38"/>
    </row>
    <row r="28009">
      <c r="P28009" s="42"/>
      <c r="AB28009" s="38"/>
    </row>
    <row r="28010">
      <c r="P28010" s="42"/>
      <c r="AB28010" s="38"/>
    </row>
    <row r="28011">
      <c r="P28011" s="42"/>
      <c r="AB28011" s="38"/>
    </row>
    <row r="28012">
      <c r="P28012" s="42"/>
      <c r="AB28012" s="38"/>
    </row>
    <row r="28013">
      <c r="P28013" s="42"/>
      <c r="AB28013" s="38"/>
    </row>
    <row r="28014">
      <c r="P28014" s="42"/>
      <c r="AB28014" s="38"/>
    </row>
    <row r="28015">
      <c r="P28015" s="42"/>
      <c r="AB28015" s="38"/>
    </row>
    <row r="28016">
      <c r="P28016" s="42"/>
      <c r="AB28016" s="38"/>
    </row>
    <row r="28017">
      <c r="P28017" s="42"/>
      <c r="AB28017" s="38"/>
    </row>
    <row r="28018">
      <c r="P28018" s="42"/>
      <c r="AB28018" s="38"/>
    </row>
    <row r="28019">
      <c r="P28019" s="42"/>
      <c r="AB28019" s="38"/>
    </row>
    <row r="28020">
      <c r="P28020" s="42"/>
      <c r="AB28020" s="38"/>
    </row>
    <row r="28021">
      <c r="P28021" s="42"/>
      <c r="AB28021" s="38"/>
    </row>
    <row r="28022">
      <c r="P28022" s="42"/>
      <c r="AB28022" s="38"/>
    </row>
    <row r="28023">
      <c r="P28023" s="42"/>
      <c r="AB28023" s="38"/>
    </row>
    <row r="28024">
      <c r="P28024" s="42"/>
      <c r="AB28024" s="38"/>
    </row>
    <row r="28025">
      <c r="P28025" s="42"/>
      <c r="AB28025" s="38"/>
    </row>
    <row r="28026">
      <c r="P28026" s="42"/>
      <c r="AB28026" s="38"/>
    </row>
    <row r="28027">
      <c r="P28027" s="42"/>
      <c r="AB28027" s="38"/>
    </row>
    <row r="28028">
      <c r="P28028" s="42"/>
      <c r="AB28028" s="38"/>
    </row>
    <row r="28029">
      <c r="P28029" s="42"/>
      <c r="AB28029" s="38"/>
    </row>
    <row r="28030">
      <c r="P28030" s="42"/>
      <c r="AB28030" s="38"/>
    </row>
    <row r="28031">
      <c r="P28031" s="42"/>
      <c r="AB28031" s="38"/>
    </row>
    <row r="28032">
      <c r="P28032" s="42"/>
      <c r="AB28032" s="38"/>
    </row>
    <row r="28033">
      <c r="P28033" s="42"/>
      <c r="AB28033" s="38"/>
    </row>
    <row r="28034">
      <c r="P28034" s="42"/>
      <c r="AB28034" s="38"/>
    </row>
    <row r="28035">
      <c r="P28035" s="42"/>
      <c r="AB28035" s="38"/>
    </row>
    <row r="28036">
      <c r="P28036" s="42"/>
      <c r="AB28036" s="38"/>
    </row>
    <row r="28037">
      <c r="P28037" s="42"/>
      <c r="AB28037" s="38"/>
    </row>
    <row r="28038">
      <c r="P28038" s="42"/>
      <c r="AB28038" s="38"/>
    </row>
    <row r="28039">
      <c r="P28039" s="42"/>
      <c r="AB28039" s="38"/>
    </row>
    <row r="28040">
      <c r="P28040" s="42"/>
      <c r="AB28040" s="38"/>
    </row>
    <row r="28041">
      <c r="P28041" s="42"/>
      <c r="AB28041" s="38"/>
    </row>
    <row r="28042">
      <c r="P28042" s="42"/>
      <c r="AB28042" s="38"/>
    </row>
    <row r="28043">
      <c r="P28043" s="42"/>
      <c r="AB28043" s="38"/>
    </row>
    <row r="28044">
      <c r="P28044" s="42"/>
      <c r="AB28044" s="38"/>
    </row>
    <row r="28045">
      <c r="P28045" s="42"/>
      <c r="AB28045" s="38"/>
    </row>
    <row r="28046">
      <c r="P28046" s="42"/>
      <c r="AB28046" s="38"/>
    </row>
    <row r="28047">
      <c r="P28047" s="42"/>
      <c r="AB28047" s="38"/>
    </row>
    <row r="28048">
      <c r="P28048" s="42"/>
      <c r="AB28048" s="38"/>
    </row>
    <row r="28049">
      <c r="P28049" s="42"/>
      <c r="AB28049" s="38"/>
    </row>
    <row r="28050">
      <c r="P28050" s="42"/>
      <c r="AB28050" s="38"/>
    </row>
    <row r="28051">
      <c r="P28051" s="42"/>
      <c r="AB28051" s="38"/>
    </row>
    <row r="28052">
      <c r="P28052" s="42"/>
      <c r="AB28052" s="38"/>
    </row>
    <row r="28053">
      <c r="P28053" s="42"/>
      <c r="AB28053" s="38"/>
    </row>
    <row r="28054">
      <c r="P28054" s="42"/>
      <c r="AB28054" s="38"/>
    </row>
    <row r="28055">
      <c r="P28055" s="42"/>
      <c r="AB28055" s="38"/>
    </row>
    <row r="28056">
      <c r="P28056" s="42"/>
      <c r="AB28056" s="38"/>
    </row>
    <row r="28057">
      <c r="P28057" s="42"/>
      <c r="AB28057" s="38"/>
    </row>
    <row r="28058">
      <c r="P28058" s="42"/>
      <c r="AB28058" s="38"/>
    </row>
    <row r="28059">
      <c r="P28059" s="42"/>
      <c r="AB28059" s="38"/>
    </row>
    <row r="28060">
      <c r="P28060" s="42"/>
      <c r="AB28060" s="38"/>
    </row>
    <row r="28061">
      <c r="P28061" s="42"/>
      <c r="AB28061" s="38"/>
    </row>
    <row r="28062">
      <c r="P28062" s="42"/>
      <c r="AB28062" s="38"/>
    </row>
    <row r="28063">
      <c r="P28063" s="42"/>
      <c r="AB28063" s="38"/>
    </row>
    <row r="28064">
      <c r="P28064" s="42"/>
      <c r="AB28064" s="38"/>
    </row>
    <row r="28065">
      <c r="P28065" s="42"/>
      <c r="AB28065" s="38"/>
    </row>
    <row r="28066">
      <c r="P28066" s="42"/>
      <c r="AB28066" s="38"/>
    </row>
    <row r="28067">
      <c r="P28067" s="42"/>
      <c r="AB28067" s="38"/>
    </row>
    <row r="28068">
      <c r="P28068" s="42"/>
      <c r="AB28068" s="38"/>
    </row>
    <row r="28069">
      <c r="P28069" s="42"/>
      <c r="AB28069" s="38"/>
    </row>
    <row r="28070">
      <c r="P28070" s="42"/>
      <c r="AB28070" s="38"/>
    </row>
    <row r="28071">
      <c r="P28071" s="42"/>
      <c r="AB28071" s="38"/>
    </row>
    <row r="28072">
      <c r="P28072" s="42"/>
      <c r="AB28072" s="38"/>
    </row>
    <row r="28073">
      <c r="P28073" s="42"/>
      <c r="AB28073" s="38"/>
    </row>
    <row r="28074">
      <c r="P28074" s="42"/>
      <c r="AB28074" s="38"/>
    </row>
    <row r="28075">
      <c r="P28075" s="42"/>
      <c r="AB28075" s="38"/>
    </row>
    <row r="28076">
      <c r="P28076" s="42"/>
      <c r="AB28076" s="38"/>
    </row>
    <row r="28077">
      <c r="P28077" s="42"/>
      <c r="AB28077" s="38"/>
    </row>
    <row r="28078">
      <c r="P28078" s="42"/>
      <c r="AB28078" s="38"/>
    </row>
    <row r="28079">
      <c r="P28079" s="42"/>
      <c r="AB28079" s="38"/>
    </row>
    <row r="28080">
      <c r="P28080" s="42"/>
      <c r="AB28080" s="38"/>
    </row>
    <row r="28081">
      <c r="P28081" s="42"/>
      <c r="AB28081" s="38"/>
    </row>
    <row r="28082">
      <c r="P28082" s="42"/>
      <c r="AB28082" s="38"/>
    </row>
    <row r="28083">
      <c r="P28083" s="42"/>
      <c r="AB28083" s="38"/>
    </row>
    <row r="28084">
      <c r="P28084" s="42"/>
      <c r="AB28084" s="38"/>
    </row>
    <row r="28085">
      <c r="P28085" s="42"/>
      <c r="AB28085" s="38"/>
    </row>
    <row r="28086">
      <c r="P28086" s="42"/>
      <c r="AB28086" s="38"/>
    </row>
    <row r="28087">
      <c r="P28087" s="42"/>
      <c r="AB28087" s="38"/>
    </row>
    <row r="28088">
      <c r="P28088" s="42"/>
      <c r="AB28088" s="38"/>
    </row>
    <row r="28089">
      <c r="P28089" s="42"/>
      <c r="AB28089" s="38"/>
    </row>
    <row r="28090">
      <c r="P28090" s="42"/>
      <c r="AB28090" s="38"/>
    </row>
    <row r="28091">
      <c r="P28091" s="42"/>
      <c r="AB28091" s="38"/>
    </row>
    <row r="28092">
      <c r="P28092" s="42"/>
      <c r="AB28092" s="38"/>
    </row>
    <row r="28093">
      <c r="P28093" s="42"/>
      <c r="AB28093" s="38"/>
    </row>
    <row r="28094">
      <c r="P28094" s="42"/>
      <c r="AB28094" s="38"/>
    </row>
    <row r="28095">
      <c r="P28095" s="42"/>
      <c r="AB28095" s="38"/>
    </row>
    <row r="28096">
      <c r="P28096" s="42"/>
      <c r="AB28096" s="38"/>
    </row>
    <row r="28097">
      <c r="P28097" s="42"/>
      <c r="AB28097" s="38"/>
    </row>
    <row r="28098">
      <c r="P28098" s="42"/>
      <c r="AB28098" s="38"/>
    </row>
    <row r="28099">
      <c r="P28099" s="42"/>
      <c r="AB28099" s="38"/>
    </row>
    <row r="28100">
      <c r="P28100" s="42"/>
      <c r="AB28100" s="38"/>
    </row>
    <row r="28101">
      <c r="P28101" s="42"/>
      <c r="AB28101" s="38"/>
    </row>
    <row r="28102">
      <c r="P28102" s="42"/>
      <c r="AB28102" s="38"/>
    </row>
    <row r="28103">
      <c r="P28103" s="42"/>
      <c r="AB28103" s="38"/>
    </row>
    <row r="28104">
      <c r="P28104" s="42"/>
      <c r="AB28104" s="38"/>
    </row>
    <row r="28105">
      <c r="P28105" s="42"/>
      <c r="AB28105" s="38"/>
    </row>
    <row r="28106">
      <c r="P28106" s="42"/>
      <c r="AB28106" s="38"/>
    </row>
    <row r="28107">
      <c r="P28107" s="42"/>
      <c r="AB28107" s="38"/>
    </row>
    <row r="28108">
      <c r="P28108" s="42"/>
      <c r="AB28108" s="38"/>
    </row>
    <row r="28109">
      <c r="P28109" s="42"/>
      <c r="AB28109" s="38"/>
    </row>
    <row r="28110">
      <c r="P28110" s="42"/>
      <c r="AB28110" s="38"/>
    </row>
    <row r="28111">
      <c r="P28111" s="42"/>
      <c r="AB28111" s="38"/>
    </row>
    <row r="28112">
      <c r="P28112" s="42"/>
      <c r="AB28112" s="38"/>
    </row>
    <row r="28113">
      <c r="P28113" s="42"/>
      <c r="AB28113" s="38"/>
    </row>
    <row r="28114">
      <c r="P28114" s="42"/>
      <c r="AB28114" s="38"/>
    </row>
    <row r="28115">
      <c r="P28115" s="42"/>
      <c r="AB28115" s="38"/>
    </row>
    <row r="28116">
      <c r="P28116" s="42"/>
      <c r="AB28116" s="38"/>
    </row>
    <row r="28117">
      <c r="P28117" s="42"/>
      <c r="AB28117" s="38"/>
    </row>
    <row r="28118">
      <c r="P28118" s="42"/>
      <c r="AB28118" s="38"/>
    </row>
    <row r="28119">
      <c r="P28119" s="42"/>
      <c r="AB28119" s="38"/>
    </row>
    <row r="28120">
      <c r="P28120" s="42"/>
      <c r="AB28120" s="38"/>
    </row>
    <row r="28121">
      <c r="P28121" s="42"/>
      <c r="AB28121" s="38"/>
    </row>
    <row r="28122">
      <c r="P28122" s="42"/>
      <c r="AB28122" s="38"/>
    </row>
    <row r="28123">
      <c r="P28123" s="42"/>
      <c r="AB28123" s="38"/>
    </row>
    <row r="28124">
      <c r="P28124" s="42"/>
      <c r="AB28124" s="38"/>
    </row>
    <row r="28125">
      <c r="P28125" s="42"/>
      <c r="AB28125" s="38"/>
    </row>
    <row r="28126">
      <c r="P28126" s="42"/>
      <c r="AB28126" s="38"/>
    </row>
    <row r="28127">
      <c r="P28127" s="42"/>
      <c r="AB28127" s="38"/>
    </row>
    <row r="28128">
      <c r="P28128" s="42"/>
      <c r="AB28128" s="38"/>
    </row>
    <row r="28129">
      <c r="P28129" s="42"/>
      <c r="AB28129" s="38"/>
    </row>
    <row r="28130">
      <c r="P28130" s="42"/>
      <c r="AB28130" s="38"/>
    </row>
    <row r="28131">
      <c r="P28131" s="42"/>
      <c r="AB28131" s="38"/>
    </row>
    <row r="28132">
      <c r="P28132" s="42"/>
      <c r="AB28132" s="38"/>
    </row>
    <row r="28133">
      <c r="P28133" s="42"/>
      <c r="AB28133" s="38"/>
    </row>
    <row r="28134">
      <c r="P28134" s="42"/>
      <c r="AB28134" s="38"/>
    </row>
    <row r="28135">
      <c r="P28135" s="42"/>
      <c r="AB28135" s="38"/>
    </row>
    <row r="28136">
      <c r="P28136" s="42"/>
      <c r="AB28136" s="38"/>
    </row>
    <row r="28137">
      <c r="P28137" s="42"/>
      <c r="AB28137" s="38"/>
    </row>
    <row r="28138">
      <c r="P28138" s="42"/>
      <c r="AB28138" s="38"/>
    </row>
    <row r="28139">
      <c r="P28139" s="42"/>
      <c r="AB28139" s="38"/>
    </row>
    <row r="28140">
      <c r="P28140" s="42"/>
      <c r="AB28140" s="38"/>
    </row>
    <row r="28141">
      <c r="P28141" s="42"/>
      <c r="AB28141" s="38"/>
    </row>
    <row r="28142">
      <c r="P28142" s="42"/>
      <c r="AB28142" s="38"/>
    </row>
    <row r="28143">
      <c r="P28143" s="42"/>
      <c r="AB28143" s="38"/>
    </row>
    <row r="28144">
      <c r="P28144" s="42"/>
      <c r="AB28144" s="38"/>
    </row>
    <row r="28145">
      <c r="P28145" s="42"/>
      <c r="AB28145" s="38"/>
    </row>
    <row r="28146">
      <c r="P28146" s="42"/>
      <c r="AB28146" s="38"/>
    </row>
    <row r="28147">
      <c r="P28147" s="42"/>
      <c r="AB28147" s="38"/>
    </row>
    <row r="28148">
      <c r="P28148" s="42"/>
      <c r="AB28148" s="38"/>
    </row>
    <row r="28149">
      <c r="P28149" s="42"/>
      <c r="AB28149" s="38"/>
    </row>
    <row r="28150">
      <c r="P28150" s="42"/>
      <c r="AB28150" s="38"/>
    </row>
    <row r="28151">
      <c r="P28151" s="42"/>
      <c r="AB28151" s="38"/>
    </row>
    <row r="28152">
      <c r="P28152" s="42"/>
      <c r="AB28152" s="38"/>
    </row>
    <row r="28153">
      <c r="P28153" s="42"/>
      <c r="AB28153" s="38"/>
    </row>
    <row r="28154">
      <c r="P28154" s="42"/>
      <c r="AB28154" s="38"/>
    </row>
    <row r="28155">
      <c r="P28155" s="42"/>
      <c r="AB28155" s="38"/>
    </row>
    <row r="28156">
      <c r="P28156" s="42"/>
      <c r="AB28156" s="38"/>
    </row>
    <row r="28157">
      <c r="P28157" s="42"/>
      <c r="AB28157" s="38"/>
    </row>
    <row r="28158">
      <c r="P28158" s="42"/>
      <c r="AB28158" s="38"/>
    </row>
    <row r="28159">
      <c r="P28159" s="42"/>
      <c r="AB28159" s="38"/>
    </row>
    <row r="28160">
      <c r="P28160" s="42"/>
      <c r="AB28160" s="38"/>
    </row>
    <row r="28161">
      <c r="P28161" s="42"/>
      <c r="AB28161" s="38"/>
    </row>
    <row r="28162">
      <c r="P28162" s="42"/>
      <c r="AB28162" s="38"/>
    </row>
    <row r="28163">
      <c r="P28163" s="42"/>
      <c r="AB28163" s="38"/>
    </row>
    <row r="28164">
      <c r="P28164" s="42"/>
      <c r="AB28164" s="38"/>
    </row>
    <row r="28165">
      <c r="P28165" s="42"/>
      <c r="AB28165" s="38"/>
    </row>
    <row r="28166">
      <c r="P28166" s="42"/>
      <c r="AB28166" s="38"/>
    </row>
    <row r="28167">
      <c r="P28167" s="42"/>
      <c r="AB28167" s="38"/>
    </row>
    <row r="28168">
      <c r="P28168" s="42"/>
      <c r="AB28168" s="38"/>
    </row>
    <row r="28169">
      <c r="P28169" s="42"/>
      <c r="AB28169" s="38"/>
    </row>
    <row r="28170">
      <c r="P28170" s="42"/>
      <c r="AB28170" s="38"/>
    </row>
    <row r="28171">
      <c r="P28171" s="42"/>
      <c r="AB28171" s="38"/>
    </row>
    <row r="28172">
      <c r="P28172" s="42"/>
      <c r="AB28172" s="38"/>
    </row>
    <row r="28173">
      <c r="P28173" s="42"/>
      <c r="AB28173" s="38"/>
    </row>
    <row r="28174">
      <c r="P28174" s="42"/>
      <c r="AB28174" s="38"/>
    </row>
    <row r="28175">
      <c r="P28175" s="42"/>
      <c r="AB28175" s="38"/>
    </row>
    <row r="28176">
      <c r="P28176" s="42"/>
      <c r="AB28176" s="38"/>
    </row>
    <row r="28177">
      <c r="P28177" s="42"/>
      <c r="AB28177" s="38"/>
    </row>
    <row r="28178">
      <c r="P28178" s="42"/>
      <c r="AB28178" s="38"/>
    </row>
    <row r="28179">
      <c r="P28179" s="42"/>
      <c r="AB28179" s="38"/>
    </row>
    <row r="28180">
      <c r="P28180" s="42"/>
      <c r="AB28180" s="38"/>
    </row>
    <row r="28181">
      <c r="P28181" s="42"/>
      <c r="AB28181" s="38"/>
    </row>
    <row r="28182">
      <c r="P28182" s="42"/>
      <c r="AB28182" s="38"/>
    </row>
    <row r="28183">
      <c r="P28183" s="42"/>
      <c r="AB28183" s="38"/>
    </row>
    <row r="28184">
      <c r="P28184" s="42"/>
      <c r="AB28184" s="38"/>
    </row>
    <row r="28185">
      <c r="P28185" s="42"/>
      <c r="AB28185" s="38"/>
    </row>
    <row r="28186">
      <c r="P28186" s="42"/>
      <c r="AB28186" s="38"/>
    </row>
    <row r="28187">
      <c r="P28187" s="42"/>
      <c r="AB28187" s="38"/>
    </row>
    <row r="28188">
      <c r="P28188" s="42"/>
      <c r="AB28188" s="38"/>
    </row>
    <row r="28189">
      <c r="P28189" s="42"/>
      <c r="AB28189" s="38"/>
    </row>
    <row r="28190">
      <c r="P28190" s="42"/>
      <c r="AB28190" s="38"/>
    </row>
    <row r="28191">
      <c r="P28191" s="42"/>
      <c r="AB28191" s="38"/>
    </row>
    <row r="28192">
      <c r="P28192" s="42"/>
      <c r="AB28192" s="38"/>
    </row>
    <row r="28193">
      <c r="P28193" s="42"/>
      <c r="AB28193" s="38"/>
    </row>
    <row r="28194">
      <c r="P28194" s="42"/>
      <c r="AB28194" s="38"/>
    </row>
    <row r="28195">
      <c r="P28195" s="42"/>
      <c r="AB28195" s="38"/>
    </row>
    <row r="28196">
      <c r="P28196" s="42"/>
      <c r="AB28196" s="38"/>
    </row>
    <row r="28197">
      <c r="P28197" s="42"/>
      <c r="AB28197" s="38"/>
    </row>
    <row r="28198">
      <c r="P28198" s="42"/>
      <c r="AB28198" s="38"/>
    </row>
    <row r="28199">
      <c r="P28199" s="42"/>
      <c r="AB28199" s="38"/>
    </row>
    <row r="28200">
      <c r="P28200" s="42"/>
      <c r="AB28200" s="38"/>
    </row>
    <row r="28201">
      <c r="P28201" s="42"/>
      <c r="AB28201" s="38"/>
    </row>
    <row r="28202">
      <c r="P28202" s="42"/>
      <c r="AB28202" s="38"/>
    </row>
    <row r="28203">
      <c r="P28203" s="42"/>
      <c r="AB28203" s="38"/>
    </row>
    <row r="28204">
      <c r="P28204" s="42"/>
      <c r="AB28204" s="38"/>
    </row>
    <row r="28205">
      <c r="P28205" s="42"/>
      <c r="AB28205" s="38"/>
    </row>
    <row r="28206">
      <c r="P28206" s="42"/>
      <c r="AB28206" s="38"/>
    </row>
    <row r="28207">
      <c r="P28207" s="42"/>
      <c r="AB28207" s="38"/>
    </row>
    <row r="28208">
      <c r="P28208" s="42"/>
      <c r="AB28208" s="38"/>
    </row>
    <row r="28209">
      <c r="P28209" s="42"/>
      <c r="AB28209" s="38"/>
    </row>
    <row r="28210">
      <c r="P28210" s="42"/>
      <c r="AB28210" s="38"/>
    </row>
    <row r="28211">
      <c r="P28211" s="42"/>
      <c r="AB28211" s="38"/>
    </row>
    <row r="28212">
      <c r="P28212" s="42"/>
      <c r="AB28212" s="38"/>
    </row>
    <row r="28213">
      <c r="P28213" s="42"/>
      <c r="AB28213" s="38"/>
    </row>
    <row r="28214">
      <c r="P28214" s="42"/>
      <c r="AB28214" s="38"/>
    </row>
    <row r="28215">
      <c r="P28215" s="42"/>
      <c r="AB28215" s="38"/>
    </row>
    <row r="28216">
      <c r="P28216" s="42"/>
      <c r="AB28216" s="38"/>
    </row>
    <row r="28217">
      <c r="P28217" s="42"/>
      <c r="AB28217" s="38"/>
    </row>
    <row r="28218">
      <c r="P28218" s="42"/>
      <c r="AB28218" s="38"/>
    </row>
    <row r="28219">
      <c r="P28219" s="42"/>
      <c r="AB28219" s="38"/>
    </row>
    <row r="28220">
      <c r="P28220" s="42"/>
      <c r="AB28220" s="38"/>
    </row>
    <row r="28221">
      <c r="P28221" s="42"/>
      <c r="AB28221" s="38"/>
    </row>
    <row r="28222">
      <c r="P28222" s="42"/>
      <c r="AB28222" s="38"/>
    </row>
    <row r="28223">
      <c r="P28223" s="42"/>
      <c r="AB28223" s="38"/>
    </row>
    <row r="28224">
      <c r="P28224" s="42"/>
      <c r="AB28224" s="38"/>
    </row>
    <row r="28225">
      <c r="P28225" s="42"/>
      <c r="AB28225" s="38"/>
    </row>
    <row r="28226">
      <c r="P28226" s="42"/>
      <c r="AB28226" s="38"/>
    </row>
    <row r="28227">
      <c r="P28227" s="42"/>
      <c r="AB28227" s="38"/>
    </row>
    <row r="28228">
      <c r="P28228" s="42"/>
      <c r="AB28228" s="38"/>
    </row>
    <row r="28229">
      <c r="P28229" s="42"/>
      <c r="AB28229" s="38"/>
    </row>
    <row r="28230">
      <c r="P28230" s="42"/>
      <c r="AB28230" s="38"/>
    </row>
    <row r="28231">
      <c r="P28231" s="42"/>
      <c r="AB28231" s="38"/>
    </row>
    <row r="28232">
      <c r="P28232" s="42"/>
      <c r="AB28232" s="38"/>
    </row>
    <row r="28233">
      <c r="P28233" s="42"/>
      <c r="AB28233" s="38"/>
    </row>
    <row r="28234">
      <c r="P28234" s="42"/>
      <c r="AB28234" s="38"/>
    </row>
    <row r="28235">
      <c r="P28235" s="42"/>
      <c r="AB28235" s="38"/>
    </row>
    <row r="28236">
      <c r="P28236" s="42"/>
      <c r="AB28236" s="38"/>
    </row>
    <row r="28237">
      <c r="P28237" s="42"/>
      <c r="AB28237" s="38"/>
    </row>
    <row r="28238">
      <c r="P28238" s="42"/>
      <c r="AB28238" s="38"/>
    </row>
    <row r="28239">
      <c r="P28239" s="42"/>
      <c r="AB28239" s="38"/>
    </row>
    <row r="28240">
      <c r="P28240" s="42"/>
      <c r="AB28240" s="38"/>
    </row>
    <row r="28241">
      <c r="P28241" s="42"/>
      <c r="AB28241" s="38"/>
    </row>
    <row r="28242">
      <c r="P28242" s="42"/>
      <c r="AB28242" s="38"/>
    </row>
    <row r="28243">
      <c r="P28243" s="42"/>
      <c r="AB28243" s="38"/>
    </row>
    <row r="28244">
      <c r="P28244" s="42"/>
      <c r="AB28244" s="38"/>
    </row>
    <row r="28245">
      <c r="P28245" s="42"/>
      <c r="AB28245" s="38"/>
    </row>
    <row r="28246">
      <c r="P28246" s="42"/>
      <c r="AB28246" s="38"/>
    </row>
    <row r="28247">
      <c r="P28247" s="42"/>
      <c r="AB28247" s="38"/>
    </row>
    <row r="28248">
      <c r="P28248" s="42"/>
      <c r="AB28248" s="38"/>
    </row>
    <row r="28249">
      <c r="P28249" s="42"/>
      <c r="AB28249" s="38"/>
    </row>
    <row r="28250">
      <c r="P28250" s="42"/>
      <c r="AB28250" s="38"/>
    </row>
    <row r="28251">
      <c r="P28251" s="42"/>
      <c r="AB28251" s="38"/>
    </row>
    <row r="28252">
      <c r="P28252" s="42"/>
      <c r="AB28252" s="38"/>
    </row>
    <row r="28253">
      <c r="P28253" s="42"/>
      <c r="AB28253" s="38"/>
    </row>
    <row r="28254">
      <c r="P28254" s="42"/>
      <c r="AB28254" s="38"/>
    </row>
    <row r="28255">
      <c r="P28255" s="42"/>
      <c r="AB28255" s="38"/>
    </row>
    <row r="28256">
      <c r="P28256" s="42"/>
      <c r="AB28256" s="38"/>
    </row>
    <row r="28257">
      <c r="P28257" s="42"/>
      <c r="AB28257" s="38"/>
    </row>
    <row r="28258">
      <c r="P28258" s="42"/>
      <c r="AB28258" s="38"/>
    </row>
    <row r="28259">
      <c r="P28259" s="42"/>
      <c r="AB28259" s="38"/>
    </row>
    <row r="28260">
      <c r="P28260" s="42"/>
      <c r="AB28260" s="38"/>
    </row>
    <row r="28261">
      <c r="P28261" s="42"/>
      <c r="AB28261" s="38"/>
    </row>
    <row r="28262">
      <c r="P28262" s="42"/>
      <c r="AB28262" s="38"/>
    </row>
    <row r="28263">
      <c r="P28263" s="42"/>
      <c r="AB28263" s="38"/>
    </row>
    <row r="28264">
      <c r="P28264" s="42"/>
      <c r="AB28264" s="38"/>
    </row>
    <row r="28265">
      <c r="P28265" s="42"/>
      <c r="AB28265" s="38"/>
    </row>
    <row r="28266">
      <c r="P28266" s="42"/>
      <c r="AB28266" s="38"/>
    </row>
    <row r="28267">
      <c r="P28267" s="42"/>
      <c r="AB28267" s="38"/>
    </row>
    <row r="28268">
      <c r="P28268" s="42"/>
      <c r="AB28268" s="38"/>
    </row>
    <row r="28269">
      <c r="P28269" s="42"/>
      <c r="AB28269" s="38"/>
    </row>
    <row r="28270">
      <c r="P28270" s="42"/>
      <c r="AB28270" s="38"/>
    </row>
    <row r="28271">
      <c r="P28271" s="42"/>
      <c r="AB28271" s="38"/>
    </row>
    <row r="28272">
      <c r="P28272" s="42"/>
      <c r="AB28272" s="38"/>
    </row>
    <row r="28273">
      <c r="P28273" s="42"/>
      <c r="AB28273" s="38"/>
    </row>
    <row r="28274">
      <c r="P28274" s="42"/>
      <c r="AB28274" s="38"/>
    </row>
    <row r="28275">
      <c r="P28275" s="42"/>
      <c r="AB28275" s="38"/>
    </row>
    <row r="28276">
      <c r="P28276" s="42"/>
      <c r="AB28276" s="38"/>
    </row>
    <row r="28277">
      <c r="P28277" s="42"/>
      <c r="AB28277" s="38"/>
    </row>
    <row r="28278">
      <c r="P28278" s="42"/>
      <c r="AB28278" s="38"/>
    </row>
    <row r="28279">
      <c r="P28279" s="42"/>
      <c r="AB28279" s="38"/>
    </row>
    <row r="28280">
      <c r="P28280" s="42"/>
      <c r="AB28280" s="38"/>
    </row>
    <row r="28281">
      <c r="P28281" s="42"/>
      <c r="AB28281" s="38"/>
    </row>
    <row r="28282">
      <c r="P28282" s="42"/>
      <c r="AB28282" s="38"/>
    </row>
    <row r="28283">
      <c r="P28283" s="42"/>
      <c r="AB28283" s="38"/>
    </row>
    <row r="28284">
      <c r="P28284" s="42"/>
      <c r="AB28284" s="38"/>
    </row>
    <row r="28285">
      <c r="P28285" s="42"/>
      <c r="AB28285" s="38"/>
    </row>
    <row r="28286">
      <c r="P28286" s="42"/>
      <c r="AB28286" s="38"/>
    </row>
    <row r="28287">
      <c r="P28287" s="42"/>
      <c r="AB28287" s="38"/>
    </row>
    <row r="28288">
      <c r="P28288" s="42"/>
      <c r="AB28288" s="38"/>
    </row>
    <row r="28289">
      <c r="P28289" s="42"/>
      <c r="AB28289" s="38"/>
    </row>
    <row r="28290">
      <c r="P28290" s="42"/>
      <c r="AB28290" s="38"/>
    </row>
    <row r="28291">
      <c r="P28291" s="42"/>
      <c r="AB28291" s="38"/>
    </row>
    <row r="28292">
      <c r="P28292" s="42"/>
      <c r="AB28292" s="38"/>
    </row>
    <row r="28293">
      <c r="P28293" s="42"/>
      <c r="AB28293" s="38"/>
    </row>
    <row r="28294">
      <c r="P28294" s="42"/>
      <c r="AB28294" s="38"/>
    </row>
    <row r="28295">
      <c r="P28295" s="42"/>
      <c r="AB28295" s="38"/>
    </row>
    <row r="28296">
      <c r="P28296" s="42"/>
      <c r="AB28296" s="38"/>
    </row>
    <row r="28297">
      <c r="P28297" s="42"/>
      <c r="AB28297" s="38"/>
    </row>
    <row r="28298">
      <c r="P28298" s="42"/>
      <c r="AB28298" s="38"/>
    </row>
    <row r="28299">
      <c r="P28299" s="42"/>
      <c r="AB28299" s="38"/>
    </row>
    <row r="28300">
      <c r="P28300" s="42"/>
      <c r="AB28300" s="38"/>
    </row>
    <row r="28301">
      <c r="P28301" s="42"/>
      <c r="AB28301" s="38"/>
    </row>
    <row r="28302">
      <c r="P28302" s="42"/>
      <c r="AB28302" s="38"/>
    </row>
    <row r="28303">
      <c r="P28303" s="42"/>
      <c r="AB28303" s="38"/>
    </row>
    <row r="28304">
      <c r="P28304" s="42"/>
      <c r="AB28304" s="38"/>
    </row>
    <row r="28305">
      <c r="P28305" s="42"/>
      <c r="AB28305" s="38"/>
    </row>
    <row r="28306">
      <c r="P28306" s="42"/>
      <c r="AB28306" s="38"/>
    </row>
    <row r="28307">
      <c r="P28307" s="42"/>
      <c r="AB28307" s="38"/>
    </row>
    <row r="28308">
      <c r="P28308" s="42"/>
      <c r="AB28308" s="38"/>
    </row>
    <row r="28309">
      <c r="P28309" s="42"/>
      <c r="AB28309" s="38"/>
    </row>
    <row r="28310">
      <c r="P28310" s="42"/>
      <c r="AB28310" s="38"/>
    </row>
    <row r="28311">
      <c r="P28311" s="42"/>
      <c r="AB28311" s="38"/>
    </row>
    <row r="28312">
      <c r="P28312" s="42"/>
      <c r="AB28312" s="38"/>
    </row>
    <row r="28313">
      <c r="P28313" s="42"/>
      <c r="AB28313" s="38"/>
    </row>
    <row r="28314">
      <c r="P28314" s="42"/>
      <c r="AB28314" s="38"/>
    </row>
    <row r="28315">
      <c r="P28315" s="42"/>
      <c r="AB28315" s="38"/>
    </row>
    <row r="28316">
      <c r="P28316" s="42"/>
      <c r="AB28316" s="38"/>
    </row>
    <row r="28317">
      <c r="P28317" s="42"/>
      <c r="AB28317" s="38"/>
    </row>
    <row r="28318">
      <c r="P28318" s="42"/>
      <c r="AB28318" s="38"/>
    </row>
    <row r="28319">
      <c r="P28319" s="42"/>
      <c r="AB28319" s="38"/>
    </row>
    <row r="28320">
      <c r="P28320" s="42"/>
      <c r="AB28320" s="38"/>
    </row>
    <row r="28321">
      <c r="P28321" s="42"/>
      <c r="AB28321" s="38"/>
    </row>
    <row r="28322">
      <c r="P28322" s="42"/>
      <c r="AB28322" s="38"/>
    </row>
    <row r="28323">
      <c r="P28323" s="42"/>
      <c r="AB28323" s="38"/>
    </row>
    <row r="28324">
      <c r="P28324" s="42"/>
      <c r="AB28324" s="38"/>
    </row>
    <row r="28325">
      <c r="P28325" s="42"/>
      <c r="AB28325" s="38"/>
    </row>
    <row r="28326">
      <c r="P28326" s="42"/>
      <c r="AB28326" s="38"/>
    </row>
    <row r="28327">
      <c r="P28327" s="42"/>
      <c r="AB28327" s="38"/>
    </row>
    <row r="28328">
      <c r="P28328" s="42"/>
      <c r="AB28328" s="38"/>
    </row>
    <row r="28329">
      <c r="P28329" s="42"/>
      <c r="AB28329" s="38"/>
    </row>
    <row r="28330">
      <c r="P28330" s="42"/>
      <c r="AB28330" s="38"/>
    </row>
    <row r="28331">
      <c r="P28331" s="42"/>
      <c r="AB28331" s="38"/>
    </row>
    <row r="28332">
      <c r="P28332" s="42"/>
      <c r="AB28332" s="38"/>
    </row>
    <row r="28333">
      <c r="P28333" s="42"/>
      <c r="AB28333" s="38"/>
    </row>
    <row r="28334">
      <c r="P28334" s="42"/>
      <c r="AB28334" s="38"/>
    </row>
    <row r="28335">
      <c r="P28335" s="42"/>
      <c r="AB28335" s="38"/>
    </row>
    <row r="28336">
      <c r="P28336" s="42"/>
      <c r="AB28336" s="38"/>
    </row>
    <row r="28337">
      <c r="P28337" s="42"/>
      <c r="AB28337" s="38"/>
    </row>
    <row r="28338">
      <c r="P28338" s="42"/>
      <c r="AB28338" s="38"/>
    </row>
    <row r="28339">
      <c r="P28339" s="42"/>
      <c r="AB28339" s="38"/>
    </row>
    <row r="28340">
      <c r="P28340" s="42"/>
      <c r="AB28340" s="38"/>
    </row>
    <row r="28341">
      <c r="P28341" s="42"/>
      <c r="AB28341" s="38"/>
    </row>
    <row r="28342">
      <c r="P28342" s="42"/>
      <c r="AB28342" s="38"/>
    </row>
    <row r="28343">
      <c r="P28343" s="42"/>
      <c r="AB28343" s="38"/>
    </row>
    <row r="28344">
      <c r="P28344" s="42"/>
      <c r="AB28344" s="38"/>
    </row>
    <row r="28345">
      <c r="P28345" s="42"/>
      <c r="AB28345" s="38"/>
    </row>
    <row r="28346">
      <c r="P28346" s="42"/>
      <c r="AB28346" s="38"/>
    </row>
    <row r="28347">
      <c r="P28347" s="42"/>
      <c r="AB28347" s="38"/>
    </row>
    <row r="28348">
      <c r="P28348" s="42"/>
      <c r="AB28348" s="38"/>
    </row>
    <row r="28349">
      <c r="P28349" s="42"/>
      <c r="AB28349" s="38"/>
    </row>
    <row r="28350">
      <c r="P28350" s="42"/>
      <c r="AB28350" s="38"/>
    </row>
    <row r="28351">
      <c r="P28351" s="42"/>
      <c r="AB28351" s="38"/>
    </row>
    <row r="28352">
      <c r="P28352" s="42"/>
      <c r="AB28352" s="38"/>
    </row>
    <row r="28353">
      <c r="P28353" s="42"/>
      <c r="AB28353" s="38"/>
    </row>
    <row r="28354">
      <c r="P28354" s="42"/>
      <c r="AB28354" s="38"/>
    </row>
    <row r="28355">
      <c r="P28355" s="42"/>
      <c r="AB28355" s="38"/>
    </row>
    <row r="28356">
      <c r="P28356" s="42"/>
      <c r="AB28356" s="38"/>
    </row>
    <row r="28357">
      <c r="P28357" s="42"/>
      <c r="AB28357" s="38"/>
    </row>
    <row r="28358">
      <c r="P28358" s="42"/>
      <c r="AB28358" s="38"/>
    </row>
    <row r="28359">
      <c r="P28359" s="42"/>
      <c r="AB28359" s="38"/>
    </row>
    <row r="28360">
      <c r="P28360" s="42"/>
      <c r="AB28360" s="38"/>
    </row>
    <row r="28361">
      <c r="P28361" s="42"/>
      <c r="AB28361" s="38"/>
    </row>
    <row r="28362">
      <c r="P28362" s="42"/>
      <c r="AB28362" s="38"/>
    </row>
    <row r="28363">
      <c r="P28363" s="42"/>
      <c r="AB28363" s="38"/>
    </row>
    <row r="28364">
      <c r="P28364" s="42"/>
      <c r="AB28364" s="38"/>
    </row>
    <row r="28365">
      <c r="P28365" s="42"/>
      <c r="AB28365" s="38"/>
    </row>
    <row r="28366">
      <c r="P28366" s="42"/>
      <c r="AB28366" s="38"/>
    </row>
    <row r="28367">
      <c r="P28367" s="42"/>
      <c r="AB28367" s="38"/>
    </row>
    <row r="28368">
      <c r="P28368" s="42"/>
      <c r="AB28368" s="38"/>
    </row>
    <row r="28369">
      <c r="P28369" s="42"/>
      <c r="AB28369" s="38"/>
    </row>
    <row r="28370">
      <c r="P28370" s="42"/>
      <c r="AB28370" s="38"/>
    </row>
    <row r="28371">
      <c r="P28371" s="42"/>
      <c r="AB28371" s="38"/>
    </row>
    <row r="28372">
      <c r="P28372" s="42"/>
      <c r="AB28372" s="38"/>
    </row>
    <row r="28373">
      <c r="P28373" s="42"/>
      <c r="AB28373" s="38"/>
    </row>
    <row r="28374">
      <c r="P28374" s="42"/>
      <c r="AB28374" s="38"/>
    </row>
    <row r="28375">
      <c r="P28375" s="42"/>
      <c r="AB28375" s="38"/>
    </row>
    <row r="28376">
      <c r="P28376" s="42"/>
      <c r="AB28376" s="38"/>
    </row>
    <row r="28377">
      <c r="P28377" s="42"/>
      <c r="AB28377" s="38"/>
    </row>
    <row r="28378">
      <c r="P28378" s="42"/>
      <c r="AB28378" s="38"/>
    </row>
    <row r="28379">
      <c r="P28379" s="42"/>
      <c r="AB28379" s="38"/>
    </row>
    <row r="28380">
      <c r="P28380" s="42"/>
      <c r="AB28380" s="38"/>
    </row>
    <row r="28381">
      <c r="P28381" s="42"/>
      <c r="AB28381" s="38"/>
    </row>
    <row r="28382">
      <c r="P28382" s="42"/>
      <c r="AB28382" s="38"/>
    </row>
    <row r="28383">
      <c r="P28383" s="42"/>
      <c r="AB28383" s="38"/>
    </row>
    <row r="28384">
      <c r="P28384" s="42"/>
      <c r="AB28384" s="38"/>
    </row>
    <row r="28385">
      <c r="P28385" s="42"/>
      <c r="AB28385" s="38"/>
    </row>
    <row r="28386">
      <c r="P28386" s="42"/>
      <c r="AB28386" s="38"/>
    </row>
    <row r="28387">
      <c r="P28387" s="42"/>
      <c r="AB28387" s="38"/>
    </row>
    <row r="28388">
      <c r="P28388" s="42"/>
      <c r="AB28388" s="38"/>
    </row>
    <row r="28389">
      <c r="P28389" s="42"/>
      <c r="AB28389" s="38"/>
    </row>
    <row r="28390">
      <c r="P28390" s="42"/>
      <c r="AB28390" s="38"/>
    </row>
    <row r="28391">
      <c r="P28391" s="42"/>
      <c r="AB28391" s="38"/>
    </row>
    <row r="28392">
      <c r="P28392" s="42"/>
      <c r="AB28392" s="38"/>
    </row>
    <row r="28393">
      <c r="P28393" s="42"/>
      <c r="AB28393" s="38"/>
    </row>
    <row r="28394">
      <c r="P28394" s="42"/>
      <c r="AB28394" s="38"/>
    </row>
    <row r="28395">
      <c r="P28395" s="42"/>
      <c r="AB28395" s="38"/>
    </row>
    <row r="28396">
      <c r="P28396" s="42"/>
      <c r="AB28396" s="38"/>
    </row>
    <row r="28397">
      <c r="P28397" s="42"/>
      <c r="AB28397" s="38"/>
    </row>
    <row r="28398">
      <c r="P28398" s="42"/>
      <c r="AB28398" s="38"/>
    </row>
    <row r="28399">
      <c r="P28399" s="42"/>
      <c r="AB28399" s="38"/>
    </row>
    <row r="28400">
      <c r="P28400" s="42"/>
      <c r="AB28400" s="38"/>
    </row>
    <row r="28401">
      <c r="P28401" s="42"/>
      <c r="AB28401" s="38"/>
    </row>
    <row r="28402">
      <c r="P28402" s="42"/>
      <c r="AB28402" s="38"/>
    </row>
    <row r="28403">
      <c r="P28403" s="42"/>
      <c r="AB28403" s="38"/>
    </row>
    <row r="28404">
      <c r="P28404" s="42"/>
      <c r="AB28404" s="38"/>
    </row>
    <row r="28405">
      <c r="P28405" s="42"/>
      <c r="AB28405" s="38"/>
    </row>
    <row r="28406">
      <c r="P28406" s="42"/>
      <c r="AB28406" s="38"/>
    </row>
    <row r="28407">
      <c r="P28407" s="42"/>
      <c r="AB28407" s="38"/>
    </row>
    <row r="28408">
      <c r="P28408" s="42"/>
      <c r="AB28408" s="38"/>
    </row>
    <row r="28409">
      <c r="P28409" s="42"/>
      <c r="AB28409" s="38"/>
    </row>
    <row r="28410">
      <c r="P28410" s="42"/>
      <c r="AB28410" s="38"/>
    </row>
    <row r="28411">
      <c r="P28411" s="42"/>
      <c r="AB28411" s="38"/>
    </row>
    <row r="28412">
      <c r="P28412" s="42"/>
      <c r="AB28412" s="38"/>
    </row>
    <row r="28413">
      <c r="P28413" s="42"/>
      <c r="AB28413" s="38"/>
    </row>
    <row r="28414">
      <c r="P28414" s="42"/>
      <c r="AB28414" s="38"/>
    </row>
    <row r="28415">
      <c r="P28415" s="42"/>
      <c r="AB28415" s="38"/>
    </row>
    <row r="28416">
      <c r="P28416" s="42"/>
      <c r="AB28416" s="38"/>
    </row>
    <row r="28417">
      <c r="P28417" s="42"/>
      <c r="AB28417" s="38"/>
    </row>
    <row r="28418">
      <c r="P28418" s="42"/>
      <c r="AB28418" s="38"/>
    </row>
    <row r="28419">
      <c r="P28419" s="42"/>
      <c r="AB28419" s="38"/>
    </row>
    <row r="28420">
      <c r="P28420" s="42"/>
      <c r="AB28420" s="38"/>
    </row>
    <row r="28421">
      <c r="P28421" s="42"/>
      <c r="AB28421" s="38"/>
    </row>
    <row r="28422">
      <c r="P28422" s="42"/>
      <c r="AB28422" s="38"/>
    </row>
    <row r="28423">
      <c r="P28423" s="42"/>
      <c r="AB28423" s="38"/>
    </row>
    <row r="28424">
      <c r="P28424" s="42"/>
      <c r="AB28424" s="38"/>
    </row>
    <row r="28425">
      <c r="P28425" s="42"/>
      <c r="AB28425" s="38"/>
    </row>
    <row r="28426">
      <c r="P28426" s="42"/>
      <c r="AB28426" s="38"/>
    </row>
    <row r="28427">
      <c r="P28427" s="42"/>
      <c r="AB28427" s="38"/>
    </row>
    <row r="28428">
      <c r="P28428" s="42"/>
      <c r="AB28428" s="38"/>
    </row>
    <row r="28429">
      <c r="P28429" s="42"/>
      <c r="AB28429" s="38"/>
    </row>
    <row r="28430">
      <c r="P28430" s="42"/>
      <c r="AB28430" s="38"/>
    </row>
    <row r="28431">
      <c r="P28431" s="42"/>
      <c r="AB28431" s="38"/>
    </row>
    <row r="28432">
      <c r="P28432" s="42"/>
      <c r="AB28432" s="38"/>
    </row>
    <row r="28433">
      <c r="P28433" s="42"/>
      <c r="AB28433" s="38"/>
    </row>
    <row r="28434">
      <c r="P28434" s="42"/>
      <c r="AB28434" s="38"/>
    </row>
    <row r="28435">
      <c r="P28435" s="42"/>
      <c r="AB28435" s="38"/>
    </row>
    <row r="28436">
      <c r="P28436" s="42"/>
      <c r="AB28436" s="38"/>
    </row>
    <row r="28437">
      <c r="P28437" s="42"/>
      <c r="AB28437" s="38"/>
    </row>
    <row r="28438">
      <c r="P28438" s="42"/>
      <c r="AB28438" s="38"/>
    </row>
    <row r="28439">
      <c r="P28439" s="42"/>
      <c r="AB28439" s="38"/>
    </row>
    <row r="28440">
      <c r="P28440" s="42"/>
      <c r="AB28440" s="38"/>
    </row>
    <row r="28441">
      <c r="P28441" s="42"/>
      <c r="AB28441" s="38"/>
    </row>
    <row r="28442">
      <c r="P28442" s="42"/>
      <c r="AB28442" s="38"/>
    </row>
    <row r="28443">
      <c r="P28443" s="42"/>
      <c r="AB28443" s="38"/>
    </row>
    <row r="28444">
      <c r="P28444" s="42"/>
      <c r="AB28444" s="38"/>
    </row>
    <row r="28445">
      <c r="P28445" s="42"/>
      <c r="AB28445" s="38"/>
    </row>
    <row r="28446">
      <c r="P28446" s="42"/>
      <c r="AB28446" s="38"/>
    </row>
    <row r="28447">
      <c r="P28447" s="42"/>
      <c r="AB28447" s="38"/>
    </row>
    <row r="28448">
      <c r="P28448" s="42"/>
      <c r="AB28448" s="38"/>
    </row>
    <row r="28449">
      <c r="P28449" s="42"/>
      <c r="AB28449" s="38"/>
    </row>
    <row r="28450">
      <c r="P28450" s="42"/>
      <c r="AB28450" s="38"/>
    </row>
    <row r="28451">
      <c r="P28451" s="42"/>
      <c r="AB28451" s="38"/>
    </row>
    <row r="28452">
      <c r="P28452" s="42"/>
      <c r="AB28452" s="38"/>
    </row>
    <row r="28453">
      <c r="P28453" s="42"/>
      <c r="AB28453" s="38"/>
    </row>
    <row r="28454">
      <c r="P28454" s="42"/>
      <c r="AB28454" s="38"/>
    </row>
    <row r="28455">
      <c r="P28455" s="42"/>
      <c r="AB28455" s="38"/>
    </row>
    <row r="28456">
      <c r="P28456" s="42"/>
      <c r="AB28456" s="38"/>
    </row>
    <row r="28457">
      <c r="P28457" s="42"/>
      <c r="AB28457" s="38"/>
    </row>
    <row r="28458">
      <c r="P28458" s="42"/>
      <c r="AB28458" s="38"/>
    </row>
    <row r="28459">
      <c r="P28459" s="42"/>
      <c r="AB28459" s="38"/>
    </row>
    <row r="28460">
      <c r="P28460" s="42"/>
      <c r="AB28460" s="38"/>
    </row>
    <row r="28461">
      <c r="P28461" s="42"/>
      <c r="AB28461" s="38"/>
    </row>
    <row r="28462">
      <c r="P28462" s="42"/>
      <c r="AB28462" s="38"/>
    </row>
    <row r="28463">
      <c r="P28463" s="42"/>
      <c r="AB28463" s="38"/>
    </row>
    <row r="28464">
      <c r="P28464" s="42"/>
      <c r="AB28464" s="38"/>
    </row>
    <row r="28465">
      <c r="P28465" s="42"/>
      <c r="AB28465" s="38"/>
    </row>
    <row r="28466">
      <c r="P28466" s="42"/>
      <c r="AB28466" s="38"/>
    </row>
    <row r="28467">
      <c r="P28467" s="42"/>
      <c r="AB28467" s="38"/>
    </row>
    <row r="28468">
      <c r="P28468" s="42"/>
      <c r="AB28468" s="38"/>
    </row>
    <row r="28469">
      <c r="P28469" s="42"/>
      <c r="AB28469" s="38"/>
    </row>
    <row r="28470">
      <c r="P28470" s="42"/>
      <c r="AB28470" s="38"/>
    </row>
    <row r="28471">
      <c r="P28471" s="42"/>
      <c r="AB28471" s="38"/>
    </row>
    <row r="28472">
      <c r="P28472" s="42"/>
      <c r="AB28472" s="38"/>
    </row>
    <row r="28473">
      <c r="P28473" s="42"/>
      <c r="AB28473" s="38"/>
    </row>
    <row r="28474">
      <c r="P28474" s="42"/>
      <c r="AB28474" s="38"/>
    </row>
    <row r="28475">
      <c r="P28475" s="42"/>
      <c r="AB28475" s="38"/>
    </row>
    <row r="28476">
      <c r="P28476" s="42"/>
      <c r="AB28476" s="38"/>
    </row>
    <row r="28477">
      <c r="P28477" s="42"/>
      <c r="AB28477" s="38"/>
    </row>
    <row r="28478">
      <c r="P28478" s="42"/>
      <c r="AB28478" s="38"/>
    </row>
    <row r="28479">
      <c r="P28479" s="42"/>
      <c r="AB28479" s="38"/>
    </row>
    <row r="28480">
      <c r="P28480" s="42"/>
      <c r="AB28480" s="38"/>
    </row>
    <row r="28481">
      <c r="P28481" s="42"/>
      <c r="AB28481" s="38"/>
    </row>
    <row r="28482">
      <c r="P28482" s="42"/>
      <c r="AB28482" s="38"/>
    </row>
    <row r="28483">
      <c r="P28483" s="42"/>
      <c r="AB28483" s="38"/>
    </row>
    <row r="28484">
      <c r="P28484" s="42"/>
      <c r="AB28484" s="38"/>
    </row>
    <row r="28485">
      <c r="P28485" s="42"/>
      <c r="AB28485" s="38"/>
    </row>
    <row r="28486">
      <c r="P28486" s="42"/>
      <c r="AB28486" s="38"/>
    </row>
    <row r="28487">
      <c r="P28487" s="42"/>
      <c r="AB28487" s="38"/>
    </row>
    <row r="28488">
      <c r="P28488" s="42"/>
      <c r="AB28488" s="38"/>
    </row>
    <row r="28489">
      <c r="P28489" s="42"/>
      <c r="AB28489" s="38"/>
    </row>
    <row r="28490">
      <c r="P28490" s="42"/>
      <c r="AB28490" s="38"/>
    </row>
    <row r="28491">
      <c r="P28491" s="42"/>
      <c r="AB28491" s="38"/>
    </row>
    <row r="28492">
      <c r="P28492" s="42"/>
      <c r="AB28492" s="38"/>
    </row>
    <row r="28493">
      <c r="P28493" s="42"/>
      <c r="AB28493" s="38"/>
    </row>
    <row r="28494">
      <c r="P28494" s="42"/>
      <c r="AB28494" s="38"/>
    </row>
    <row r="28495">
      <c r="P28495" s="42"/>
      <c r="AB28495" s="38"/>
    </row>
    <row r="28496">
      <c r="P28496" s="42"/>
      <c r="AB28496" s="38"/>
    </row>
    <row r="28497">
      <c r="P28497" s="42"/>
      <c r="AB28497" s="38"/>
    </row>
    <row r="28498">
      <c r="P28498" s="42"/>
      <c r="AB28498" s="38"/>
    </row>
    <row r="28499">
      <c r="P28499" s="42"/>
      <c r="AB28499" s="38"/>
    </row>
    <row r="28500">
      <c r="P28500" s="42"/>
      <c r="AB28500" s="38"/>
    </row>
    <row r="28501">
      <c r="P28501" s="42"/>
      <c r="AB28501" s="38"/>
    </row>
    <row r="28502">
      <c r="P28502" s="42"/>
      <c r="AB28502" s="38"/>
    </row>
    <row r="28503">
      <c r="P28503" s="42"/>
      <c r="AB28503" s="38"/>
    </row>
    <row r="28504">
      <c r="P28504" s="42"/>
      <c r="AB28504" s="38"/>
    </row>
    <row r="28505">
      <c r="P28505" s="42"/>
      <c r="AB28505" s="38"/>
    </row>
    <row r="28506">
      <c r="P28506" s="42"/>
      <c r="AB28506" s="38"/>
    </row>
    <row r="28507">
      <c r="P28507" s="42"/>
      <c r="AB28507" s="38"/>
    </row>
    <row r="28508">
      <c r="P28508" s="42"/>
      <c r="AB28508" s="38"/>
    </row>
    <row r="28509">
      <c r="P28509" s="42"/>
      <c r="AB28509" s="38"/>
    </row>
    <row r="28510">
      <c r="P28510" s="42"/>
      <c r="AB28510" s="38"/>
    </row>
    <row r="28511">
      <c r="P28511" s="42"/>
      <c r="AB28511" s="38"/>
    </row>
    <row r="28512">
      <c r="P28512" s="42"/>
      <c r="AB28512" s="38"/>
    </row>
    <row r="28513">
      <c r="P28513" s="42"/>
      <c r="AB28513" s="38"/>
    </row>
    <row r="28514">
      <c r="P28514" s="42"/>
      <c r="AB28514" s="38"/>
    </row>
    <row r="28515">
      <c r="P28515" s="42"/>
      <c r="AB28515" s="38"/>
    </row>
    <row r="28516">
      <c r="P28516" s="42"/>
      <c r="AB28516" s="38"/>
    </row>
    <row r="28517">
      <c r="P28517" s="42"/>
      <c r="AB28517" s="38"/>
    </row>
    <row r="28518">
      <c r="P28518" s="42"/>
      <c r="AB28518" s="38"/>
    </row>
    <row r="28519">
      <c r="P28519" s="42"/>
      <c r="AB28519" s="38"/>
    </row>
    <row r="28520">
      <c r="P28520" s="42"/>
      <c r="AB28520" s="38"/>
    </row>
    <row r="28521">
      <c r="P28521" s="42"/>
      <c r="AB28521" s="38"/>
    </row>
    <row r="28522">
      <c r="P28522" s="42"/>
      <c r="AB28522" s="38"/>
    </row>
    <row r="28523">
      <c r="P28523" s="42"/>
      <c r="AB28523" s="38"/>
    </row>
    <row r="28524">
      <c r="P28524" s="42"/>
      <c r="AB28524" s="38"/>
    </row>
    <row r="28525">
      <c r="P28525" s="42"/>
      <c r="AB28525" s="38"/>
    </row>
    <row r="28526">
      <c r="P28526" s="42"/>
      <c r="AB28526" s="38"/>
    </row>
    <row r="28527">
      <c r="P28527" s="42"/>
      <c r="AB28527" s="38"/>
    </row>
    <row r="28528">
      <c r="P28528" s="42"/>
      <c r="AB28528" s="38"/>
    </row>
    <row r="28529">
      <c r="P28529" s="42"/>
      <c r="AB28529" s="38"/>
    </row>
    <row r="28530">
      <c r="P28530" s="42"/>
      <c r="AB28530" s="38"/>
    </row>
    <row r="28531">
      <c r="P28531" s="42"/>
      <c r="AB28531" s="38"/>
    </row>
    <row r="28532">
      <c r="P28532" s="42"/>
      <c r="AB28532" s="38"/>
    </row>
    <row r="28533">
      <c r="P28533" s="42"/>
      <c r="AB28533" s="38"/>
    </row>
    <row r="28534">
      <c r="P28534" s="42"/>
      <c r="AB28534" s="38"/>
    </row>
    <row r="28535">
      <c r="P28535" s="42"/>
      <c r="AB28535" s="38"/>
    </row>
    <row r="28536">
      <c r="P28536" s="42"/>
      <c r="AB28536" s="38"/>
    </row>
    <row r="28537">
      <c r="P28537" s="42"/>
      <c r="AB28537" s="38"/>
    </row>
    <row r="28538">
      <c r="P28538" s="42"/>
      <c r="AB28538" s="38"/>
    </row>
    <row r="28539">
      <c r="P28539" s="42"/>
      <c r="AB28539" s="38"/>
    </row>
    <row r="28540">
      <c r="P28540" s="42"/>
      <c r="AB28540" s="38"/>
    </row>
    <row r="28541">
      <c r="P28541" s="42"/>
      <c r="AB28541" s="38"/>
    </row>
    <row r="28542">
      <c r="P28542" s="42"/>
      <c r="AB28542" s="38"/>
    </row>
    <row r="28543">
      <c r="P28543" s="42"/>
      <c r="AB28543" s="38"/>
    </row>
    <row r="28544">
      <c r="P28544" s="42"/>
      <c r="AB28544" s="38"/>
    </row>
    <row r="28545">
      <c r="P28545" s="42"/>
      <c r="AB28545" s="38"/>
    </row>
    <row r="28546">
      <c r="P28546" s="42"/>
      <c r="AB28546" s="38"/>
    </row>
    <row r="28547">
      <c r="P28547" s="42"/>
      <c r="AB28547" s="38"/>
    </row>
    <row r="28548">
      <c r="P28548" s="42"/>
      <c r="AB28548" s="38"/>
    </row>
    <row r="28549">
      <c r="P28549" s="42"/>
      <c r="AB28549" s="38"/>
    </row>
    <row r="28550">
      <c r="P28550" s="42"/>
      <c r="AB28550" s="38"/>
    </row>
    <row r="28551">
      <c r="P28551" s="42"/>
      <c r="AB28551" s="38"/>
    </row>
    <row r="28552">
      <c r="P28552" s="42"/>
      <c r="AB28552" s="38"/>
    </row>
    <row r="28553">
      <c r="P28553" s="42"/>
      <c r="AB28553" s="38"/>
    </row>
    <row r="28554">
      <c r="P28554" s="42"/>
      <c r="AB28554" s="38"/>
    </row>
    <row r="28555">
      <c r="P28555" s="42"/>
      <c r="AB28555" s="38"/>
    </row>
    <row r="28556">
      <c r="P28556" s="42"/>
      <c r="AB28556" s="38"/>
    </row>
    <row r="28557">
      <c r="P28557" s="42"/>
      <c r="AB28557" s="38"/>
    </row>
    <row r="28558">
      <c r="P28558" s="42"/>
      <c r="AB28558" s="38"/>
    </row>
    <row r="28559">
      <c r="P28559" s="42"/>
      <c r="AB28559" s="38"/>
    </row>
    <row r="28560">
      <c r="P28560" s="42"/>
      <c r="AB28560" s="38"/>
    </row>
    <row r="28561">
      <c r="P28561" s="42"/>
      <c r="AB28561" s="38"/>
    </row>
    <row r="28562">
      <c r="P28562" s="42"/>
      <c r="AB28562" s="38"/>
    </row>
    <row r="28563">
      <c r="P28563" s="42"/>
      <c r="AB28563" s="38"/>
    </row>
    <row r="28564">
      <c r="P28564" s="42"/>
      <c r="AB28564" s="38"/>
    </row>
    <row r="28565">
      <c r="P28565" s="42"/>
      <c r="AB28565" s="38"/>
    </row>
    <row r="28566">
      <c r="P28566" s="42"/>
      <c r="AB28566" s="38"/>
    </row>
    <row r="28567">
      <c r="P28567" s="42"/>
      <c r="AB28567" s="38"/>
    </row>
    <row r="28568">
      <c r="P28568" s="42"/>
      <c r="AB28568" s="38"/>
    </row>
    <row r="28569">
      <c r="P28569" s="42"/>
      <c r="AB28569" s="38"/>
    </row>
    <row r="28570">
      <c r="P28570" s="42"/>
      <c r="AB28570" s="38"/>
    </row>
    <row r="28571">
      <c r="P28571" s="42"/>
      <c r="AB28571" s="38"/>
    </row>
    <row r="28572">
      <c r="P28572" s="42"/>
      <c r="AB28572" s="38"/>
    </row>
    <row r="28573">
      <c r="P28573" s="42"/>
      <c r="AB28573" s="38"/>
    </row>
    <row r="28574">
      <c r="P28574" s="42"/>
      <c r="AB28574" s="38"/>
    </row>
    <row r="28575">
      <c r="P28575" s="42"/>
      <c r="AB28575" s="38"/>
    </row>
    <row r="28576">
      <c r="P28576" s="42"/>
      <c r="AB28576" s="38"/>
    </row>
    <row r="28577">
      <c r="P28577" s="42"/>
      <c r="AB28577" s="38"/>
    </row>
    <row r="28578">
      <c r="P28578" s="42"/>
      <c r="AB28578" s="38"/>
    </row>
    <row r="28579">
      <c r="P28579" s="42"/>
      <c r="AB28579" s="38"/>
    </row>
    <row r="28580">
      <c r="P28580" s="42"/>
      <c r="AB28580" s="38"/>
    </row>
    <row r="28581">
      <c r="P28581" s="42"/>
      <c r="AB28581" s="38"/>
    </row>
    <row r="28582">
      <c r="P28582" s="42"/>
      <c r="AB28582" s="38"/>
    </row>
    <row r="28583">
      <c r="P28583" s="42"/>
      <c r="AB28583" s="38"/>
    </row>
    <row r="28584">
      <c r="P28584" s="42"/>
      <c r="AB28584" s="38"/>
    </row>
    <row r="28585">
      <c r="P28585" s="42"/>
      <c r="AB28585" s="38"/>
    </row>
    <row r="28586">
      <c r="P28586" s="42"/>
      <c r="AB28586" s="38"/>
    </row>
    <row r="28587">
      <c r="P28587" s="42"/>
      <c r="AB28587" s="38"/>
    </row>
    <row r="28588">
      <c r="P28588" s="42"/>
      <c r="AB28588" s="38"/>
    </row>
    <row r="28589">
      <c r="P28589" s="42"/>
      <c r="AB28589" s="38"/>
    </row>
    <row r="28590">
      <c r="P28590" s="42"/>
      <c r="AB28590" s="38"/>
    </row>
    <row r="28591">
      <c r="P28591" s="42"/>
      <c r="AB28591" s="38"/>
    </row>
    <row r="28592">
      <c r="P28592" s="42"/>
      <c r="AB28592" s="38"/>
    </row>
    <row r="28593">
      <c r="P28593" s="42"/>
      <c r="AB28593" s="38"/>
    </row>
    <row r="28594">
      <c r="P28594" s="42"/>
      <c r="AB28594" s="38"/>
    </row>
    <row r="28595">
      <c r="P28595" s="42"/>
      <c r="AB28595" s="38"/>
    </row>
    <row r="28596">
      <c r="P28596" s="42"/>
      <c r="AB28596" s="38"/>
    </row>
    <row r="28597">
      <c r="P28597" s="42"/>
      <c r="AB28597" s="38"/>
    </row>
    <row r="28598">
      <c r="P28598" s="42"/>
      <c r="AB28598" s="38"/>
    </row>
    <row r="28599">
      <c r="P28599" s="42"/>
      <c r="AB28599" s="38"/>
    </row>
    <row r="28600">
      <c r="P28600" s="42"/>
      <c r="AB28600" s="38"/>
    </row>
    <row r="28601">
      <c r="P28601" s="42"/>
      <c r="AB28601" s="38"/>
    </row>
    <row r="28602">
      <c r="P28602" s="42"/>
      <c r="AB28602" s="38"/>
    </row>
    <row r="28603">
      <c r="P28603" s="42"/>
      <c r="AB28603" s="38"/>
    </row>
    <row r="28604">
      <c r="P28604" s="42"/>
      <c r="AB28604" s="38"/>
    </row>
    <row r="28605">
      <c r="P28605" s="42"/>
      <c r="AB28605" s="38"/>
    </row>
    <row r="28606">
      <c r="P28606" s="42"/>
      <c r="AB28606" s="38"/>
    </row>
    <row r="28607">
      <c r="P28607" s="42"/>
      <c r="AB28607" s="38"/>
    </row>
    <row r="28608">
      <c r="P28608" s="42"/>
      <c r="AB28608" s="38"/>
    </row>
    <row r="28609">
      <c r="P28609" s="42"/>
      <c r="AB28609" s="38"/>
    </row>
    <row r="28610">
      <c r="P28610" s="42"/>
      <c r="AB28610" s="38"/>
    </row>
    <row r="28611">
      <c r="P28611" s="42"/>
      <c r="AB28611" s="38"/>
    </row>
    <row r="28612">
      <c r="P28612" s="42"/>
      <c r="AB28612" s="38"/>
    </row>
    <row r="28613">
      <c r="P28613" s="42"/>
      <c r="AB28613" s="38"/>
    </row>
    <row r="28614">
      <c r="P28614" s="42"/>
      <c r="AB28614" s="38"/>
    </row>
    <row r="28615">
      <c r="P28615" s="42"/>
      <c r="AB28615" s="38"/>
    </row>
    <row r="28616">
      <c r="P28616" s="42"/>
      <c r="AB28616" s="38"/>
    </row>
    <row r="28617">
      <c r="P28617" s="42"/>
      <c r="AB28617" s="38"/>
    </row>
    <row r="28618">
      <c r="P28618" s="42"/>
      <c r="AB28618" s="38"/>
    </row>
    <row r="28619">
      <c r="P28619" s="42"/>
      <c r="AB28619" s="38"/>
    </row>
    <row r="28620">
      <c r="P28620" s="42"/>
      <c r="AB28620" s="38"/>
    </row>
    <row r="28621">
      <c r="P28621" s="42"/>
      <c r="AB28621" s="38"/>
    </row>
    <row r="28622">
      <c r="P28622" s="42"/>
      <c r="AB28622" s="38"/>
    </row>
    <row r="28623">
      <c r="P28623" s="42"/>
      <c r="AB28623" s="38"/>
    </row>
    <row r="28624">
      <c r="P28624" s="42"/>
      <c r="AB28624" s="38"/>
    </row>
    <row r="28625">
      <c r="P28625" s="42"/>
      <c r="AB28625" s="38"/>
    </row>
    <row r="28626">
      <c r="P28626" s="42"/>
      <c r="AB28626" s="38"/>
    </row>
    <row r="28627">
      <c r="P28627" s="42"/>
      <c r="AB28627" s="38"/>
    </row>
    <row r="28628">
      <c r="P28628" s="42"/>
      <c r="AB28628" s="38"/>
    </row>
    <row r="28629">
      <c r="P28629" s="42"/>
      <c r="AB28629" s="38"/>
    </row>
    <row r="28630">
      <c r="P28630" s="42"/>
      <c r="AB28630" s="38"/>
    </row>
    <row r="28631">
      <c r="P28631" s="42"/>
      <c r="AB28631" s="38"/>
    </row>
    <row r="28632">
      <c r="P28632" s="42"/>
      <c r="AB28632" s="38"/>
    </row>
    <row r="28633">
      <c r="P28633" s="42"/>
      <c r="AB28633" s="38"/>
    </row>
    <row r="28634">
      <c r="P28634" s="42"/>
      <c r="AB28634" s="38"/>
    </row>
    <row r="28635">
      <c r="P28635" s="42"/>
      <c r="AB28635" s="38"/>
    </row>
    <row r="28636">
      <c r="P28636" s="42"/>
      <c r="AB28636" s="38"/>
    </row>
    <row r="28637">
      <c r="P28637" s="42"/>
      <c r="AB28637" s="38"/>
    </row>
    <row r="28638">
      <c r="P28638" s="42"/>
      <c r="AB28638" s="38"/>
    </row>
    <row r="28639">
      <c r="P28639" s="42"/>
      <c r="AB28639" s="38"/>
    </row>
    <row r="28640">
      <c r="P28640" s="42"/>
      <c r="AB28640" s="38"/>
    </row>
    <row r="28641">
      <c r="P28641" s="42"/>
      <c r="AB28641" s="38"/>
    </row>
    <row r="28642">
      <c r="P28642" s="42"/>
      <c r="AB28642" s="38"/>
    </row>
    <row r="28643">
      <c r="P28643" s="42"/>
      <c r="AB28643" s="38"/>
    </row>
    <row r="28644">
      <c r="P28644" s="42"/>
      <c r="AB28644" s="38"/>
    </row>
    <row r="28645">
      <c r="P28645" s="42"/>
      <c r="AB28645" s="38"/>
    </row>
    <row r="28646">
      <c r="P28646" s="42"/>
      <c r="AB28646" s="38"/>
    </row>
    <row r="28647">
      <c r="P28647" s="42"/>
      <c r="AB28647" s="38"/>
    </row>
    <row r="28648">
      <c r="P28648" s="42"/>
      <c r="AB28648" s="38"/>
    </row>
    <row r="28649">
      <c r="P28649" s="42"/>
      <c r="AB28649" s="38"/>
    </row>
    <row r="28650">
      <c r="P28650" s="42"/>
      <c r="AB28650" s="38"/>
    </row>
    <row r="28651">
      <c r="P28651" s="42"/>
      <c r="AB28651" s="38"/>
    </row>
    <row r="28652">
      <c r="P28652" s="42"/>
      <c r="AB28652" s="38"/>
    </row>
    <row r="28653">
      <c r="P28653" s="42"/>
      <c r="AB28653" s="38"/>
    </row>
    <row r="28654">
      <c r="P28654" s="42"/>
      <c r="AB28654" s="38"/>
    </row>
    <row r="28655">
      <c r="P28655" s="42"/>
      <c r="AB28655" s="38"/>
    </row>
    <row r="28656">
      <c r="P28656" s="42"/>
      <c r="AB28656" s="38"/>
    </row>
    <row r="28657">
      <c r="P28657" s="42"/>
      <c r="AB28657" s="38"/>
    </row>
    <row r="28658">
      <c r="P28658" s="42"/>
      <c r="AB28658" s="38"/>
    </row>
    <row r="28659">
      <c r="P28659" s="42"/>
      <c r="AB28659" s="38"/>
    </row>
    <row r="28660">
      <c r="P28660" s="42"/>
      <c r="AB28660" s="38"/>
    </row>
    <row r="28661">
      <c r="P28661" s="42"/>
      <c r="AB28661" s="38"/>
    </row>
    <row r="28662">
      <c r="P28662" s="42"/>
      <c r="AB28662" s="38"/>
    </row>
    <row r="28663">
      <c r="P28663" s="42"/>
      <c r="AB28663" s="38"/>
    </row>
    <row r="28664">
      <c r="P28664" s="42"/>
      <c r="AB28664" s="38"/>
    </row>
    <row r="28665">
      <c r="P28665" s="42"/>
      <c r="AB28665" s="38"/>
    </row>
    <row r="28666">
      <c r="P28666" s="42"/>
      <c r="AB28666" s="38"/>
    </row>
    <row r="28667">
      <c r="P28667" s="42"/>
      <c r="AB28667" s="38"/>
    </row>
    <row r="28668">
      <c r="P28668" s="42"/>
      <c r="AB28668" s="38"/>
    </row>
    <row r="28669">
      <c r="P28669" s="42"/>
      <c r="AB28669" s="38"/>
    </row>
    <row r="28670">
      <c r="P28670" s="42"/>
      <c r="AB28670" s="38"/>
    </row>
    <row r="28671">
      <c r="P28671" s="42"/>
      <c r="AB28671" s="38"/>
    </row>
    <row r="28672">
      <c r="P28672" s="42"/>
      <c r="AB28672" s="38"/>
    </row>
    <row r="28673">
      <c r="P28673" s="42"/>
      <c r="AB28673" s="38"/>
    </row>
    <row r="28674">
      <c r="P28674" s="42"/>
      <c r="AB28674" s="38"/>
    </row>
    <row r="28675">
      <c r="P28675" s="42"/>
      <c r="AB28675" s="38"/>
    </row>
    <row r="28676">
      <c r="P28676" s="42"/>
      <c r="AB28676" s="38"/>
    </row>
    <row r="28677">
      <c r="P28677" s="42"/>
      <c r="AB28677" s="38"/>
    </row>
    <row r="28678">
      <c r="P28678" s="42"/>
      <c r="AB28678" s="38"/>
    </row>
    <row r="28679">
      <c r="P28679" s="42"/>
      <c r="AB28679" s="38"/>
    </row>
    <row r="28680">
      <c r="P28680" s="42"/>
      <c r="AB28680" s="38"/>
    </row>
    <row r="28681">
      <c r="P28681" s="42"/>
      <c r="AB28681" s="38"/>
    </row>
    <row r="28682">
      <c r="P28682" s="42"/>
      <c r="AB28682" s="38"/>
    </row>
    <row r="28683">
      <c r="P28683" s="42"/>
      <c r="AB28683" s="38"/>
    </row>
    <row r="28684">
      <c r="P28684" s="42"/>
      <c r="AB28684" s="38"/>
    </row>
    <row r="28685">
      <c r="P28685" s="42"/>
      <c r="AB28685" s="38"/>
    </row>
    <row r="28686">
      <c r="P28686" s="42"/>
      <c r="AB28686" s="38"/>
    </row>
    <row r="28687">
      <c r="P28687" s="42"/>
      <c r="AB28687" s="38"/>
    </row>
    <row r="28688">
      <c r="P28688" s="42"/>
      <c r="AB28688" s="38"/>
    </row>
    <row r="28689">
      <c r="P28689" s="42"/>
      <c r="AB28689" s="38"/>
    </row>
    <row r="28690">
      <c r="P28690" s="42"/>
      <c r="AB28690" s="38"/>
    </row>
    <row r="28691">
      <c r="P28691" s="42"/>
      <c r="AB28691" s="38"/>
    </row>
    <row r="28692">
      <c r="P28692" s="42"/>
      <c r="AB28692" s="38"/>
    </row>
    <row r="28693">
      <c r="P28693" s="42"/>
      <c r="AB28693" s="38"/>
    </row>
    <row r="28694">
      <c r="P28694" s="42"/>
      <c r="AB28694" s="38"/>
    </row>
    <row r="28695">
      <c r="P28695" s="42"/>
      <c r="AB28695" s="38"/>
    </row>
    <row r="28696">
      <c r="P28696" s="42"/>
      <c r="AB28696" s="38"/>
    </row>
    <row r="28697">
      <c r="P28697" s="42"/>
      <c r="AB28697" s="38"/>
    </row>
    <row r="28698">
      <c r="P28698" s="42"/>
      <c r="AB28698" s="38"/>
    </row>
    <row r="28699">
      <c r="P28699" s="42"/>
      <c r="AB28699" s="38"/>
    </row>
    <row r="28700">
      <c r="P28700" s="42"/>
      <c r="AB28700" s="38"/>
    </row>
    <row r="28701">
      <c r="P28701" s="42"/>
      <c r="AB28701" s="38"/>
    </row>
    <row r="28702">
      <c r="P28702" s="42"/>
      <c r="AB28702" s="38"/>
    </row>
    <row r="28703">
      <c r="P28703" s="42"/>
      <c r="AB28703" s="38"/>
    </row>
    <row r="28704">
      <c r="P28704" s="42"/>
      <c r="AB28704" s="38"/>
    </row>
    <row r="28705">
      <c r="P28705" s="42"/>
      <c r="AB28705" s="38"/>
    </row>
    <row r="28706">
      <c r="P28706" s="42"/>
      <c r="AB28706" s="38"/>
    </row>
    <row r="28707">
      <c r="P28707" s="42"/>
      <c r="AB28707" s="38"/>
    </row>
    <row r="28708">
      <c r="P28708" s="42"/>
      <c r="AB28708" s="38"/>
    </row>
    <row r="28709">
      <c r="P28709" s="42"/>
      <c r="AB28709" s="38"/>
    </row>
    <row r="28710">
      <c r="P28710" s="42"/>
      <c r="AB28710" s="38"/>
    </row>
    <row r="28711">
      <c r="P28711" s="42"/>
      <c r="AB28711" s="38"/>
    </row>
    <row r="28712">
      <c r="P28712" s="42"/>
      <c r="AB28712" s="38"/>
    </row>
    <row r="28713">
      <c r="P28713" s="42"/>
      <c r="AB28713" s="38"/>
    </row>
    <row r="28714">
      <c r="P28714" s="42"/>
      <c r="AB28714" s="38"/>
    </row>
    <row r="28715">
      <c r="P28715" s="42"/>
      <c r="AB28715" s="38"/>
    </row>
    <row r="28716">
      <c r="P28716" s="42"/>
      <c r="AB28716" s="38"/>
    </row>
    <row r="28717">
      <c r="P28717" s="42"/>
      <c r="AB28717" s="38"/>
    </row>
    <row r="28718">
      <c r="P28718" s="42"/>
      <c r="AB28718" s="38"/>
    </row>
    <row r="28719">
      <c r="P28719" s="42"/>
      <c r="AB28719" s="38"/>
    </row>
    <row r="28720">
      <c r="P28720" s="42"/>
      <c r="AB28720" s="38"/>
    </row>
    <row r="28721">
      <c r="P28721" s="42"/>
      <c r="AB28721" s="38"/>
    </row>
    <row r="28722">
      <c r="P28722" s="42"/>
      <c r="AB28722" s="38"/>
    </row>
    <row r="28723">
      <c r="P28723" s="42"/>
      <c r="AB28723" s="38"/>
    </row>
    <row r="28724">
      <c r="P28724" s="42"/>
      <c r="AB28724" s="38"/>
    </row>
    <row r="28725">
      <c r="P28725" s="42"/>
      <c r="AB28725" s="38"/>
    </row>
    <row r="28726">
      <c r="P28726" s="42"/>
      <c r="AB28726" s="38"/>
    </row>
    <row r="28727">
      <c r="P28727" s="42"/>
      <c r="AB28727" s="38"/>
    </row>
    <row r="28728">
      <c r="P28728" s="42"/>
      <c r="AB28728" s="38"/>
    </row>
    <row r="28729">
      <c r="P28729" s="42"/>
      <c r="AB28729" s="38"/>
    </row>
    <row r="28730">
      <c r="P28730" s="42"/>
      <c r="AB28730" s="38"/>
    </row>
    <row r="28731">
      <c r="P28731" s="42"/>
      <c r="AB28731" s="38"/>
    </row>
    <row r="28732">
      <c r="P28732" s="42"/>
      <c r="AB28732" s="38"/>
    </row>
    <row r="28733">
      <c r="P28733" s="42"/>
      <c r="AB28733" s="38"/>
    </row>
    <row r="28734">
      <c r="P28734" s="42"/>
      <c r="AB28734" s="38"/>
    </row>
    <row r="28735">
      <c r="P28735" s="42"/>
      <c r="AB28735" s="38"/>
    </row>
    <row r="28736">
      <c r="P28736" s="42"/>
      <c r="AB28736" s="38"/>
    </row>
    <row r="28737">
      <c r="P28737" s="42"/>
      <c r="AB28737" s="38"/>
    </row>
    <row r="28738">
      <c r="P28738" s="42"/>
      <c r="AB28738" s="38"/>
    </row>
    <row r="28739">
      <c r="P28739" s="42"/>
      <c r="AB28739" s="38"/>
    </row>
    <row r="28740">
      <c r="P28740" s="42"/>
      <c r="AB28740" s="38"/>
    </row>
    <row r="28741">
      <c r="P28741" s="42"/>
      <c r="AB28741" s="38"/>
    </row>
    <row r="28742">
      <c r="P28742" s="42"/>
      <c r="AB28742" s="38"/>
    </row>
    <row r="28743">
      <c r="P28743" s="42"/>
      <c r="AB28743" s="38"/>
    </row>
    <row r="28744">
      <c r="P28744" s="42"/>
      <c r="AB28744" s="38"/>
    </row>
    <row r="28745">
      <c r="P28745" s="42"/>
      <c r="AB28745" s="38"/>
    </row>
    <row r="28746">
      <c r="P28746" s="42"/>
      <c r="AB28746" s="38"/>
    </row>
    <row r="28747">
      <c r="P28747" s="42"/>
      <c r="AB28747" s="38"/>
    </row>
    <row r="28748">
      <c r="P28748" s="42"/>
      <c r="AB28748" s="38"/>
    </row>
    <row r="28749">
      <c r="P28749" s="42"/>
      <c r="AB28749" s="38"/>
    </row>
    <row r="28750">
      <c r="P28750" s="42"/>
      <c r="AB28750" s="38"/>
    </row>
    <row r="28751">
      <c r="P28751" s="42"/>
      <c r="AB28751" s="38"/>
    </row>
    <row r="28752">
      <c r="P28752" s="42"/>
      <c r="AB28752" s="38"/>
    </row>
    <row r="28753">
      <c r="P28753" s="42"/>
      <c r="AB28753" s="38"/>
    </row>
    <row r="28754">
      <c r="P28754" s="42"/>
      <c r="AB28754" s="38"/>
    </row>
    <row r="28755">
      <c r="P28755" s="42"/>
      <c r="AB28755" s="38"/>
    </row>
    <row r="28756">
      <c r="P28756" s="42"/>
      <c r="AB28756" s="38"/>
    </row>
    <row r="28757">
      <c r="P28757" s="42"/>
      <c r="AB28757" s="38"/>
    </row>
    <row r="28758">
      <c r="P28758" s="42"/>
      <c r="AB28758" s="38"/>
    </row>
    <row r="28759">
      <c r="P28759" s="42"/>
      <c r="AB28759" s="38"/>
    </row>
    <row r="28760">
      <c r="P28760" s="42"/>
      <c r="AB28760" s="38"/>
    </row>
    <row r="28761">
      <c r="P28761" s="42"/>
      <c r="AB28761" s="38"/>
    </row>
    <row r="28762">
      <c r="P28762" s="42"/>
      <c r="AB28762" s="38"/>
    </row>
    <row r="28763">
      <c r="P28763" s="42"/>
      <c r="AB28763" s="38"/>
    </row>
    <row r="28764">
      <c r="P28764" s="42"/>
      <c r="AB28764" s="38"/>
    </row>
    <row r="28765">
      <c r="P28765" s="42"/>
      <c r="AB28765" s="38"/>
    </row>
    <row r="28766">
      <c r="P28766" s="42"/>
      <c r="AB28766" s="38"/>
    </row>
    <row r="28767">
      <c r="P28767" s="42"/>
      <c r="AB28767" s="38"/>
    </row>
    <row r="28768">
      <c r="P28768" s="42"/>
      <c r="AB28768" s="38"/>
    </row>
    <row r="28769">
      <c r="P28769" s="42"/>
      <c r="AB28769" s="38"/>
    </row>
    <row r="28770">
      <c r="P28770" s="42"/>
      <c r="AB28770" s="38"/>
    </row>
    <row r="28771">
      <c r="P28771" s="42"/>
      <c r="AB28771" s="38"/>
    </row>
    <row r="28772">
      <c r="P28772" s="42"/>
      <c r="AB28772" s="38"/>
    </row>
    <row r="28773">
      <c r="P28773" s="42"/>
      <c r="AB28773" s="38"/>
    </row>
    <row r="28774">
      <c r="P28774" s="42"/>
      <c r="AB28774" s="38"/>
    </row>
    <row r="28775">
      <c r="P28775" s="42"/>
      <c r="AB28775" s="38"/>
    </row>
    <row r="28776">
      <c r="P28776" s="42"/>
      <c r="AB28776" s="38"/>
    </row>
    <row r="28777">
      <c r="P28777" s="42"/>
      <c r="AB28777" s="38"/>
    </row>
    <row r="28778">
      <c r="P28778" s="42"/>
      <c r="AB28778" s="38"/>
    </row>
    <row r="28779">
      <c r="P28779" s="42"/>
      <c r="AB28779" s="38"/>
    </row>
    <row r="28780">
      <c r="P28780" s="42"/>
      <c r="AB28780" s="38"/>
    </row>
    <row r="28781">
      <c r="P28781" s="42"/>
      <c r="AB28781" s="38"/>
    </row>
    <row r="28782">
      <c r="P28782" s="42"/>
      <c r="AB28782" s="38"/>
    </row>
    <row r="28783">
      <c r="P28783" s="42"/>
      <c r="AB28783" s="38"/>
    </row>
    <row r="28784">
      <c r="P28784" s="42"/>
      <c r="AB28784" s="38"/>
    </row>
    <row r="28785">
      <c r="P28785" s="42"/>
      <c r="AB28785" s="38"/>
    </row>
    <row r="28786">
      <c r="P28786" s="42"/>
      <c r="AB28786" s="38"/>
    </row>
    <row r="28787">
      <c r="P28787" s="42"/>
      <c r="AB28787" s="38"/>
    </row>
    <row r="28788">
      <c r="P28788" s="42"/>
      <c r="AB28788" s="38"/>
    </row>
    <row r="28789">
      <c r="P28789" s="42"/>
      <c r="AB28789" s="38"/>
    </row>
    <row r="28790">
      <c r="P28790" s="42"/>
      <c r="AB28790" s="38"/>
    </row>
    <row r="28791">
      <c r="P28791" s="42"/>
      <c r="AB28791" s="38"/>
    </row>
    <row r="28792">
      <c r="P28792" s="42"/>
      <c r="AB28792" s="38"/>
    </row>
    <row r="28793">
      <c r="P28793" s="42"/>
      <c r="AB28793" s="38"/>
    </row>
    <row r="28794">
      <c r="P28794" s="42"/>
      <c r="AB28794" s="38"/>
    </row>
    <row r="28795">
      <c r="P28795" s="42"/>
      <c r="AB28795" s="38"/>
    </row>
    <row r="28796">
      <c r="P28796" s="42"/>
      <c r="AB28796" s="38"/>
    </row>
    <row r="28797">
      <c r="P28797" s="42"/>
      <c r="AB28797" s="38"/>
    </row>
    <row r="28798">
      <c r="P28798" s="42"/>
      <c r="AB28798" s="38"/>
    </row>
    <row r="28799">
      <c r="P28799" s="42"/>
      <c r="AB28799" s="38"/>
    </row>
    <row r="28800">
      <c r="P28800" s="42"/>
      <c r="AB28800" s="38"/>
    </row>
    <row r="28801">
      <c r="P28801" s="42"/>
      <c r="AB28801" s="38"/>
    </row>
    <row r="28802">
      <c r="P28802" s="42"/>
      <c r="AB28802" s="38"/>
    </row>
    <row r="28803">
      <c r="P28803" s="42"/>
      <c r="AB28803" s="38"/>
    </row>
    <row r="28804">
      <c r="P28804" s="42"/>
      <c r="AB28804" s="38"/>
    </row>
    <row r="28805">
      <c r="P28805" s="42"/>
      <c r="AB28805" s="38"/>
    </row>
    <row r="28806">
      <c r="P28806" s="42"/>
      <c r="AB28806" s="38"/>
    </row>
    <row r="28807">
      <c r="P28807" s="42"/>
      <c r="AB28807" s="38"/>
    </row>
    <row r="28808">
      <c r="P28808" s="42"/>
      <c r="AB28808" s="38"/>
    </row>
    <row r="28809">
      <c r="P28809" s="42"/>
      <c r="AB28809" s="38"/>
    </row>
    <row r="28810">
      <c r="P28810" s="42"/>
      <c r="AB28810" s="38"/>
    </row>
    <row r="28811">
      <c r="P28811" s="42"/>
      <c r="AB28811" s="38"/>
    </row>
    <row r="28812">
      <c r="P28812" s="42"/>
      <c r="AB28812" s="38"/>
    </row>
    <row r="28813">
      <c r="P28813" s="42"/>
      <c r="AB28813" s="38"/>
    </row>
    <row r="28814">
      <c r="P28814" s="42"/>
      <c r="AB28814" s="38"/>
    </row>
    <row r="28815">
      <c r="P28815" s="42"/>
      <c r="AB28815" s="38"/>
    </row>
    <row r="28816">
      <c r="P28816" s="42"/>
      <c r="AB28816" s="38"/>
    </row>
    <row r="28817">
      <c r="P28817" s="42"/>
      <c r="AB28817" s="38"/>
    </row>
    <row r="28818">
      <c r="P28818" s="42"/>
      <c r="AB28818" s="38"/>
    </row>
    <row r="28819">
      <c r="P28819" s="42"/>
      <c r="AB28819" s="38"/>
    </row>
    <row r="28820">
      <c r="P28820" s="42"/>
      <c r="AB28820" s="38"/>
    </row>
    <row r="28821">
      <c r="P28821" s="42"/>
      <c r="AB28821" s="38"/>
    </row>
    <row r="28822">
      <c r="P28822" s="42"/>
      <c r="AB28822" s="38"/>
    </row>
    <row r="28823">
      <c r="P28823" s="42"/>
      <c r="AB28823" s="38"/>
    </row>
    <row r="28824">
      <c r="P28824" s="42"/>
      <c r="AB28824" s="38"/>
    </row>
    <row r="28825">
      <c r="P28825" s="42"/>
      <c r="AB28825" s="38"/>
    </row>
    <row r="28826">
      <c r="P28826" s="42"/>
      <c r="AB28826" s="38"/>
    </row>
    <row r="28827">
      <c r="P28827" s="42"/>
      <c r="AB28827" s="38"/>
    </row>
    <row r="28828">
      <c r="P28828" s="42"/>
      <c r="AB28828" s="38"/>
    </row>
    <row r="28829">
      <c r="P28829" s="42"/>
      <c r="AB28829" s="38"/>
    </row>
    <row r="28830">
      <c r="P28830" s="42"/>
      <c r="AB28830" s="38"/>
    </row>
    <row r="28831">
      <c r="P28831" s="42"/>
      <c r="AB28831" s="38"/>
    </row>
    <row r="28832">
      <c r="P28832" s="42"/>
      <c r="AB28832" s="38"/>
    </row>
    <row r="28833">
      <c r="P28833" s="42"/>
      <c r="AB28833" s="38"/>
    </row>
    <row r="28834">
      <c r="P28834" s="42"/>
      <c r="AB28834" s="38"/>
    </row>
    <row r="28835">
      <c r="P28835" s="42"/>
      <c r="AB28835" s="38"/>
    </row>
    <row r="28836">
      <c r="P28836" s="42"/>
      <c r="AB28836" s="38"/>
    </row>
    <row r="28837">
      <c r="P28837" s="42"/>
      <c r="AB28837" s="38"/>
    </row>
    <row r="28838">
      <c r="P28838" s="42"/>
      <c r="AB28838" s="38"/>
    </row>
    <row r="28839">
      <c r="P28839" s="42"/>
      <c r="AB28839" s="38"/>
    </row>
    <row r="28840">
      <c r="P28840" s="42"/>
      <c r="AB28840" s="38"/>
    </row>
    <row r="28841">
      <c r="P28841" s="42"/>
      <c r="AB28841" s="38"/>
    </row>
    <row r="28842">
      <c r="P28842" s="42"/>
      <c r="AB28842" s="38"/>
    </row>
    <row r="28843">
      <c r="P28843" s="42"/>
      <c r="AB28843" s="38"/>
    </row>
    <row r="28844">
      <c r="P28844" s="42"/>
      <c r="AB28844" s="38"/>
    </row>
    <row r="28845">
      <c r="P28845" s="42"/>
      <c r="AB28845" s="38"/>
    </row>
    <row r="28846">
      <c r="P28846" s="42"/>
      <c r="AB28846" s="38"/>
    </row>
    <row r="28847">
      <c r="P28847" s="42"/>
      <c r="AB28847" s="38"/>
    </row>
    <row r="28848">
      <c r="P28848" s="42"/>
      <c r="AB28848" s="38"/>
    </row>
    <row r="28849">
      <c r="P28849" s="42"/>
      <c r="AB28849" s="38"/>
    </row>
    <row r="28850">
      <c r="P28850" s="42"/>
      <c r="AB28850" s="38"/>
    </row>
    <row r="28851">
      <c r="P28851" s="42"/>
      <c r="AB28851" s="38"/>
    </row>
    <row r="28852">
      <c r="P28852" s="42"/>
      <c r="AB28852" s="38"/>
    </row>
    <row r="28853">
      <c r="P28853" s="42"/>
      <c r="AB28853" s="38"/>
    </row>
    <row r="28854">
      <c r="P28854" s="42"/>
      <c r="AB28854" s="38"/>
    </row>
    <row r="28855">
      <c r="P28855" s="42"/>
      <c r="AB28855" s="38"/>
    </row>
    <row r="28856">
      <c r="P28856" s="42"/>
      <c r="AB28856" s="38"/>
    </row>
    <row r="28857">
      <c r="P28857" s="42"/>
      <c r="AB28857" s="38"/>
    </row>
    <row r="28858">
      <c r="P28858" s="42"/>
      <c r="AB28858" s="38"/>
    </row>
    <row r="28859">
      <c r="P28859" s="42"/>
      <c r="AB28859" s="38"/>
    </row>
    <row r="28860">
      <c r="P28860" s="42"/>
      <c r="AB28860" s="38"/>
    </row>
    <row r="28861">
      <c r="P28861" s="42"/>
      <c r="AB28861" s="38"/>
    </row>
    <row r="28862">
      <c r="P28862" s="42"/>
      <c r="AB28862" s="38"/>
    </row>
    <row r="28863">
      <c r="P28863" s="42"/>
      <c r="AB28863" s="38"/>
    </row>
    <row r="28864">
      <c r="P28864" s="42"/>
      <c r="AB28864" s="38"/>
    </row>
    <row r="28865">
      <c r="P28865" s="42"/>
      <c r="AB28865" s="38"/>
    </row>
    <row r="28866">
      <c r="P28866" s="42"/>
      <c r="AB28866" s="38"/>
    </row>
    <row r="28867">
      <c r="P28867" s="42"/>
      <c r="AB28867" s="38"/>
    </row>
    <row r="28868">
      <c r="P28868" s="42"/>
      <c r="AB28868" s="38"/>
    </row>
    <row r="28869">
      <c r="P28869" s="42"/>
      <c r="AB28869" s="38"/>
    </row>
    <row r="28870">
      <c r="P28870" s="42"/>
      <c r="AB28870" s="38"/>
    </row>
    <row r="28871">
      <c r="P28871" s="42"/>
      <c r="AB28871" s="38"/>
    </row>
    <row r="28872">
      <c r="P28872" s="42"/>
      <c r="AB28872" s="38"/>
    </row>
    <row r="28873">
      <c r="P28873" s="42"/>
      <c r="AB28873" s="38"/>
    </row>
    <row r="28874">
      <c r="P28874" s="42"/>
      <c r="AB28874" s="38"/>
    </row>
    <row r="28875">
      <c r="P28875" s="42"/>
      <c r="AB28875" s="38"/>
    </row>
    <row r="28876">
      <c r="P28876" s="42"/>
      <c r="AB28876" s="38"/>
    </row>
    <row r="28877">
      <c r="P28877" s="42"/>
      <c r="AB28877" s="38"/>
    </row>
    <row r="28878">
      <c r="P28878" s="42"/>
      <c r="AB28878" s="38"/>
    </row>
    <row r="28879">
      <c r="P28879" s="42"/>
      <c r="AB28879" s="38"/>
    </row>
    <row r="28880">
      <c r="P28880" s="42"/>
      <c r="AB28880" s="38"/>
    </row>
    <row r="28881">
      <c r="P28881" s="42"/>
      <c r="AB28881" s="38"/>
    </row>
    <row r="28882">
      <c r="P28882" s="42"/>
      <c r="AB28882" s="38"/>
    </row>
    <row r="28883">
      <c r="P28883" s="42"/>
      <c r="AB28883" s="38"/>
    </row>
    <row r="28884">
      <c r="P28884" s="42"/>
      <c r="AB28884" s="38"/>
    </row>
    <row r="28885">
      <c r="P28885" s="42"/>
      <c r="AB28885" s="38"/>
    </row>
    <row r="28886">
      <c r="P28886" s="42"/>
      <c r="AB28886" s="38"/>
    </row>
    <row r="28887">
      <c r="P28887" s="42"/>
      <c r="AB28887" s="38"/>
    </row>
    <row r="28888">
      <c r="P28888" s="42"/>
      <c r="AB28888" s="38"/>
    </row>
    <row r="28889">
      <c r="P28889" s="42"/>
      <c r="AB28889" s="38"/>
    </row>
    <row r="28890">
      <c r="P28890" s="42"/>
      <c r="AB28890" s="38"/>
    </row>
    <row r="28891">
      <c r="P28891" s="42"/>
      <c r="AB28891" s="38"/>
    </row>
    <row r="28892">
      <c r="P28892" s="42"/>
      <c r="AB28892" s="38"/>
    </row>
    <row r="28893">
      <c r="P28893" s="42"/>
      <c r="AB28893" s="38"/>
    </row>
    <row r="28894">
      <c r="P28894" s="42"/>
      <c r="AB28894" s="38"/>
    </row>
    <row r="28895">
      <c r="P28895" s="42"/>
      <c r="AB28895" s="38"/>
    </row>
    <row r="28896">
      <c r="P28896" s="42"/>
      <c r="AB28896" s="38"/>
    </row>
    <row r="28897">
      <c r="P28897" s="42"/>
      <c r="AB28897" s="38"/>
    </row>
    <row r="28898">
      <c r="P28898" s="42"/>
      <c r="AB28898" s="38"/>
    </row>
    <row r="28899">
      <c r="P28899" s="42"/>
      <c r="AB28899" s="38"/>
    </row>
    <row r="28900">
      <c r="P28900" s="42"/>
      <c r="AB28900" s="38"/>
    </row>
    <row r="28901">
      <c r="P28901" s="42"/>
      <c r="AB28901" s="38"/>
    </row>
    <row r="28902">
      <c r="P28902" s="42"/>
      <c r="AB28902" s="38"/>
    </row>
    <row r="28903">
      <c r="P28903" s="42"/>
      <c r="AB28903" s="38"/>
    </row>
    <row r="28904">
      <c r="P28904" s="42"/>
      <c r="AB28904" s="38"/>
    </row>
    <row r="28905">
      <c r="P28905" s="42"/>
      <c r="AB28905" s="38"/>
    </row>
    <row r="28906">
      <c r="P28906" s="42"/>
      <c r="AB28906" s="38"/>
    </row>
    <row r="28907">
      <c r="P28907" s="42"/>
      <c r="AB28907" s="38"/>
    </row>
    <row r="28908">
      <c r="P28908" s="42"/>
      <c r="AB28908" s="38"/>
    </row>
    <row r="28909">
      <c r="P28909" s="42"/>
      <c r="AB28909" s="38"/>
    </row>
    <row r="28910">
      <c r="P28910" s="42"/>
      <c r="AB28910" s="38"/>
    </row>
    <row r="28911">
      <c r="P28911" s="42"/>
      <c r="AB28911" s="38"/>
    </row>
    <row r="28912">
      <c r="P28912" s="42"/>
      <c r="AB28912" s="38"/>
    </row>
    <row r="28913">
      <c r="P28913" s="42"/>
      <c r="AB28913" s="38"/>
    </row>
    <row r="28914">
      <c r="P28914" s="42"/>
      <c r="AB28914" s="38"/>
    </row>
    <row r="28915">
      <c r="P28915" s="42"/>
      <c r="AB28915" s="38"/>
    </row>
    <row r="28916">
      <c r="P28916" s="42"/>
      <c r="AB28916" s="38"/>
    </row>
    <row r="28917">
      <c r="P28917" s="42"/>
      <c r="AB28917" s="38"/>
    </row>
    <row r="28918">
      <c r="P28918" s="42"/>
      <c r="AB28918" s="38"/>
    </row>
    <row r="28919">
      <c r="P28919" s="42"/>
      <c r="AB28919" s="38"/>
    </row>
    <row r="28920">
      <c r="P28920" s="42"/>
      <c r="AB28920" s="38"/>
    </row>
    <row r="28921">
      <c r="P28921" s="42"/>
      <c r="AB28921" s="38"/>
    </row>
    <row r="28922">
      <c r="P28922" s="42"/>
      <c r="AB28922" s="38"/>
    </row>
    <row r="28923">
      <c r="P28923" s="42"/>
      <c r="AB28923" s="38"/>
    </row>
    <row r="28924">
      <c r="P28924" s="42"/>
      <c r="AB28924" s="38"/>
    </row>
    <row r="28925">
      <c r="P28925" s="42"/>
      <c r="AB28925" s="38"/>
    </row>
    <row r="28926">
      <c r="P28926" s="42"/>
      <c r="AB28926" s="38"/>
    </row>
    <row r="28927">
      <c r="P28927" s="42"/>
      <c r="AB28927" s="38"/>
    </row>
    <row r="28928">
      <c r="P28928" s="42"/>
      <c r="AB28928" s="38"/>
    </row>
    <row r="28929">
      <c r="P28929" s="42"/>
      <c r="AB28929" s="38"/>
    </row>
    <row r="28930">
      <c r="P28930" s="42"/>
      <c r="AB28930" s="38"/>
    </row>
    <row r="28931">
      <c r="P28931" s="42"/>
      <c r="AB28931" s="38"/>
    </row>
    <row r="28932">
      <c r="P28932" s="42"/>
      <c r="AB28932" s="38"/>
    </row>
    <row r="28933">
      <c r="P28933" s="42"/>
      <c r="AB28933" s="38"/>
    </row>
    <row r="28934">
      <c r="P28934" s="42"/>
      <c r="AB28934" s="38"/>
    </row>
    <row r="28935">
      <c r="P28935" s="42"/>
      <c r="AB28935" s="38"/>
    </row>
    <row r="28936">
      <c r="P28936" s="42"/>
      <c r="AB28936" s="38"/>
    </row>
    <row r="28937">
      <c r="P28937" s="42"/>
      <c r="AB28937" s="38"/>
    </row>
    <row r="28938">
      <c r="P28938" s="42"/>
      <c r="AB28938" s="38"/>
    </row>
    <row r="28939">
      <c r="P28939" s="42"/>
      <c r="AB28939" s="38"/>
    </row>
    <row r="28940">
      <c r="P28940" s="42"/>
      <c r="AB28940" s="38"/>
    </row>
    <row r="28941">
      <c r="P28941" s="42"/>
      <c r="AB28941" s="38"/>
    </row>
    <row r="28942">
      <c r="P28942" s="42"/>
      <c r="AB28942" s="38"/>
    </row>
    <row r="28943">
      <c r="P28943" s="42"/>
      <c r="AB28943" s="38"/>
    </row>
    <row r="28944">
      <c r="P28944" s="42"/>
      <c r="AB28944" s="38"/>
    </row>
    <row r="28945">
      <c r="P28945" s="42"/>
      <c r="AB28945" s="38"/>
    </row>
    <row r="28946">
      <c r="P28946" s="42"/>
      <c r="AB28946" s="38"/>
    </row>
    <row r="28947">
      <c r="P28947" s="42"/>
      <c r="AB28947" s="38"/>
    </row>
    <row r="28948">
      <c r="P28948" s="42"/>
      <c r="AB28948" s="38"/>
    </row>
    <row r="28949">
      <c r="P28949" s="42"/>
      <c r="AB28949" s="38"/>
    </row>
    <row r="28950">
      <c r="P28950" s="42"/>
      <c r="AB28950" s="38"/>
    </row>
    <row r="28951">
      <c r="P28951" s="42"/>
      <c r="AB28951" s="38"/>
    </row>
    <row r="28952">
      <c r="P28952" s="42"/>
      <c r="AB28952" s="38"/>
    </row>
    <row r="28953">
      <c r="P28953" s="42"/>
      <c r="AB28953" s="38"/>
    </row>
    <row r="28954">
      <c r="P28954" s="42"/>
      <c r="AB28954" s="38"/>
    </row>
    <row r="28955">
      <c r="P28955" s="42"/>
      <c r="AB28955" s="38"/>
    </row>
    <row r="28956">
      <c r="P28956" s="42"/>
      <c r="AB28956" s="38"/>
    </row>
    <row r="28957">
      <c r="P28957" s="42"/>
      <c r="AB28957" s="38"/>
    </row>
    <row r="28958">
      <c r="P28958" s="42"/>
      <c r="AB28958" s="38"/>
    </row>
    <row r="28959">
      <c r="P28959" s="42"/>
      <c r="AB28959" s="38"/>
    </row>
    <row r="28960">
      <c r="P28960" s="42"/>
      <c r="AB28960" s="38"/>
    </row>
    <row r="28961">
      <c r="P28961" s="42"/>
      <c r="AB28961" s="38"/>
    </row>
    <row r="28962">
      <c r="P28962" s="42"/>
      <c r="AB28962" s="38"/>
    </row>
    <row r="28963">
      <c r="P28963" s="42"/>
      <c r="AB28963" s="38"/>
    </row>
    <row r="28964">
      <c r="P28964" s="42"/>
      <c r="AB28964" s="38"/>
    </row>
    <row r="28965">
      <c r="P28965" s="42"/>
      <c r="AB28965" s="38"/>
    </row>
    <row r="28966">
      <c r="P28966" s="42"/>
      <c r="AB28966" s="38"/>
    </row>
    <row r="28967">
      <c r="P28967" s="42"/>
      <c r="AB28967" s="38"/>
    </row>
    <row r="28968">
      <c r="P28968" s="42"/>
      <c r="AB28968" s="38"/>
    </row>
    <row r="28969">
      <c r="P28969" s="42"/>
      <c r="AB28969" s="38"/>
    </row>
    <row r="28970">
      <c r="P28970" s="42"/>
      <c r="AB28970" s="38"/>
    </row>
    <row r="28971">
      <c r="P28971" s="42"/>
      <c r="AB28971" s="38"/>
    </row>
    <row r="28972">
      <c r="P28972" s="42"/>
      <c r="AB28972" s="38"/>
    </row>
    <row r="28973">
      <c r="P28973" s="42"/>
      <c r="AB28973" s="38"/>
    </row>
    <row r="28974">
      <c r="P28974" s="42"/>
      <c r="AB28974" s="38"/>
    </row>
    <row r="28975">
      <c r="P28975" s="42"/>
      <c r="AB28975" s="38"/>
    </row>
    <row r="28976">
      <c r="P28976" s="42"/>
      <c r="AB28976" s="38"/>
    </row>
    <row r="28977">
      <c r="P28977" s="42"/>
      <c r="AB28977" s="38"/>
    </row>
    <row r="28978">
      <c r="P28978" s="42"/>
      <c r="AB28978" s="38"/>
    </row>
    <row r="28979">
      <c r="P28979" s="42"/>
      <c r="AB28979" s="38"/>
    </row>
    <row r="28980">
      <c r="P28980" s="42"/>
      <c r="AB28980" s="38"/>
    </row>
    <row r="28981">
      <c r="P28981" s="42"/>
      <c r="AB28981" s="38"/>
    </row>
    <row r="28982">
      <c r="P28982" s="42"/>
      <c r="AB28982" s="38"/>
    </row>
    <row r="28983">
      <c r="P28983" s="42"/>
      <c r="AB28983" s="38"/>
    </row>
    <row r="28984">
      <c r="P28984" s="42"/>
      <c r="AB28984" s="38"/>
    </row>
    <row r="28985">
      <c r="P28985" s="42"/>
      <c r="AB28985" s="38"/>
    </row>
    <row r="28986">
      <c r="P28986" s="42"/>
      <c r="AB28986" s="38"/>
    </row>
    <row r="28987">
      <c r="P28987" s="42"/>
      <c r="AB28987" s="38"/>
    </row>
    <row r="28988">
      <c r="P28988" s="42"/>
      <c r="AB28988" s="38"/>
    </row>
    <row r="28989">
      <c r="P28989" s="42"/>
      <c r="AB28989" s="38"/>
    </row>
    <row r="28990">
      <c r="P28990" s="42"/>
      <c r="AB28990" s="38"/>
    </row>
    <row r="28991">
      <c r="P28991" s="42"/>
      <c r="AB28991" s="38"/>
    </row>
    <row r="28992">
      <c r="P28992" s="42"/>
      <c r="AB28992" s="38"/>
    </row>
    <row r="28993">
      <c r="P28993" s="42"/>
      <c r="AB28993" s="38"/>
    </row>
    <row r="28994">
      <c r="P28994" s="42"/>
      <c r="AB28994" s="38"/>
    </row>
    <row r="28995">
      <c r="P28995" s="42"/>
      <c r="AB28995" s="38"/>
    </row>
    <row r="28996">
      <c r="P28996" s="42"/>
      <c r="AB28996" s="38"/>
    </row>
    <row r="28997">
      <c r="P28997" s="42"/>
      <c r="AB28997" s="38"/>
    </row>
    <row r="28998">
      <c r="P28998" s="42"/>
      <c r="AB28998" s="38"/>
    </row>
    <row r="28999">
      <c r="P28999" s="42"/>
      <c r="AB28999" s="38"/>
    </row>
    <row r="29000">
      <c r="P29000" s="42"/>
      <c r="AB29000" s="38"/>
    </row>
    <row r="29001">
      <c r="P29001" s="42"/>
      <c r="AB29001" s="38"/>
    </row>
    <row r="29002">
      <c r="P29002" s="42"/>
      <c r="AB29002" s="38"/>
    </row>
    <row r="29003">
      <c r="P29003" s="42"/>
      <c r="AB29003" s="38"/>
    </row>
    <row r="29004">
      <c r="P29004" s="42"/>
      <c r="AB29004" s="38"/>
    </row>
    <row r="29005">
      <c r="P29005" s="42"/>
      <c r="AB29005" s="38"/>
    </row>
    <row r="29006">
      <c r="P29006" s="42"/>
      <c r="AB29006" s="38"/>
    </row>
    <row r="29007">
      <c r="P29007" s="42"/>
      <c r="AB29007" s="38"/>
    </row>
    <row r="29008">
      <c r="P29008" s="42"/>
      <c r="AB29008" s="38"/>
    </row>
    <row r="29009">
      <c r="P29009" s="42"/>
      <c r="AB29009" s="38"/>
    </row>
    <row r="29010">
      <c r="P29010" s="42"/>
      <c r="AB29010" s="38"/>
    </row>
    <row r="29011">
      <c r="P29011" s="42"/>
      <c r="AB29011" s="38"/>
    </row>
    <row r="29012">
      <c r="P29012" s="42"/>
      <c r="AB29012" s="38"/>
    </row>
    <row r="29013">
      <c r="P29013" s="42"/>
      <c r="AB29013" s="38"/>
    </row>
    <row r="29014">
      <c r="P29014" s="42"/>
      <c r="AB29014" s="38"/>
    </row>
    <row r="29015">
      <c r="P29015" s="42"/>
      <c r="AB29015" s="38"/>
    </row>
    <row r="29016">
      <c r="P29016" s="42"/>
      <c r="AB29016" s="38"/>
    </row>
    <row r="29017">
      <c r="P29017" s="42"/>
      <c r="AB29017" s="38"/>
    </row>
    <row r="29018">
      <c r="P29018" s="42"/>
      <c r="AB29018" s="38"/>
    </row>
    <row r="29019">
      <c r="P29019" s="42"/>
      <c r="AB29019" s="38"/>
    </row>
    <row r="29020">
      <c r="P29020" s="42"/>
      <c r="AB29020" s="38"/>
    </row>
    <row r="29021">
      <c r="P29021" s="42"/>
      <c r="AB29021" s="38"/>
    </row>
    <row r="29022">
      <c r="P29022" s="42"/>
      <c r="AB29022" s="38"/>
    </row>
    <row r="29023">
      <c r="P29023" s="42"/>
      <c r="AB29023" s="38"/>
    </row>
    <row r="29024">
      <c r="P29024" s="42"/>
      <c r="AB29024" s="38"/>
    </row>
    <row r="29025">
      <c r="P29025" s="42"/>
      <c r="AB29025" s="38"/>
    </row>
    <row r="29026">
      <c r="P29026" s="42"/>
      <c r="AB29026" s="38"/>
    </row>
    <row r="29027">
      <c r="P29027" s="42"/>
      <c r="AB29027" s="38"/>
    </row>
    <row r="29028">
      <c r="P29028" s="42"/>
      <c r="AB29028" s="38"/>
    </row>
    <row r="29029">
      <c r="P29029" s="42"/>
      <c r="AB29029" s="38"/>
    </row>
    <row r="29030">
      <c r="P29030" s="42"/>
      <c r="AB29030" s="38"/>
    </row>
    <row r="29031">
      <c r="P29031" s="42"/>
      <c r="AB29031" s="38"/>
    </row>
    <row r="29032">
      <c r="P29032" s="42"/>
      <c r="AB29032" s="38"/>
    </row>
    <row r="29033">
      <c r="P29033" s="42"/>
      <c r="AB29033" s="38"/>
    </row>
    <row r="29034">
      <c r="P29034" s="42"/>
      <c r="AB29034" s="38"/>
    </row>
    <row r="29035">
      <c r="P29035" s="42"/>
      <c r="AB29035" s="38"/>
    </row>
    <row r="29036">
      <c r="P29036" s="42"/>
      <c r="AB29036" s="38"/>
    </row>
    <row r="29037">
      <c r="P29037" s="42"/>
      <c r="AB29037" s="38"/>
    </row>
    <row r="29038">
      <c r="P29038" s="42"/>
      <c r="AB29038" s="38"/>
    </row>
    <row r="29039">
      <c r="P29039" s="42"/>
      <c r="AB29039" s="38"/>
    </row>
    <row r="29040">
      <c r="P29040" s="42"/>
      <c r="AB29040" s="38"/>
    </row>
    <row r="29041">
      <c r="P29041" s="42"/>
      <c r="AB29041" s="38"/>
    </row>
    <row r="29042">
      <c r="P29042" s="42"/>
      <c r="AB29042" s="38"/>
    </row>
    <row r="29043">
      <c r="P29043" s="42"/>
      <c r="AB29043" s="38"/>
    </row>
    <row r="29044">
      <c r="P29044" s="42"/>
      <c r="AB29044" s="38"/>
    </row>
    <row r="29045">
      <c r="P29045" s="42"/>
      <c r="AB29045" s="38"/>
    </row>
    <row r="29046">
      <c r="P29046" s="42"/>
      <c r="AB29046" s="38"/>
    </row>
    <row r="29047">
      <c r="P29047" s="42"/>
      <c r="AB29047" s="38"/>
    </row>
    <row r="29048">
      <c r="P29048" s="42"/>
      <c r="AB29048" s="38"/>
    </row>
    <row r="29049">
      <c r="P29049" s="42"/>
      <c r="AB29049" s="38"/>
    </row>
    <row r="29050">
      <c r="P29050" s="42"/>
      <c r="AB29050" s="38"/>
    </row>
    <row r="29051">
      <c r="P29051" s="42"/>
      <c r="AB29051" s="38"/>
    </row>
    <row r="29052">
      <c r="P29052" s="42"/>
      <c r="AB29052" s="38"/>
    </row>
    <row r="29053">
      <c r="P29053" s="42"/>
      <c r="AB29053" s="38"/>
    </row>
    <row r="29054">
      <c r="P29054" s="42"/>
      <c r="AB29054" s="38"/>
    </row>
    <row r="29055">
      <c r="P29055" s="42"/>
      <c r="AB29055" s="38"/>
    </row>
    <row r="29056">
      <c r="P29056" s="42"/>
      <c r="AB29056" s="38"/>
    </row>
    <row r="29057">
      <c r="P29057" s="42"/>
      <c r="AB29057" s="38"/>
    </row>
    <row r="29058">
      <c r="P29058" s="42"/>
      <c r="AB29058" s="38"/>
    </row>
    <row r="29059">
      <c r="P29059" s="42"/>
      <c r="AB29059" s="38"/>
    </row>
    <row r="29060">
      <c r="P29060" s="42"/>
      <c r="AB29060" s="38"/>
    </row>
    <row r="29061">
      <c r="P29061" s="42"/>
      <c r="AB29061" s="38"/>
    </row>
    <row r="29062">
      <c r="P29062" s="42"/>
      <c r="AB29062" s="38"/>
    </row>
    <row r="29063">
      <c r="P29063" s="42"/>
      <c r="AB29063" s="38"/>
    </row>
    <row r="29064">
      <c r="P29064" s="42"/>
      <c r="AB29064" s="38"/>
    </row>
    <row r="29065">
      <c r="P29065" s="42"/>
      <c r="AB29065" s="38"/>
    </row>
    <row r="29066">
      <c r="P29066" s="42"/>
      <c r="AB29066" s="38"/>
    </row>
    <row r="29067">
      <c r="P29067" s="42"/>
      <c r="AB29067" s="38"/>
    </row>
    <row r="29068">
      <c r="P29068" s="42"/>
      <c r="AB29068" s="38"/>
    </row>
    <row r="29069">
      <c r="P29069" s="42"/>
      <c r="AB29069" s="38"/>
    </row>
    <row r="29070">
      <c r="P29070" s="42"/>
      <c r="AB29070" s="38"/>
    </row>
    <row r="29071">
      <c r="P29071" s="42"/>
      <c r="AB29071" s="38"/>
    </row>
    <row r="29072">
      <c r="P29072" s="42"/>
      <c r="AB29072" s="38"/>
    </row>
    <row r="29073">
      <c r="P29073" s="42"/>
      <c r="AB29073" s="38"/>
    </row>
    <row r="29074">
      <c r="P29074" s="42"/>
      <c r="AB29074" s="38"/>
    </row>
    <row r="29075">
      <c r="P29075" s="42"/>
      <c r="AB29075" s="38"/>
    </row>
    <row r="29076">
      <c r="P29076" s="42"/>
      <c r="AB29076" s="38"/>
    </row>
    <row r="29077">
      <c r="P29077" s="42"/>
      <c r="AB29077" s="38"/>
    </row>
    <row r="29078">
      <c r="P29078" s="42"/>
      <c r="AB29078" s="38"/>
    </row>
    <row r="29079">
      <c r="P29079" s="42"/>
      <c r="AB29079" s="38"/>
    </row>
    <row r="29080">
      <c r="P29080" s="42"/>
      <c r="AB29080" s="38"/>
    </row>
    <row r="29081">
      <c r="P29081" s="42"/>
      <c r="AB29081" s="38"/>
    </row>
    <row r="29082">
      <c r="P29082" s="42"/>
      <c r="AB29082" s="38"/>
    </row>
    <row r="29083">
      <c r="P29083" s="42"/>
      <c r="AB29083" s="38"/>
    </row>
    <row r="29084">
      <c r="P29084" s="42"/>
      <c r="AB29084" s="38"/>
    </row>
    <row r="29085">
      <c r="P29085" s="42"/>
      <c r="AB29085" s="38"/>
    </row>
    <row r="29086">
      <c r="P29086" s="42"/>
      <c r="AB29086" s="38"/>
    </row>
    <row r="29087">
      <c r="P29087" s="42"/>
      <c r="AB29087" s="38"/>
    </row>
    <row r="29088">
      <c r="P29088" s="42"/>
      <c r="AB29088" s="38"/>
    </row>
    <row r="29089">
      <c r="P29089" s="42"/>
      <c r="AB29089" s="38"/>
    </row>
    <row r="29090">
      <c r="P29090" s="42"/>
      <c r="AB29090" s="38"/>
    </row>
    <row r="29091">
      <c r="P29091" s="42"/>
      <c r="AB29091" s="38"/>
    </row>
    <row r="29092">
      <c r="P29092" s="42"/>
      <c r="AB29092" s="38"/>
    </row>
    <row r="29093">
      <c r="P29093" s="42"/>
      <c r="AB29093" s="38"/>
    </row>
    <row r="29094">
      <c r="P29094" s="42"/>
      <c r="AB29094" s="38"/>
    </row>
    <row r="29095">
      <c r="P29095" s="42"/>
      <c r="AB29095" s="38"/>
    </row>
    <row r="29096">
      <c r="P29096" s="42"/>
      <c r="AB29096" s="38"/>
    </row>
    <row r="29097">
      <c r="P29097" s="42"/>
      <c r="AB29097" s="38"/>
    </row>
    <row r="29098">
      <c r="P29098" s="42"/>
      <c r="AB29098" s="38"/>
    </row>
    <row r="29099">
      <c r="P29099" s="42"/>
      <c r="AB29099" s="38"/>
    </row>
    <row r="29100">
      <c r="P29100" s="42"/>
      <c r="AB29100" s="38"/>
    </row>
    <row r="29101">
      <c r="P29101" s="42"/>
      <c r="AB29101" s="38"/>
    </row>
    <row r="29102">
      <c r="P29102" s="42"/>
      <c r="AB29102" s="38"/>
    </row>
    <row r="29103">
      <c r="P29103" s="42"/>
      <c r="AB29103" s="38"/>
    </row>
    <row r="29104">
      <c r="P29104" s="42"/>
      <c r="AB29104" s="38"/>
    </row>
    <row r="29105">
      <c r="P29105" s="42"/>
      <c r="AB29105" s="38"/>
    </row>
    <row r="29106">
      <c r="P29106" s="42"/>
      <c r="AB29106" s="38"/>
    </row>
    <row r="29107">
      <c r="P29107" s="42"/>
      <c r="AB29107" s="38"/>
    </row>
    <row r="29108">
      <c r="P29108" s="42"/>
      <c r="AB29108" s="38"/>
    </row>
    <row r="29109">
      <c r="P29109" s="42"/>
      <c r="AB29109" s="38"/>
    </row>
    <row r="29110">
      <c r="P29110" s="42"/>
      <c r="AB29110" s="38"/>
    </row>
    <row r="29111">
      <c r="P29111" s="42"/>
      <c r="AB29111" s="38"/>
    </row>
    <row r="29112">
      <c r="P29112" s="42"/>
      <c r="AB29112" s="38"/>
    </row>
    <row r="29113">
      <c r="P29113" s="42"/>
      <c r="AB29113" s="38"/>
    </row>
    <row r="29114">
      <c r="P29114" s="42"/>
      <c r="AB29114" s="38"/>
    </row>
    <row r="29115">
      <c r="P29115" s="42"/>
      <c r="AB29115" s="38"/>
    </row>
    <row r="29116">
      <c r="P29116" s="42"/>
      <c r="AB29116" s="38"/>
    </row>
    <row r="29117">
      <c r="P29117" s="42"/>
      <c r="AB29117" s="38"/>
    </row>
    <row r="29118">
      <c r="P29118" s="42"/>
      <c r="AB29118" s="38"/>
    </row>
    <row r="29119">
      <c r="P29119" s="42"/>
      <c r="AB29119" s="38"/>
    </row>
    <row r="29120">
      <c r="P29120" s="42"/>
      <c r="AB29120" s="38"/>
    </row>
    <row r="29121">
      <c r="P29121" s="42"/>
      <c r="AB29121" s="38"/>
    </row>
    <row r="29122">
      <c r="P29122" s="42"/>
      <c r="AB29122" s="38"/>
    </row>
    <row r="29123">
      <c r="P29123" s="42"/>
      <c r="AB29123" s="38"/>
    </row>
    <row r="29124">
      <c r="P29124" s="42"/>
      <c r="AB29124" s="38"/>
    </row>
    <row r="29125">
      <c r="P29125" s="42"/>
      <c r="AB29125" s="38"/>
    </row>
    <row r="29126">
      <c r="P29126" s="42"/>
      <c r="AB29126" s="38"/>
    </row>
    <row r="29127">
      <c r="P29127" s="42"/>
      <c r="AB29127" s="38"/>
    </row>
    <row r="29128">
      <c r="P29128" s="42"/>
      <c r="AB29128" s="38"/>
    </row>
    <row r="29129">
      <c r="P29129" s="42"/>
      <c r="AB29129" s="38"/>
    </row>
    <row r="29130">
      <c r="P29130" s="42"/>
      <c r="AB29130" s="38"/>
    </row>
    <row r="29131">
      <c r="P29131" s="42"/>
      <c r="AB29131" s="38"/>
    </row>
    <row r="29132">
      <c r="P29132" s="42"/>
      <c r="AB29132" s="38"/>
    </row>
    <row r="29133">
      <c r="P29133" s="42"/>
      <c r="AB29133" s="38"/>
    </row>
    <row r="29134">
      <c r="P29134" s="42"/>
      <c r="AB29134" s="38"/>
    </row>
    <row r="29135">
      <c r="P29135" s="42"/>
      <c r="AB29135" s="38"/>
    </row>
    <row r="29136">
      <c r="P29136" s="42"/>
      <c r="AB29136" s="38"/>
    </row>
    <row r="29137">
      <c r="P29137" s="42"/>
      <c r="AB29137" s="38"/>
    </row>
    <row r="29138">
      <c r="P29138" s="42"/>
      <c r="AB29138" s="38"/>
    </row>
    <row r="29139">
      <c r="P29139" s="42"/>
      <c r="AB29139" s="38"/>
    </row>
    <row r="29140">
      <c r="P29140" s="42"/>
      <c r="AB29140" s="38"/>
    </row>
    <row r="29141">
      <c r="P29141" s="42"/>
      <c r="AB29141" s="38"/>
    </row>
    <row r="29142">
      <c r="P29142" s="42"/>
      <c r="AB29142" s="38"/>
    </row>
    <row r="29143">
      <c r="P29143" s="42"/>
      <c r="AB29143" s="38"/>
    </row>
    <row r="29144">
      <c r="P29144" s="42"/>
      <c r="AB29144" s="38"/>
    </row>
    <row r="29145">
      <c r="P29145" s="42"/>
      <c r="AB29145" s="38"/>
    </row>
    <row r="29146">
      <c r="P29146" s="42"/>
      <c r="AB29146" s="38"/>
    </row>
    <row r="29147">
      <c r="P29147" s="42"/>
      <c r="AB29147" s="38"/>
    </row>
    <row r="29148">
      <c r="P29148" s="42"/>
      <c r="AB29148" s="38"/>
    </row>
    <row r="29149">
      <c r="P29149" s="42"/>
      <c r="AB29149" s="38"/>
    </row>
    <row r="29150">
      <c r="P29150" s="42"/>
      <c r="AB29150" s="38"/>
    </row>
    <row r="29151">
      <c r="P29151" s="42"/>
      <c r="AB29151" s="38"/>
    </row>
    <row r="29152">
      <c r="P29152" s="42"/>
      <c r="AB29152" s="38"/>
    </row>
    <row r="29153">
      <c r="P29153" s="42"/>
      <c r="AB29153" s="38"/>
    </row>
    <row r="29154">
      <c r="P29154" s="42"/>
      <c r="AB29154" s="38"/>
    </row>
    <row r="29155">
      <c r="P29155" s="42"/>
      <c r="AB29155" s="38"/>
    </row>
    <row r="29156">
      <c r="P29156" s="42"/>
      <c r="AB29156" s="38"/>
    </row>
    <row r="29157">
      <c r="P29157" s="42"/>
      <c r="AB29157" s="38"/>
    </row>
    <row r="29158">
      <c r="P29158" s="42"/>
      <c r="AB29158" s="38"/>
    </row>
    <row r="29159">
      <c r="P29159" s="42"/>
      <c r="AB29159" s="38"/>
    </row>
    <row r="29160">
      <c r="P29160" s="42"/>
      <c r="AB29160" s="38"/>
    </row>
    <row r="29161">
      <c r="P29161" s="42"/>
      <c r="AB29161" s="38"/>
    </row>
    <row r="29162">
      <c r="P29162" s="42"/>
      <c r="AB29162" s="38"/>
    </row>
    <row r="29163">
      <c r="P29163" s="42"/>
      <c r="AB29163" s="38"/>
    </row>
    <row r="29164">
      <c r="P29164" s="42"/>
      <c r="AB29164" s="38"/>
    </row>
    <row r="29165">
      <c r="P29165" s="42"/>
      <c r="AB29165" s="38"/>
    </row>
    <row r="29166">
      <c r="P29166" s="42"/>
      <c r="AB29166" s="38"/>
    </row>
    <row r="29167">
      <c r="P29167" s="42"/>
      <c r="AB29167" s="38"/>
    </row>
    <row r="29168">
      <c r="P29168" s="42"/>
      <c r="AB29168" s="38"/>
    </row>
    <row r="29169">
      <c r="P29169" s="42"/>
      <c r="AB29169" s="38"/>
    </row>
    <row r="29170">
      <c r="P29170" s="42"/>
      <c r="AB29170" s="38"/>
    </row>
    <row r="29171">
      <c r="P29171" s="42"/>
      <c r="AB29171" s="38"/>
    </row>
    <row r="29172">
      <c r="P29172" s="42"/>
      <c r="AB29172" s="38"/>
    </row>
    <row r="29173">
      <c r="P29173" s="42"/>
      <c r="AB29173" s="38"/>
    </row>
    <row r="29174">
      <c r="P29174" s="42"/>
      <c r="AB29174" s="38"/>
    </row>
    <row r="29175">
      <c r="P29175" s="42"/>
      <c r="AB29175" s="38"/>
    </row>
    <row r="29176">
      <c r="P29176" s="42"/>
      <c r="AB29176" s="38"/>
    </row>
    <row r="29177">
      <c r="P29177" s="42"/>
      <c r="AB29177" s="38"/>
    </row>
    <row r="29178">
      <c r="P29178" s="42"/>
      <c r="AB29178" s="38"/>
    </row>
    <row r="29179">
      <c r="P29179" s="42"/>
      <c r="AB29179" s="38"/>
    </row>
    <row r="29180">
      <c r="P29180" s="42"/>
      <c r="AB29180" s="38"/>
    </row>
    <row r="29181">
      <c r="P29181" s="42"/>
      <c r="AB29181" s="38"/>
    </row>
    <row r="29182">
      <c r="P29182" s="42"/>
      <c r="AB29182" s="38"/>
    </row>
    <row r="29183">
      <c r="P29183" s="42"/>
      <c r="AB29183" s="38"/>
    </row>
    <row r="29184">
      <c r="P29184" s="42"/>
      <c r="AB29184" s="38"/>
    </row>
    <row r="29185">
      <c r="P29185" s="42"/>
      <c r="AB29185" s="38"/>
    </row>
    <row r="29186">
      <c r="P29186" s="42"/>
      <c r="AB29186" s="38"/>
    </row>
    <row r="29187">
      <c r="P29187" s="42"/>
      <c r="AB29187" s="38"/>
    </row>
    <row r="29188">
      <c r="P29188" s="42"/>
      <c r="AB29188" s="38"/>
    </row>
    <row r="29189">
      <c r="P29189" s="42"/>
      <c r="AB29189" s="38"/>
    </row>
    <row r="29190">
      <c r="P29190" s="42"/>
      <c r="AB29190" s="38"/>
    </row>
    <row r="29191">
      <c r="P29191" s="42"/>
      <c r="AB29191" s="38"/>
    </row>
    <row r="29192">
      <c r="P29192" s="42"/>
      <c r="AB29192" s="38"/>
    </row>
    <row r="29193">
      <c r="P29193" s="42"/>
      <c r="AB29193" s="38"/>
    </row>
    <row r="29194">
      <c r="P29194" s="42"/>
      <c r="AB29194" s="38"/>
    </row>
    <row r="29195">
      <c r="P29195" s="42"/>
      <c r="AB29195" s="38"/>
    </row>
    <row r="29196">
      <c r="P29196" s="42"/>
      <c r="AB29196" s="38"/>
    </row>
    <row r="29197">
      <c r="P29197" s="42"/>
      <c r="AB29197" s="38"/>
    </row>
    <row r="29198">
      <c r="P29198" s="42"/>
      <c r="AB29198" s="38"/>
    </row>
    <row r="29199">
      <c r="P29199" s="42"/>
      <c r="AB29199" s="38"/>
    </row>
    <row r="29200">
      <c r="P29200" s="42"/>
      <c r="AB29200" s="38"/>
    </row>
    <row r="29201">
      <c r="P29201" s="42"/>
      <c r="AB29201" s="38"/>
    </row>
    <row r="29202">
      <c r="P29202" s="42"/>
      <c r="AB29202" s="38"/>
    </row>
    <row r="29203">
      <c r="P29203" s="42"/>
      <c r="AB29203" s="38"/>
    </row>
    <row r="29204">
      <c r="P29204" s="42"/>
      <c r="AB29204" s="38"/>
    </row>
    <row r="29205">
      <c r="P29205" s="42"/>
      <c r="AB29205" s="38"/>
    </row>
    <row r="29206">
      <c r="P29206" s="42"/>
      <c r="AB29206" s="38"/>
    </row>
    <row r="29207">
      <c r="P29207" s="42"/>
      <c r="AB29207" s="38"/>
    </row>
    <row r="29208">
      <c r="P29208" s="42"/>
      <c r="AB29208" s="38"/>
    </row>
    <row r="29209">
      <c r="P29209" s="42"/>
      <c r="AB29209" s="38"/>
    </row>
    <row r="29210">
      <c r="P29210" s="42"/>
      <c r="AB29210" s="38"/>
    </row>
    <row r="29211">
      <c r="P29211" s="42"/>
      <c r="AB29211" s="38"/>
    </row>
    <row r="29212">
      <c r="P29212" s="42"/>
      <c r="AB29212" s="38"/>
    </row>
    <row r="29213">
      <c r="P29213" s="42"/>
      <c r="AB29213" s="38"/>
    </row>
    <row r="29214">
      <c r="P29214" s="42"/>
      <c r="AB29214" s="38"/>
    </row>
    <row r="29215">
      <c r="P29215" s="42"/>
      <c r="AB29215" s="38"/>
    </row>
    <row r="29216">
      <c r="P29216" s="42"/>
      <c r="AB29216" s="38"/>
    </row>
    <row r="29217">
      <c r="P29217" s="42"/>
      <c r="AB29217" s="38"/>
    </row>
    <row r="29218">
      <c r="P29218" s="42"/>
      <c r="AB29218" s="38"/>
    </row>
    <row r="29219">
      <c r="P29219" s="42"/>
      <c r="AB29219" s="38"/>
    </row>
    <row r="29220">
      <c r="P29220" s="42"/>
      <c r="AB29220" s="38"/>
    </row>
    <row r="29221">
      <c r="P29221" s="42"/>
      <c r="AB29221" s="38"/>
    </row>
    <row r="29222">
      <c r="P29222" s="42"/>
      <c r="AB29222" s="38"/>
    </row>
    <row r="29223">
      <c r="P29223" s="42"/>
      <c r="AB29223" s="38"/>
    </row>
    <row r="29224">
      <c r="P29224" s="42"/>
      <c r="AB29224" s="38"/>
    </row>
    <row r="29225">
      <c r="P29225" s="42"/>
      <c r="AB29225" s="38"/>
    </row>
    <row r="29226">
      <c r="P29226" s="42"/>
      <c r="AB29226" s="38"/>
    </row>
    <row r="29227">
      <c r="P29227" s="42"/>
      <c r="AB29227" s="38"/>
    </row>
    <row r="29228">
      <c r="P29228" s="42"/>
      <c r="AB29228" s="38"/>
    </row>
    <row r="29229">
      <c r="P29229" s="42"/>
      <c r="AB29229" s="38"/>
    </row>
    <row r="29230">
      <c r="P29230" s="42"/>
      <c r="AB29230" s="38"/>
    </row>
    <row r="29231">
      <c r="P29231" s="42"/>
      <c r="AB29231" s="38"/>
    </row>
    <row r="29232">
      <c r="P29232" s="42"/>
      <c r="AB29232" s="38"/>
    </row>
    <row r="29233">
      <c r="P29233" s="42"/>
      <c r="AB29233" s="38"/>
    </row>
    <row r="29234">
      <c r="P29234" s="42"/>
      <c r="AB29234" s="38"/>
    </row>
    <row r="29235">
      <c r="P29235" s="42"/>
      <c r="AB29235" s="38"/>
    </row>
    <row r="29236">
      <c r="P29236" s="42"/>
      <c r="AB29236" s="38"/>
    </row>
    <row r="29237">
      <c r="P29237" s="42"/>
      <c r="AB29237" s="38"/>
    </row>
    <row r="29238">
      <c r="P29238" s="42"/>
      <c r="AB29238" s="38"/>
    </row>
    <row r="29239">
      <c r="P29239" s="42"/>
      <c r="AB29239" s="38"/>
    </row>
    <row r="29240">
      <c r="P29240" s="42"/>
      <c r="AB29240" s="38"/>
    </row>
    <row r="29241">
      <c r="P29241" s="42"/>
      <c r="AB29241" s="38"/>
    </row>
    <row r="29242">
      <c r="P29242" s="42"/>
      <c r="AB29242" s="38"/>
    </row>
    <row r="29243">
      <c r="P29243" s="42"/>
      <c r="AB29243" s="38"/>
    </row>
    <row r="29244">
      <c r="P29244" s="42"/>
      <c r="AB29244" s="38"/>
    </row>
    <row r="29245">
      <c r="P29245" s="42"/>
      <c r="AB29245" s="38"/>
    </row>
    <row r="29246">
      <c r="P29246" s="42"/>
      <c r="AB29246" s="38"/>
    </row>
    <row r="29247">
      <c r="P29247" s="42"/>
      <c r="AB29247" s="38"/>
    </row>
    <row r="29248">
      <c r="P29248" s="42"/>
      <c r="AB29248" s="38"/>
    </row>
    <row r="29249">
      <c r="P29249" s="42"/>
      <c r="AB29249" s="38"/>
    </row>
    <row r="29250">
      <c r="P29250" s="42"/>
      <c r="AB29250" s="38"/>
    </row>
    <row r="29251">
      <c r="P29251" s="42"/>
      <c r="AB29251" s="38"/>
    </row>
    <row r="29252">
      <c r="P29252" s="42"/>
      <c r="AB29252" s="38"/>
    </row>
    <row r="29253">
      <c r="P29253" s="42"/>
      <c r="AB29253" s="38"/>
    </row>
    <row r="29254">
      <c r="P29254" s="42"/>
      <c r="AB29254" s="38"/>
    </row>
    <row r="29255">
      <c r="P29255" s="42"/>
      <c r="AB29255" s="38"/>
    </row>
    <row r="29256">
      <c r="P29256" s="42"/>
      <c r="AB29256" s="38"/>
    </row>
    <row r="29257">
      <c r="P29257" s="42"/>
      <c r="AB29257" s="38"/>
    </row>
    <row r="29258">
      <c r="P29258" s="42"/>
      <c r="AB29258" s="38"/>
    </row>
    <row r="29259">
      <c r="P29259" s="42"/>
      <c r="AB29259" s="38"/>
    </row>
    <row r="29260">
      <c r="P29260" s="42"/>
      <c r="AB29260" s="38"/>
    </row>
    <row r="29261">
      <c r="P29261" s="42"/>
      <c r="AB29261" s="38"/>
    </row>
    <row r="29262">
      <c r="P29262" s="42"/>
      <c r="AB29262" s="38"/>
    </row>
    <row r="29263">
      <c r="P29263" s="42"/>
      <c r="AB29263" s="38"/>
    </row>
    <row r="29264">
      <c r="P29264" s="42"/>
      <c r="AB29264" s="38"/>
    </row>
    <row r="29265">
      <c r="P29265" s="42"/>
      <c r="AB29265" s="38"/>
    </row>
    <row r="29266">
      <c r="P29266" s="42"/>
      <c r="AB29266" s="38"/>
    </row>
    <row r="29267">
      <c r="P29267" s="42"/>
      <c r="AB29267" s="38"/>
    </row>
    <row r="29268">
      <c r="P29268" s="42"/>
      <c r="AB29268" s="38"/>
    </row>
    <row r="29269">
      <c r="P29269" s="42"/>
      <c r="AB29269" s="38"/>
    </row>
    <row r="29270">
      <c r="P29270" s="42"/>
      <c r="AB29270" s="38"/>
    </row>
    <row r="29271">
      <c r="P29271" s="42"/>
      <c r="AB29271" s="38"/>
    </row>
    <row r="29272">
      <c r="P29272" s="42"/>
      <c r="AB29272" s="38"/>
    </row>
    <row r="29273">
      <c r="P29273" s="42"/>
      <c r="AB29273" s="38"/>
    </row>
    <row r="29274">
      <c r="P29274" s="42"/>
      <c r="AB29274" s="38"/>
    </row>
    <row r="29275">
      <c r="P29275" s="42"/>
      <c r="AB29275" s="38"/>
    </row>
    <row r="29276">
      <c r="P29276" s="42"/>
      <c r="AB29276" s="38"/>
    </row>
    <row r="29277">
      <c r="P29277" s="42"/>
      <c r="AB29277" s="38"/>
    </row>
    <row r="29278">
      <c r="P29278" s="42"/>
      <c r="AB29278" s="38"/>
    </row>
    <row r="29279">
      <c r="P29279" s="42"/>
      <c r="AB29279" s="38"/>
    </row>
    <row r="29280">
      <c r="P29280" s="42"/>
      <c r="AB29280" s="38"/>
    </row>
    <row r="29281">
      <c r="P29281" s="42"/>
      <c r="AB29281" s="38"/>
    </row>
    <row r="29282">
      <c r="P29282" s="42"/>
      <c r="AB29282" s="38"/>
    </row>
    <row r="29283">
      <c r="P29283" s="42"/>
      <c r="AB29283" s="38"/>
    </row>
    <row r="29284">
      <c r="P29284" s="42"/>
      <c r="AB29284" s="38"/>
    </row>
    <row r="29285">
      <c r="P29285" s="42"/>
      <c r="AB29285" s="38"/>
    </row>
    <row r="29286">
      <c r="P29286" s="42"/>
      <c r="AB29286" s="38"/>
    </row>
    <row r="29287">
      <c r="P29287" s="42"/>
      <c r="AB29287" s="38"/>
    </row>
    <row r="29288">
      <c r="P29288" s="42"/>
      <c r="AB29288" s="38"/>
    </row>
    <row r="29289">
      <c r="P29289" s="42"/>
      <c r="AB29289" s="38"/>
    </row>
    <row r="29290">
      <c r="P29290" s="42"/>
      <c r="AB29290" s="38"/>
    </row>
    <row r="29291">
      <c r="P29291" s="42"/>
      <c r="AB29291" s="38"/>
    </row>
    <row r="29292">
      <c r="P29292" s="42"/>
      <c r="AB29292" s="38"/>
    </row>
    <row r="29293">
      <c r="P29293" s="42"/>
      <c r="AB29293" s="38"/>
    </row>
    <row r="29294">
      <c r="P29294" s="42"/>
      <c r="AB29294" s="38"/>
    </row>
    <row r="29295">
      <c r="P29295" s="42"/>
      <c r="AB29295" s="38"/>
    </row>
    <row r="29296">
      <c r="P29296" s="42"/>
      <c r="AB29296" s="38"/>
    </row>
    <row r="29297">
      <c r="P29297" s="42"/>
      <c r="AB29297" s="38"/>
    </row>
    <row r="29298">
      <c r="P29298" s="42"/>
      <c r="AB29298" s="38"/>
    </row>
    <row r="29299">
      <c r="P29299" s="42"/>
      <c r="AB29299" s="38"/>
    </row>
    <row r="29300">
      <c r="P29300" s="42"/>
      <c r="AB29300" s="38"/>
    </row>
    <row r="29301">
      <c r="P29301" s="42"/>
      <c r="AB29301" s="38"/>
    </row>
    <row r="29302">
      <c r="P29302" s="42"/>
      <c r="AB29302" s="38"/>
    </row>
    <row r="29303">
      <c r="P29303" s="42"/>
      <c r="AB29303" s="38"/>
    </row>
    <row r="29304">
      <c r="P29304" s="42"/>
      <c r="AB29304" s="38"/>
    </row>
    <row r="29305">
      <c r="P29305" s="42"/>
      <c r="AB29305" s="38"/>
    </row>
    <row r="29306">
      <c r="P29306" s="42"/>
      <c r="AB29306" s="38"/>
    </row>
    <row r="29307">
      <c r="P29307" s="42"/>
      <c r="AB29307" s="38"/>
    </row>
    <row r="29308">
      <c r="P29308" s="42"/>
      <c r="AB29308" s="38"/>
    </row>
    <row r="29309">
      <c r="P29309" s="42"/>
      <c r="AB29309" s="38"/>
    </row>
    <row r="29310">
      <c r="P29310" s="42"/>
      <c r="AB29310" s="38"/>
    </row>
    <row r="29311">
      <c r="P29311" s="42"/>
      <c r="AB29311" s="38"/>
    </row>
    <row r="29312">
      <c r="P29312" s="42"/>
      <c r="AB29312" s="38"/>
    </row>
    <row r="29313">
      <c r="P29313" s="42"/>
      <c r="AB29313" s="38"/>
    </row>
    <row r="29314">
      <c r="P29314" s="42"/>
      <c r="AB29314" s="38"/>
    </row>
    <row r="29315">
      <c r="P29315" s="42"/>
      <c r="AB29315" s="38"/>
    </row>
    <row r="29316">
      <c r="P29316" s="42"/>
      <c r="AB29316" s="38"/>
    </row>
    <row r="29317">
      <c r="P29317" s="42"/>
      <c r="AB29317" s="38"/>
    </row>
    <row r="29318">
      <c r="P29318" s="42"/>
      <c r="AB29318" s="38"/>
    </row>
    <row r="29319">
      <c r="P29319" s="42"/>
      <c r="AB29319" s="38"/>
    </row>
    <row r="29320">
      <c r="P29320" s="42"/>
      <c r="AB29320" s="38"/>
    </row>
    <row r="29321">
      <c r="P29321" s="42"/>
      <c r="AB29321" s="38"/>
    </row>
    <row r="29322">
      <c r="P29322" s="42"/>
      <c r="AB29322" s="38"/>
    </row>
    <row r="29323">
      <c r="P29323" s="42"/>
      <c r="AB29323" s="38"/>
    </row>
    <row r="29324">
      <c r="P29324" s="42"/>
      <c r="AB29324" s="38"/>
    </row>
    <row r="29325">
      <c r="P29325" s="42"/>
      <c r="AB29325" s="38"/>
    </row>
    <row r="29326">
      <c r="P29326" s="42"/>
      <c r="AB29326" s="38"/>
    </row>
    <row r="29327">
      <c r="P29327" s="42"/>
      <c r="AB29327" s="38"/>
    </row>
    <row r="29328">
      <c r="P29328" s="42"/>
      <c r="AB29328" s="38"/>
    </row>
    <row r="29329">
      <c r="P29329" s="42"/>
      <c r="AB29329" s="38"/>
    </row>
    <row r="29330">
      <c r="P29330" s="42"/>
      <c r="AB29330" s="38"/>
    </row>
    <row r="29331">
      <c r="P29331" s="42"/>
      <c r="AB29331" s="38"/>
    </row>
    <row r="29332">
      <c r="P29332" s="42"/>
      <c r="AB29332" s="38"/>
    </row>
    <row r="29333">
      <c r="P29333" s="42"/>
      <c r="AB29333" s="38"/>
    </row>
    <row r="29334">
      <c r="P29334" s="42"/>
      <c r="AB29334" s="38"/>
    </row>
    <row r="29335">
      <c r="P29335" s="42"/>
      <c r="AB29335" s="38"/>
    </row>
    <row r="29336">
      <c r="P29336" s="42"/>
      <c r="AB29336" s="38"/>
    </row>
    <row r="29337">
      <c r="P29337" s="42"/>
      <c r="AB29337" s="38"/>
    </row>
    <row r="29338">
      <c r="P29338" s="42"/>
      <c r="AB29338" s="38"/>
    </row>
    <row r="29339">
      <c r="P29339" s="42"/>
      <c r="AB29339" s="38"/>
    </row>
    <row r="29340">
      <c r="P29340" s="42"/>
      <c r="AB29340" s="38"/>
    </row>
    <row r="29341">
      <c r="P29341" s="42"/>
      <c r="AB29341" s="38"/>
    </row>
    <row r="29342">
      <c r="P29342" s="42"/>
      <c r="AB29342" s="38"/>
    </row>
    <row r="29343">
      <c r="P29343" s="42"/>
      <c r="AB29343" s="38"/>
    </row>
    <row r="29344">
      <c r="P29344" s="42"/>
      <c r="AB29344" s="38"/>
    </row>
    <row r="29345">
      <c r="P29345" s="42"/>
      <c r="AB29345" s="38"/>
    </row>
    <row r="29346">
      <c r="P29346" s="42"/>
      <c r="AB29346" s="38"/>
    </row>
    <row r="29347">
      <c r="P29347" s="42"/>
      <c r="AB29347" s="38"/>
    </row>
    <row r="29348">
      <c r="P29348" s="42"/>
      <c r="AB29348" s="38"/>
    </row>
    <row r="29349">
      <c r="P29349" s="42"/>
      <c r="AB29349" s="38"/>
    </row>
    <row r="29350">
      <c r="P29350" s="42"/>
      <c r="AB29350" s="38"/>
    </row>
    <row r="29351">
      <c r="P29351" s="42"/>
      <c r="AB29351" s="38"/>
    </row>
    <row r="29352">
      <c r="P29352" s="42"/>
      <c r="AB29352" s="38"/>
    </row>
    <row r="29353">
      <c r="P29353" s="42"/>
      <c r="AB29353" s="38"/>
    </row>
    <row r="29354">
      <c r="P29354" s="42"/>
      <c r="AB29354" s="38"/>
    </row>
    <row r="29355">
      <c r="P29355" s="42"/>
      <c r="AB29355" s="38"/>
    </row>
    <row r="29356">
      <c r="P29356" s="42"/>
      <c r="AB29356" s="38"/>
    </row>
    <row r="29357">
      <c r="P29357" s="42"/>
      <c r="AB29357" s="38"/>
    </row>
    <row r="29358">
      <c r="P29358" s="42"/>
      <c r="AB29358" s="38"/>
    </row>
    <row r="29359">
      <c r="P29359" s="42"/>
      <c r="AB29359" s="38"/>
    </row>
    <row r="29360">
      <c r="P29360" s="42"/>
      <c r="AB29360" s="38"/>
    </row>
    <row r="29361">
      <c r="P29361" s="42"/>
      <c r="AB29361" s="38"/>
    </row>
    <row r="29362">
      <c r="P29362" s="42"/>
      <c r="AB29362" s="38"/>
    </row>
    <row r="29363">
      <c r="P29363" s="42"/>
      <c r="AB29363" s="38"/>
    </row>
    <row r="29364">
      <c r="P29364" s="42"/>
      <c r="AB29364" s="38"/>
    </row>
    <row r="29365">
      <c r="P29365" s="42"/>
      <c r="AB29365" s="38"/>
    </row>
    <row r="29366">
      <c r="P29366" s="42"/>
      <c r="AB29366" s="38"/>
    </row>
    <row r="29367">
      <c r="P29367" s="42"/>
      <c r="AB29367" s="38"/>
    </row>
    <row r="29368">
      <c r="P29368" s="42"/>
      <c r="AB29368" s="38"/>
    </row>
    <row r="29369">
      <c r="P29369" s="42"/>
      <c r="AB29369" s="38"/>
    </row>
    <row r="29370">
      <c r="P29370" s="42"/>
      <c r="AB29370" s="38"/>
    </row>
    <row r="29371">
      <c r="P29371" s="42"/>
      <c r="AB29371" s="38"/>
    </row>
    <row r="29372">
      <c r="P29372" s="42"/>
      <c r="AB29372" s="38"/>
    </row>
    <row r="29373">
      <c r="P29373" s="42"/>
      <c r="AB29373" s="38"/>
    </row>
    <row r="29374">
      <c r="P29374" s="42"/>
      <c r="AB29374" s="38"/>
    </row>
    <row r="29375">
      <c r="P29375" s="42"/>
      <c r="AB29375" s="38"/>
    </row>
    <row r="29376">
      <c r="P29376" s="42"/>
      <c r="AB29376" s="38"/>
    </row>
    <row r="29377">
      <c r="P29377" s="42"/>
      <c r="AB29377" s="38"/>
    </row>
    <row r="29378">
      <c r="P29378" s="42"/>
      <c r="AB29378" s="38"/>
    </row>
    <row r="29379">
      <c r="P29379" s="42"/>
      <c r="AB29379" s="38"/>
    </row>
    <row r="29380">
      <c r="P29380" s="42"/>
      <c r="AB29380" s="38"/>
    </row>
    <row r="29381">
      <c r="P29381" s="42"/>
      <c r="AB29381" s="38"/>
    </row>
    <row r="29382">
      <c r="P29382" s="42"/>
      <c r="AB29382" s="38"/>
    </row>
    <row r="29383">
      <c r="P29383" s="42"/>
      <c r="AB29383" s="38"/>
    </row>
    <row r="29384">
      <c r="P29384" s="42"/>
      <c r="AB29384" s="38"/>
    </row>
    <row r="29385">
      <c r="P29385" s="42"/>
      <c r="AB29385" s="38"/>
    </row>
    <row r="29386">
      <c r="P29386" s="42"/>
      <c r="AB29386" s="38"/>
    </row>
    <row r="29387">
      <c r="P29387" s="42"/>
      <c r="AB29387" s="38"/>
    </row>
    <row r="29388">
      <c r="P29388" s="42"/>
      <c r="AB29388" s="38"/>
    </row>
    <row r="29389">
      <c r="P29389" s="42"/>
      <c r="AB29389" s="38"/>
    </row>
    <row r="29390">
      <c r="P29390" s="42"/>
      <c r="AB29390" s="38"/>
    </row>
    <row r="29391">
      <c r="P29391" s="42"/>
      <c r="AB29391" s="38"/>
    </row>
    <row r="29392">
      <c r="P29392" s="42"/>
      <c r="AB29392" s="38"/>
    </row>
    <row r="29393">
      <c r="P29393" s="42"/>
      <c r="AB29393" s="38"/>
    </row>
    <row r="29394">
      <c r="P29394" s="42"/>
      <c r="AB29394" s="38"/>
    </row>
    <row r="29395">
      <c r="P29395" s="42"/>
      <c r="AB29395" s="38"/>
    </row>
    <row r="29396">
      <c r="P29396" s="42"/>
      <c r="AB29396" s="38"/>
    </row>
    <row r="29397">
      <c r="P29397" s="42"/>
      <c r="AB29397" s="38"/>
    </row>
    <row r="29398">
      <c r="P29398" s="42"/>
      <c r="AB29398" s="38"/>
    </row>
    <row r="29399">
      <c r="P29399" s="42"/>
      <c r="AB29399" s="38"/>
    </row>
    <row r="29400">
      <c r="P29400" s="42"/>
      <c r="AB29400" s="38"/>
    </row>
    <row r="29401">
      <c r="P29401" s="42"/>
      <c r="AB29401" s="38"/>
    </row>
    <row r="29402">
      <c r="P29402" s="42"/>
      <c r="AB29402" s="38"/>
    </row>
    <row r="29403">
      <c r="P29403" s="42"/>
      <c r="AB29403" s="38"/>
    </row>
    <row r="29404">
      <c r="P29404" s="42"/>
      <c r="AB29404" s="38"/>
    </row>
    <row r="29405">
      <c r="P29405" s="42"/>
      <c r="AB29405" s="38"/>
    </row>
    <row r="29406">
      <c r="P29406" s="42"/>
      <c r="AB29406" s="38"/>
    </row>
    <row r="29407">
      <c r="P29407" s="42"/>
      <c r="AB29407" s="38"/>
    </row>
    <row r="29408">
      <c r="P29408" s="42"/>
      <c r="AB29408" s="38"/>
    </row>
    <row r="29409">
      <c r="P29409" s="42"/>
      <c r="AB29409" s="38"/>
    </row>
    <row r="29410">
      <c r="P29410" s="42"/>
      <c r="AB29410" s="38"/>
    </row>
    <row r="29411">
      <c r="P29411" s="42"/>
      <c r="AB29411" s="38"/>
    </row>
    <row r="29412">
      <c r="P29412" s="42"/>
      <c r="AB29412" s="38"/>
    </row>
    <row r="29413">
      <c r="P29413" s="42"/>
      <c r="AB29413" s="38"/>
    </row>
    <row r="29414">
      <c r="P29414" s="42"/>
      <c r="AB29414" s="38"/>
    </row>
    <row r="29415">
      <c r="P29415" s="42"/>
      <c r="AB29415" s="38"/>
    </row>
    <row r="29416">
      <c r="P29416" s="42"/>
      <c r="AB29416" s="38"/>
    </row>
    <row r="29417">
      <c r="P29417" s="42"/>
      <c r="AB29417" s="38"/>
    </row>
    <row r="29418">
      <c r="P29418" s="42"/>
      <c r="AB29418" s="38"/>
    </row>
    <row r="29419">
      <c r="P29419" s="42"/>
      <c r="AB29419" s="38"/>
    </row>
    <row r="29420">
      <c r="P29420" s="42"/>
      <c r="AB29420" s="38"/>
    </row>
    <row r="29421">
      <c r="P29421" s="42"/>
      <c r="AB29421" s="38"/>
    </row>
    <row r="29422">
      <c r="P29422" s="42"/>
      <c r="AB29422" s="38"/>
    </row>
    <row r="29423">
      <c r="P29423" s="42"/>
      <c r="AB29423" s="38"/>
    </row>
    <row r="29424">
      <c r="P29424" s="42"/>
      <c r="AB29424" s="38"/>
    </row>
    <row r="29425">
      <c r="P29425" s="42"/>
      <c r="AB29425" s="38"/>
    </row>
    <row r="29426">
      <c r="P29426" s="42"/>
      <c r="AB29426" s="38"/>
    </row>
    <row r="29427">
      <c r="P29427" s="42"/>
      <c r="AB29427" s="38"/>
    </row>
    <row r="29428">
      <c r="P29428" s="42"/>
      <c r="AB29428" s="38"/>
    </row>
    <row r="29429">
      <c r="P29429" s="42"/>
      <c r="AB29429" s="38"/>
    </row>
    <row r="29430">
      <c r="P29430" s="42"/>
      <c r="AB29430" s="38"/>
    </row>
    <row r="29431">
      <c r="P29431" s="42"/>
      <c r="AB29431" s="38"/>
    </row>
    <row r="29432">
      <c r="P29432" s="42"/>
      <c r="AB29432" s="38"/>
    </row>
    <row r="29433">
      <c r="P29433" s="42"/>
      <c r="AB29433" s="38"/>
    </row>
    <row r="29434">
      <c r="P29434" s="42"/>
      <c r="AB29434" s="38"/>
    </row>
    <row r="29435">
      <c r="P29435" s="42"/>
      <c r="AB29435" s="38"/>
    </row>
    <row r="29436">
      <c r="P29436" s="42"/>
      <c r="AB29436" s="38"/>
    </row>
    <row r="29437">
      <c r="P29437" s="42"/>
      <c r="AB29437" s="38"/>
    </row>
    <row r="29438">
      <c r="P29438" s="42"/>
      <c r="AB29438" s="38"/>
    </row>
    <row r="29439">
      <c r="P29439" s="42"/>
      <c r="AB29439" s="38"/>
    </row>
    <row r="29440">
      <c r="P29440" s="42"/>
      <c r="AB29440" s="38"/>
    </row>
    <row r="29441">
      <c r="P29441" s="42"/>
      <c r="AB29441" s="38"/>
    </row>
    <row r="29442">
      <c r="P29442" s="42"/>
      <c r="AB29442" s="38"/>
    </row>
    <row r="29443">
      <c r="P29443" s="42"/>
      <c r="AB29443" s="38"/>
    </row>
    <row r="29444">
      <c r="P29444" s="42"/>
      <c r="AB29444" s="38"/>
    </row>
    <row r="29445">
      <c r="P29445" s="42"/>
      <c r="AB29445" s="38"/>
    </row>
    <row r="29446">
      <c r="P29446" s="42"/>
      <c r="AB29446" s="38"/>
    </row>
    <row r="29447">
      <c r="P29447" s="42"/>
      <c r="AB29447" s="38"/>
    </row>
    <row r="29448">
      <c r="P29448" s="42"/>
      <c r="AB29448" s="38"/>
    </row>
    <row r="29449">
      <c r="P29449" s="42"/>
      <c r="AB29449" s="38"/>
    </row>
    <row r="29450">
      <c r="P29450" s="42"/>
      <c r="AB29450" s="38"/>
    </row>
    <row r="29451">
      <c r="P29451" s="42"/>
      <c r="AB29451" s="38"/>
    </row>
    <row r="29452">
      <c r="P29452" s="42"/>
      <c r="AB29452" s="38"/>
    </row>
    <row r="29453">
      <c r="P29453" s="42"/>
      <c r="AB29453" s="38"/>
    </row>
    <row r="29454">
      <c r="P29454" s="42"/>
      <c r="AB29454" s="38"/>
    </row>
    <row r="29455">
      <c r="P29455" s="42"/>
      <c r="AB29455" s="38"/>
    </row>
    <row r="29456">
      <c r="P29456" s="42"/>
      <c r="AB29456" s="38"/>
    </row>
    <row r="29457">
      <c r="P29457" s="42"/>
      <c r="AB29457" s="38"/>
    </row>
    <row r="29458">
      <c r="P29458" s="42"/>
      <c r="AB29458" s="38"/>
    </row>
    <row r="29459">
      <c r="P29459" s="42"/>
      <c r="AB29459" s="38"/>
    </row>
    <row r="29460">
      <c r="P29460" s="42"/>
      <c r="AB29460" s="38"/>
    </row>
    <row r="29461">
      <c r="P29461" s="42"/>
      <c r="AB29461" s="38"/>
    </row>
    <row r="29462">
      <c r="P29462" s="42"/>
      <c r="AB29462" s="38"/>
    </row>
    <row r="29463">
      <c r="P29463" s="42"/>
      <c r="AB29463" s="38"/>
    </row>
    <row r="29464">
      <c r="P29464" s="42"/>
      <c r="AB29464" s="38"/>
    </row>
    <row r="29465">
      <c r="P29465" s="42"/>
      <c r="AB29465" s="38"/>
    </row>
    <row r="29466">
      <c r="P29466" s="42"/>
      <c r="AB29466" s="38"/>
    </row>
    <row r="29467">
      <c r="P29467" s="42"/>
      <c r="AB29467" s="38"/>
    </row>
    <row r="29468">
      <c r="P29468" s="42"/>
      <c r="AB29468" s="38"/>
    </row>
    <row r="29469">
      <c r="P29469" s="42"/>
      <c r="AB29469" s="38"/>
    </row>
    <row r="29470">
      <c r="P29470" s="42"/>
      <c r="AB29470" s="38"/>
    </row>
    <row r="29471">
      <c r="P29471" s="42"/>
      <c r="AB29471" s="38"/>
    </row>
    <row r="29472">
      <c r="P29472" s="42"/>
      <c r="AB29472" s="38"/>
    </row>
    <row r="29473">
      <c r="P29473" s="42"/>
      <c r="AB29473" s="38"/>
    </row>
    <row r="29474">
      <c r="P29474" s="42"/>
      <c r="AB29474" s="38"/>
    </row>
    <row r="29475">
      <c r="P29475" s="42"/>
      <c r="AB29475" s="38"/>
    </row>
    <row r="29476">
      <c r="P29476" s="42"/>
      <c r="AB29476" s="38"/>
    </row>
    <row r="29477">
      <c r="P29477" s="42"/>
      <c r="AB29477" s="38"/>
    </row>
    <row r="29478">
      <c r="P29478" s="42"/>
      <c r="AB29478" s="38"/>
    </row>
    <row r="29479">
      <c r="P29479" s="42"/>
      <c r="AB29479" s="38"/>
    </row>
    <row r="29480">
      <c r="P29480" s="42"/>
      <c r="AB29480" s="38"/>
    </row>
    <row r="29481">
      <c r="P29481" s="42"/>
      <c r="AB29481" s="38"/>
    </row>
    <row r="29482">
      <c r="P29482" s="42"/>
      <c r="AB29482" s="38"/>
    </row>
    <row r="29483">
      <c r="P29483" s="42"/>
      <c r="AB29483" s="38"/>
    </row>
    <row r="29484">
      <c r="P29484" s="42"/>
      <c r="AB29484" s="38"/>
    </row>
    <row r="29485">
      <c r="P29485" s="42"/>
      <c r="AB29485" s="38"/>
    </row>
    <row r="29486">
      <c r="P29486" s="42"/>
      <c r="AB29486" s="38"/>
    </row>
    <row r="29487">
      <c r="P29487" s="42"/>
      <c r="AB29487" s="38"/>
    </row>
    <row r="29488">
      <c r="P29488" s="42"/>
      <c r="AB29488" s="38"/>
    </row>
    <row r="29489">
      <c r="P29489" s="42"/>
      <c r="AB29489" s="38"/>
    </row>
    <row r="29490">
      <c r="P29490" s="42"/>
      <c r="AB29490" s="38"/>
    </row>
    <row r="29491">
      <c r="P29491" s="42"/>
      <c r="AB29491" s="38"/>
    </row>
    <row r="29492">
      <c r="P29492" s="42"/>
      <c r="AB29492" s="38"/>
    </row>
    <row r="29493">
      <c r="P29493" s="42"/>
      <c r="AB29493" s="38"/>
    </row>
    <row r="29494">
      <c r="P29494" s="42"/>
      <c r="AB29494" s="38"/>
    </row>
    <row r="29495">
      <c r="P29495" s="42"/>
      <c r="AB29495" s="38"/>
    </row>
    <row r="29496">
      <c r="P29496" s="42"/>
      <c r="AB29496" s="38"/>
    </row>
    <row r="29497">
      <c r="P29497" s="42"/>
      <c r="AB29497" s="38"/>
    </row>
    <row r="29498">
      <c r="P29498" s="42"/>
      <c r="AB29498" s="38"/>
    </row>
    <row r="29499">
      <c r="P29499" s="42"/>
      <c r="AB29499" s="38"/>
    </row>
    <row r="29500">
      <c r="P29500" s="42"/>
      <c r="AB29500" s="38"/>
    </row>
    <row r="29501">
      <c r="P29501" s="42"/>
      <c r="AB29501" s="38"/>
    </row>
    <row r="29502">
      <c r="P29502" s="42"/>
      <c r="AB29502" s="38"/>
    </row>
    <row r="29503">
      <c r="P29503" s="42"/>
      <c r="AB29503" s="38"/>
    </row>
    <row r="29504">
      <c r="P29504" s="42"/>
      <c r="AB29504" s="38"/>
    </row>
    <row r="29505">
      <c r="P29505" s="42"/>
      <c r="AB29505" s="38"/>
    </row>
    <row r="29506">
      <c r="P29506" s="42"/>
      <c r="AB29506" s="38"/>
    </row>
    <row r="29507">
      <c r="P29507" s="42"/>
      <c r="AB29507" s="38"/>
    </row>
    <row r="29508">
      <c r="P29508" s="42"/>
      <c r="AB29508" s="38"/>
    </row>
    <row r="29509">
      <c r="P29509" s="42"/>
      <c r="AB29509" s="38"/>
    </row>
    <row r="29510">
      <c r="P29510" s="42"/>
      <c r="AB29510" s="38"/>
    </row>
    <row r="29511">
      <c r="P29511" s="42"/>
      <c r="AB29511" s="38"/>
    </row>
    <row r="29512">
      <c r="P29512" s="42"/>
      <c r="AB29512" s="38"/>
    </row>
    <row r="29513">
      <c r="P29513" s="42"/>
      <c r="AB29513" s="38"/>
    </row>
    <row r="29514">
      <c r="P29514" s="42"/>
      <c r="AB29514" s="38"/>
    </row>
    <row r="29515">
      <c r="P29515" s="42"/>
      <c r="AB29515" s="38"/>
    </row>
    <row r="29516">
      <c r="P29516" s="42"/>
      <c r="AB29516" s="38"/>
    </row>
    <row r="29517">
      <c r="P29517" s="42"/>
      <c r="AB29517" s="38"/>
    </row>
    <row r="29518">
      <c r="P29518" s="42"/>
      <c r="AB29518" s="38"/>
    </row>
    <row r="29519">
      <c r="P29519" s="42"/>
      <c r="AB29519" s="38"/>
    </row>
    <row r="29520">
      <c r="P29520" s="42"/>
      <c r="AB29520" s="38"/>
    </row>
    <row r="29521">
      <c r="P29521" s="42"/>
      <c r="AB29521" s="38"/>
    </row>
    <row r="29522">
      <c r="P29522" s="42"/>
      <c r="AB29522" s="38"/>
    </row>
    <row r="29523">
      <c r="P29523" s="42"/>
      <c r="AB29523" s="38"/>
    </row>
    <row r="29524">
      <c r="P29524" s="42"/>
      <c r="AB29524" s="38"/>
    </row>
    <row r="29525">
      <c r="P29525" s="42"/>
      <c r="AB29525" s="38"/>
    </row>
    <row r="29526">
      <c r="P29526" s="42"/>
      <c r="AB29526" s="38"/>
    </row>
    <row r="29527">
      <c r="P29527" s="42"/>
      <c r="AB29527" s="38"/>
    </row>
    <row r="29528">
      <c r="P29528" s="42"/>
      <c r="AB29528" s="38"/>
    </row>
    <row r="29529">
      <c r="P29529" s="42"/>
      <c r="AB29529" s="38"/>
    </row>
    <row r="29530">
      <c r="P29530" s="42"/>
      <c r="AB29530" s="38"/>
    </row>
    <row r="29531">
      <c r="P29531" s="42"/>
      <c r="AB29531" s="38"/>
    </row>
    <row r="29532">
      <c r="P29532" s="42"/>
      <c r="AB29532" s="38"/>
    </row>
    <row r="29533">
      <c r="P29533" s="42"/>
      <c r="AB29533" s="38"/>
    </row>
    <row r="29534">
      <c r="P29534" s="42"/>
      <c r="AB29534" s="38"/>
    </row>
    <row r="29535">
      <c r="P29535" s="42"/>
      <c r="AB29535" s="38"/>
    </row>
    <row r="29536">
      <c r="P29536" s="42"/>
      <c r="AB29536" s="38"/>
    </row>
    <row r="29537">
      <c r="P29537" s="42"/>
      <c r="AB29537" s="38"/>
    </row>
    <row r="29538">
      <c r="P29538" s="42"/>
      <c r="AB29538" s="38"/>
    </row>
    <row r="29539">
      <c r="P29539" s="42"/>
      <c r="AB29539" s="38"/>
    </row>
    <row r="29540">
      <c r="P29540" s="42"/>
      <c r="AB29540" s="38"/>
    </row>
    <row r="29541">
      <c r="P29541" s="42"/>
      <c r="AB29541" s="38"/>
    </row>
    <row r="29542">
      <c r="P29542" s="42"/>
      <c r="AB29542" s="38"/>
    </row>
    <row r="29543">
      <c r="P29543" s="42"/>
      <c r="AB29543" s="38"/>
    </row>
    <row r="29544">
      <c r="P29544" s="42"/>
      <c r="AB29544" s="38"/>
    </row>
    <row r="29545">
      <c r="P29545" s="42"/>
      <c r="AB29545" s="38"/>
    </row>
    <row r="29546">
      <c r="P29546" s="42"/>
      <c r="AB29546" s="38"/>
    </row>
    <row r="29547">
      <c r="P29547" s="42"/>
      <c r="AB29547" s="38"/>
    </row>
    <row r="29548">
      <c r="P29548" s="42"/>
      <c r="AB29548" s="38"/>
    </row>
    <row r="29549">
      <c r="P29549" s="42"/>
      <c r="AB29549" s="38"/>
    </row>
    <row r="29550">
      <c r="P29550" s="42"/>
      <c r="AB29550" s="38"/>
    </row>
    <row r="29551">
      <c r="P29551" s="42"/>
      <c r="AB29551" s="38"/>
    </row>
    <row r="29552">
      <c r="P29552" s="42"/>
      <c r="AB29552" s="38"/>
    </row>
    <row r="29553">
      <c r="P29553" s="42"/>
      <c r="AB29553" s="38"/>
    </row>
    <row r="29554">
      <c r="P29554" s="42"/>
      <c r="AB29554" s="38"/>
    </row>
    <row r="29555">
      <c r="P29555" s="42"/>
      <c r="AB29555" s="38"/>
    </row>
    <row r="29556">
      <c r="P29556" s="42"/>
      <c r="AB29556" s="38"/>
    </row>
    <row r="29557">
      <c r="P29557" s="42"/>
      <c r="AB29557" s="38"/>
    </row>
    <row r="29558">
      <c r="P29558" s="42"/>
      <c r="AB29558" s="38"/>
    </row>
    <row r="29559">
      <c r="P29559" s="42"/>
      <c r="AB29559" s="38"/>
    </row>
    <row r="29560">
      <c r="P29560" s="42"/>
      <c r="AB29560" s="38"/>
    </row>
    <row r="29561">
      <c r="P29561" s="42"/>
      <c r="AB29561" s="38"/>
    </row>
    <row r="29562">
      <c r="P29562" s="42"/>
      <c r="AB29562" s="38"/>
    </row>
    <row r="29563">
      <c r="P29563" s="42"/>
      <c r="AB29563" s="38"/>
    </row>
    <row r="29564">
      <c r="P29564" s="42"/>
      <c r="AB29564" s="38"/>
    </row>
    <row r="29565">
      <c r="P29565" s="42"/>
      <c r="AB29565" s="38"/>
    </row>
    <row r="29566">
      <c r="P29566" s="42"/>
      <c r="AB29566" s="38"/>
    </row>
    <row r="29567">
      <c r="P29567" s="42"/>
      <c r="AB29567" s="38"/>
    </row>
    <row r="29568">
      <c r="P29568" s="42"/>
      <c r="AB29568" s="38"/>
    </row>
    <row r="29569">
      <c r="P29569" s="42"/>
      <c r="AB29569" s="38"/>
    </row>
    <row r="29570">
      <c r="P29570" s="42"/>
      <c r="AB29570" s="38"/>
    </row>
    <row r="29571">
      <c r="P29571" s="42"/>
      <c r="AB29571" s="38"/>
    </row>
    <row r="29572">
      <c r="P29572" s="42"/>
      <c r="AB29572" s="38"/>
    </row>
    <row r="29573">
      <c r="P29573" s="42"/>
      <c r="AB29573" s="38"/>
    </row>
    <row r="29574">
      <c r="P29574" s="42"/>
      <c r="AB29574" s="38"/>
    </row>
    <row r="29575">
      <c r="P29575" s="42"/>
      <c r="AB29575" s="38"/>
    </row>
    <row r="29576">
      <c r="P29576" s="42"/>
      <c r="AB29576" s="38"/>
    </row>
    <row r="29577">
      <c r="P29577" s="42"/>
      <c r="AB29577" s="38"/>
    </row>
    <row r="29578">
      <c r="P29578" s="42"/>
      <c r="AB29578" s="38"/>
    </row>
    <row r="29579">
      <c r="P29579" s="42"/>
      <c r="AB29579" s="38"/>
    </row>
    <row r="29580">
      <c r="P29580" s="42"/>
      <c r="AB29580" s="38"/>
    </row>
    <row r="29581">
      <c r="P29581" s="42"/>
      <c r="AB29581" s="38"/>
    </row>
    <row r="29582">
      <c r="P29582" s="42"/>
      <c r="AB29582" s="38"/>
    </row>
    <row r="29583">
      <c r="P29583" s="42"/>
      <c r="AB29583" s="38"/>
    </row>
    <row r="29584">
      <c r="P29584" s="42"/>
      <c r="AB29584" s="38"/>
    </row>
    <row r="29585">
      <c r="P29585" s="42"/>
      <c r="AB29585" s="38"/>
    </row>
    <row r="29586">
      <c r="P29586" s="42"/>
      <c r="AB29586" s="38"/>
    </row>
    <row r="29587">
      <c r="P29587" s="42"/>
      <c r="AB29587" s="38"/>
    </row>
    <row r="29588">
      <c r="P29588" s="42"/>
      <c r="AB29588" s="38"/>
    </row>
    <row r="29589">
      <c r="P29589" s="42"/>
      <c r="AB29589" s="38"/>
    </row>
    <row r="29590">
      <c r="P29590" s="42"/>
      <c r="AB29590" s="38"/>
    </row>
    <row r="29591">
      <c r="P29591" s="42"/>
      <c r="AB29591" s="38"/>
    </row>
    <row r="29592">
      <c r="P29592" s="42"/>
      <c r="AB29592" s="38"/>
    </row>
    <row r="29593">
      <c r="P29593" s="42"/>
      <c r="AB29593" s="38"/>
    </row>
    <row r="29594">
      <c r="P29594" s="42"/>
      <c r="AB29594" s="38"/>
    </row>
    <row r="29595">
      <c r="P29595" s="42"/>
      <c r="AB29595" s="38"/>
    </row>
    <row r="29596">
      <c r="P29596" s="42"/>
      <c r="AB29596" s="38"/>
    </row>
    <row r="29597">
      <c r="P29597" s="42"/>
      <c r="AB29597" s="38"/>
    </row>
    <row r="29598">
      <c r="P29598" s="42"/>
      <c r="AB29598" s="38"/>
    </row>
    <row r="29599">
      <c r="P29599" s="42"/>
      <c r="AB29599" s="38"/>
    </row>
    <row r="29600">
      <c r="P29600" s="42"/>
      <c r="AB29600" s="38"/>
    </row>
    <row r="29601">
      <c r="P29601" s="42"/>
      <c r="AB29601" s="38"/>
    </row>
    <row r="29602">
      <c r="P29602" s="42"/>
      <c r="AB29602" s="38"/>
    </row>
    <row r="29603">
      <c r="P29603" s="42"/>
      <c r="AB29603" s="38"/>
    </row>
    <row r="29604">
      <c r="P29604" s="42"/>
      <c r="AB29604" s="38"/>
    </row>
    <row r="29605">
      <c r="P29605" s="42"/>
      <c r="AB29605" s="38"/>
    </row>
    <row r="29606">
      <c r="P29606" s="42"/>
      <c r="AB29606" s="38"/>
    </row>
    <row r="29607">
      <c r="P29607" s="42"/>
      <c r="AB29607" s="38"/>
    </row>
    <row r="29608">
      <c r="P29608" s="42"/>
      <c r="AB29608" s="38"/>
    </row>
    <row r="29609">
      <c r="P29609" s="42"/>
      <c r="AB29609" s="38"/>
    </row>
    <row r="29610">
      <c r="P29610" s="42"/>
      <c r="AB29610" s="38"/>
    </row>
    <row r="29611">
      <c r="P29611" s="42"/>
      <c r="AB29611" s="38"/>
    </row>
    <row r="29612">
      <c r="P29612" s="42"/>
      <c r="AB29612" s="38"/>
    </row>
    <row r="29613">
      <c r="P29613" s="42"/>
      <c r="AB29613" s="38"/>
    </row>
    <row r="29614">
      <c r="P29614" s="42"/>
      <c r="AB29614" s="38"/>
    </row>
    <row r="29615">
      <c r="P29615" s="42"/>
      <c r="AB29615" s="38"/>
    </row>
    <row r="29616">
      <c r="P29616" s="42"/>
      <c r="AB29616" s="38"/>
    </row>
    <row r="29617">
      <c r="P29617" s="42"/>
      <c r="AB29617" s="38"/>
    </row>
    <row r="29618">
      <c r="P29618" s="42"/>
      <c r="AB29618" s="38"/>
    </row>
    <row r="29619">
      <c r="P29619" s="42"/>
      <c r="AB29619" s="38"/>
    </row>
    <row r="29620">
      <c r="P29620" s="42"/>
      <c r="AB29620" s="38"/>
    </row>
    <row r="29621">
      <c r="P29621" s="42"/>
      <c r="AB29621" s="38"/>
    </row>
    <row r="29622">
      <c r="P29622" s="42"/>
      <c r="AB29622" s="38"/>
    </row>
    <row r="29623">
      <c r="P29623" s="42"/>
      <c r="AB29623" s="38"/>
    </row>
    <row r="29624">
      <c r="P29624" s="42"/>
      <c r="AB29624" s="38"/>
    </row>
    <row r="29625">
      <c r="P29625" s="42"/>
      <c r="AB29625" s="38"/>
    </row>
    <row r="29626">
      <c r="P29626" s="42"/>
      <c r="AB29626" s="38"/>
    </row>
    <row r="29627">
      <c r="P29627" s="42"/>
      <c r="AB29627" s="38"/>
    </row>
    <row r="29628">
      <c r="P29628" s="42"/>
      <c r="AB29628" s="38"/>
    </row>
    <row r="29629">
      <c r="P29629" s="42"/>
      <c r="AB29629" s="38"/>
    </row>
    <row r="29630">
      <c r="P29630" s="42"/>
      <c r="AB29630" s="38"/>
    </row>
    <row r="29631">
      <c r="P29631" s="42"/>
      <c r="AB29631" s="38"/>
    </row>
    <row r="29632">
      <c r="P29632" s="42"/>
      <c r="AB29632" s="38"/>
    </row>
    <row r="29633">
      <c r="P29633" s="42"/>
      <c r="AB29633" s="38"/>
    </row>
    <row r="29634">
      <c r="P29634" s="42"/>
      <c r="AB29634" s="38"/>
    </row>
    <row r="29635">
      <c r="P29635" s="42"/>
      <c r="AB29635" s="38"/>
    </row>
    <row r="29636">
      <c r="P29636" s="42"/>
      <c r="AB29636" s="38"/>
    </row>
    <row r="29637">
      <c r="P29637" s="42"/>
      <c r="AB29637" s="38"/>
    </row>
    <row r="29638">
      <c r="P29638" s="42"/>
      <c r="AB29638" s="38"/>
    </row>
    <row r="29639">
      <c r="P29639" s="42"/>
      <c r="AB29639" s="38"/>
    </row>
    <row r="29640">
      <c r="P29640" s="42"/>
      <c r="AB29640" s="38"/>
    </row>
    <row r="29641">
      <c r="P29641" s="42"/>
      <c r="AB29641" s="38"/>
    </row>
    <row r="29642">
      <c r="P29642" s="42"/>
      <c r="AB29642" s="38"/>
    </row>
    <row r="29643">
      <c r="P29643" s="42"/>
      <c r="AB29643" s="38"/>
    </row>
    <row r="29644">
      <c r="P29644" s="42"/>
      <c r="AB29644" s="38"/>
    </row>
    <row r="29645">
      <c r="P29645" s="42"/>
      <c r="AB29645" s="38"/>
    </row>
    <row r="29646">
      <c r="P29646" s="42"/>
      <c r="AB29646" s="38"/>
    </row>
    <row r="29647">
      <c r="P29647" s="42"/>
      <c r="AB29647" s="38"/>
    </row>
    <row r="29648">
      <c r="P29648" s="42"/>
      <c r="AB29648" s="38"/>
    </row>
    <row r="29649">
      <c r="P29649" s="42"/>
      <c r="AB29649" s="38"/>
    </row>
    <row r="29650">
      <c r="P29650" s="42"/>
      <c r="AB29650" s="38"/>
    </row>
    <row r="29651">
      <c r="P29651" s="42"/>
      <c r="AB29651" s="38"/>
    </row>
    <row r="29652">
      <c r="P29652" s="42"/>
      <c r="AB29652" s="38"/>
    </row>
    <row r="29653">
      <c r="P29653" s="42"/>
      <c r="AB29653" s="38"/>
    </row>
    <row r="29654">
      <c r="P29654" s="42"/>
      <c r="AB29654" s="38"/>
    </row>
    <row r="29655">
      <c r="P29655" s="42"/>
      <c r="AB29655" s="38"/>
    </row>
    <row r="29656">
      <c r="P29656" s="42"/>
      <c r="AB29656" s="38"/>
    </row>
    <row r="29657">
      <c r="P29657" s="42"/>
      <c r="AB29657" s="38"/>
    </row>
    <row r="29658">
      <c r="P29658" s="42"/>
      <c r="AB29658" s="38"/>
    </row>
    <row r="29659">
      <c r="P29659" s="42"/>
      <c r="AB29659" s="38"/>
    </row>
    <row r="29660">
      <c r="P29660" s="42"/>
      <c r="AB29660" s="38"/>
    </row>
    <row r="29661">
      <c r="P29661" s="42"/>
      <c r="AB29661" s="38"/>
    </row>
    <row r="29662">
      <c r="P29662" s="42"/>
      <c r="AB29662" s="38"/>
    </row>
    <row r="29663">
      <c r="P29663" s="42"/>
      <c r="AB29663" s="38"/>
    </row>
    <row r="29664">
      <c r="P29664" s="42"/>
      <c r="AB29664" s="38"/>
    </row>
    <row r="29665">
      <c r="P29665" s="42"/>
      <c r="AB29665" s="38"/>
    </row>
    <row r="29666">
      <c r="P29666" s="42"/>
      <c r="AB29666" s="38"/>
    </row>
    <row r="29667">
      <c r="P29667" s="42"/>
      <c r="AB29667" s="38"/>
    </row>
    <row r="29668">
      <c r="P29668" s="42"/>
      <c r="AB29668" s="38"/>
    </row>
    <row r="29669">
      <c r="P29669" s="42"/>
      <c r="AB29669" s="38"/>
    </row>
    <row r="29670">
      <c r="P29670" s="42"/>
      <c r="AB29670" s="38"/>
    </row>
    <row r="29671">
      <c r="P29671" s="42"/>
      <c r="AB29671" s="38"/>
    </row>
    <row r="29672">
      <c r="P29672" s="42"/>
      <c r="AB29672" s="38"/>
    </row>
    <row r="29673">
      <c r="P29673" s="42"/>
      <c r="AB29673" s="38"/>
    </row>
    <row r="29674">
      <c r="P29674" s="42"/>
      <c r="AB29674" s="38"/>
    </row>
    <row r="29675">
      <c r="P29675" s="42"/>
      <c r="AB29675" s="38"/>
    </row>
    <row r="29676">
      <c r="P29676" s="42"/>
      <c r="AB29676" s="38"/>
    </row>
    <row r="29677">
      <c r="P29677" s="42"/>
      <c r="AB29677" s="38"/>
    </row>
    <row r="29678">
      <c r="P29678" s="42"/>
      <c r="AB29678" s="38"/>
    </row>
    <row r="29679">
      <c r="P29679" s="42"/>
      <c r="AB29679" s="38"/>
    </row>
    <row r="29680">
      <c r="P29680" s="42"/>
      <c r="AB29680" s="38"/>
    </row>
    <row r="29681">
      <c r="P29681" s="42"/>
      <c r="AB29681" s="38"/>
    </row>
    <row r="29682">
      <c r="P29682" s="42"/>
      <c r="AB29682" s="38"/>
    </row>
    <row r="29683">
      <c r="P29683" s="42"/>
      <c r="AB29683" s="38"/>
    </row>
    <row r="29684">
      <c r="P29684" s="42"/>
      <c r="AB29684" s="38"/>
    </row>
    <row r="29685">
      <c r="P29685" s="42"/>
      <c r="AB29685" s="38"/>
    </row>
    <row r="29686">
      <c r="P29686" s="42"/>
      <c r="AB29686" s="38"/>
    </row>
    <row r="29687">
      <c r="P29687" s="42"/>
      <c r="AB29687" s="38"/>
    </row>
    <row r="29688">
      <c r="P29688" s="42"/>
      <c r="AB29688" s="38"/>
    </row>
    <row r="29689">
      <c r="P29689" s="42"/>
      <c r="AB29689" s="38"/>
    </row>
    <row r="29690">
      <c r="P29690" s="42"/>
      <c r="AB29690" s="38"/>
    </row>
    <row r="29691">
      <c r="P29691" s="42"/>
      <c r="AB29691" s="38"/>
    </row>
    <row r="29692">
      <c r="P29692" s="42"/>
      <c r="AB29692" s="38"/>
    </row>
    <row r="29693">
      <c r="P29693" s="42"/>
      <c r="AB29693" s="38"/>
    </row>
    <row r="29694">
      <c r="P29694" s="42"/>
      <c r="AB29694" s="38"/>
    </row>
    <row r="29695">
      <c r="P29695" s="42"/>
      <c r="AB29695" s="38"/>
    </row>
    <row r="29696">
      <c r="P29696" s="42"/>
      <c r="AB29696" s="38"/>
    </row>
    <row r="29697">
      <c r="P29697" s="42"/>
      <c r="AB29697" s="38"/>
    </row>
    <row r="29698">
      <c r="P29698" s="42"/>
      <c r="AB29698" s="38"/>
    </row>
    <row r="29699">
      <c r="P29699" s="42"/>
      <c r="AB29699" s="38"/>
    </row>
    <row r="29700">
      <c r="P29700" s="42"/>
      <c r="AB29700" s="38"/>
    </row>
    <row r="29701">
      <c r="P29701" s="42"/>
      <c r="AB29701" s="38"/>
    </row>
    <row r="29702">
      <c r="P29702" s="42"/>
      <c r="AB29702" s="38"/>
    </row>
    <row r="29703">
      <c r="P29703" s="42"/>
      <c r="AB29703" s="38"/>
    </row>
    <row r="29704">
      <c r="P29704" s="42"/>
      <c r="AB29704" s="38"/>
    </row>
    <row r="29705">
      <c r="P29705" s="42"/>
      <c r="AB29705" s="38"/>
    </row>
    <row r="29706">
      <c r="P29706" s="42"/>
      <c r="AB29706" s="38"/>
    </row>
    <row r="29707">
      <c r="P29707" s="42"/>
      <c r="AB29707" s="38"/>
    </row>
    <row r="29708">
      <c r="P29708" s="42"/>
      <c r="AB29708" s="38"/>
    </row>
    <row r="29709">
      <c r="P29709" s="42"/>
      <c r="AB29709" s="38"/>
    </row>
    <row r="29710">
      <c r="P29710" s="42"/>
      <c r="AB29710" s="38"/>
    </row>
    <row r="29711">
      <c r="P29711" s="42"/>
      <c r="AB29711" s="38"/>
    </row>
    <row r="29712">
      <c r="P29712" s="42"/>
      <c r="AB29712" s="38"/>
    </row>
    <row r="29713">
      <c r="P29713" s="42"/>
      <c r="AB29713" s="38"/>
    </row>
    <row r="29714">
      <c r="P29714" s="42"/>
      <c r="AB29714" s="38"/>
    </row>
    <row r="29715">
      <c r="P29715" s="42"/>
      <c r="AB29715" s="38"/>
    </row>
    <row r="29716">
      <c r="P29716" s="42"/>
      <c r="AB29716" s="38"/>
    </row>
    <row r="29717">
      <c r="P29717" s="42"/>
      <c r="AB29717" s="38"/>
    </row>
    <row r="29718">
      <c r="P29718" s="42"/>
      <c r="AB29718" s="38"/>
    </row>
    <row r="29719">
      <c r="P29719" s="42"/>
      <c r="AB29719" s="38"/>
    </row>
    <row r="29720">
      <c r="P29720" s="42"/>
      <c r="AB29720" s="38"/>
    </row>
    <row r="29721">
      <c r="P29721" s="42"/>
      <c r="AB29721" s="38"/>
    </row>
    <row r="29722">
      <c r="P29722" s="42"/>
      <c r="AB29722" s="38"/>
    </row>
    <row r="29723">
      <c r="P29723" s="42"/>
      <c r="AB29723" s="38"/>
    </row>
    <row r="29724">
      <c r="P29724" s="42"/>
      <c r="AB29724" s="38"/>
    </row>
    <row r="29725">
      <c r="P29725" s="42"/>
      <c r="AB29725" s="38"/>
    </row>
    <row r="29726">
      <c r="P29726" s="42"/>
      <c r="AB29726" s="38"/>
    </row>
    <row r="29727">
      <c r="P29727" s="42"/>
      <c r="AB29727" s="38"/>
    </row>
    <row r="29728">
      <c r="P29728" s="42"/>
      <c r="AB29728" s="38"/>
    </row>
    <row r="29729">
      <c r="P29729" s="42"/>
      <c r="AB29729" s="38"/>
    </row>
    <row r="29730">
      <c r="P29730" s="42"/>
      <c r="AB29730" s="38"/>
    </row>
    <row r="29731">
      <c r="P29731" s="42"/>
      <c r="AB29731" s="38"/>
    </row>
    <row r="29732">
      <c r="P29732" s="42"/>
      <c r="AB29732" s="38"/>
    </row>
    <row r="29733">
      <c r="P29733" s="42"/>
      <c r="AB29733" s="38"/>
    </row>
    <row r="29734">
      <c r="P29734" s="42"/>
      <c r="AB29734" s="38"/>
    </row>
    <row r="29735">
      <c r="P29735" s="42"/>
      <c r="AB29735" s="38"/>
    </row>
    <row r="29736">
      <c r="P29736" s="42"/>
      <c r="AB29736" s="38"/>
    </row>
    <row r="29737">
      <c r="P29737" s="42"/>
      <c r="AB29737" s="38"/>
    </row>
    <row r="29738">
      <c r="P29738" s="42"/>
      <c r="AB29738" s="38"/>
    </row>
    <row r="29739">
      <c r="P29739" s="42"/>
      <c r="AB29739" s="38"/>
    </row>
    <row r="29740">
      <c r="P29740" s="42"/>
      <c r="AB29740" s="38"/>
    </row>
    <row r="29741">
      <c r="P29741" s="42"/>
      <c r="AB29741" s="38"/>
    </row>
    <row r="29742">
      <c r="P29742" s="42"/>
      <c r="AB29742" s="38"/>
    </row>
    <row r="29743">
      <c r="P29743" s="42"/>
      <c r="AB29743" s="38"/>
    </row>
    <row r="29744">
      <c r="P29744" s="42"/>
      <c r="AB29744" s="38"/>
    </row>
    <row r="29745">
      <c r="P29745" s="42"/>
      <c r="AB29745" s="38"/>
    </row>
    <row r="29746">
      <c r="P29746" s="42"/>
      <c r="AB29746" s="38"/>
    </row>
    <row r="29747">
      <c r="P29747" s="42"/>
      <c r="AB29747" s="38"/>
    </row>
    <row r="29748">
      <c r="P29748" s="42"/>
      <c r="AB29748" s="38"/>
    </row>
    <row r="29749">
      <c r="P29749" s="42"/>
      <c r="AB29749" s="38"/>
    </row>
    <row r="29750">
      <c r="P29750" s="42"/>
      <c r="AB29750" s="38"/>
    </row>
    <row r="29751">
      <c r="P29751" s="42"/>
      <c r="AB29751" s="38"/>
    </row>
    <row r="29752">
      <c r="P29752" s="42"/>
      <c r="AB29752" s="38"/>
    </row>
    <row r="29753">
      <c r="P29753" s="42"/>
      <c r="AB29753" s="38"/>
    </row>
    <row r="29754">
      <c r="P29754" s="42"/>
      <c r="AB29754" s="38"/>
    </row>
    <row r="29755">
      <c r="P29755" s="42"/>
      <c r="AB29755" s="38"/>
    </row>
    <row r="29756">
      <c r="P29756" s="42"/>
      <c r="AB29756" s="38"/>
    </row>
    <row r="29757">
      <c r="P29757" s="42"/>
      <c r="AB29757" s="38"/>
    </row>
    <row r="29758">
      <c r="P29758" s="42"/>
      <c r="AB29758" s="38"/>
    </row>
    <row r="29759">
      <c r="P29759" s="42"/>
      <c r="AB29759" s="38"/>
    </row>
    <row r="29760">
      <c r="P29760" s="42"/>
      <c r="AB29760" s="38"/>
    </row>
    <row r="29761">
      <c r="P29761" s="42"/>
      <c r="AB29761" s="38"/>
    </row>
    <row r="29762">
      <c r="P29762" s="42"/>
      <c r="AB29762" s="38"/>
    </row>
    <row r="29763">
      <c r="P29763" s="42"/>
      <c r="AB29763" s="38"/>
    </row>
    <row r="29764">
      <c r="P29764" s="42"/>
      <c r="AB29764" s="38"/>
    </row>
    <row r="29765">
      <c r="P29765" s="42"/>
      <c r="AB29765" s="38"/>
    </row>
    <row r="29766">
      <c r="P29766" s="42"/>
      <c r="AB29766" s="38"/>
    </row>
    <row r="29767">
      <c r="P29767" s="42"/>
      <c r="AB29767" s="38"/>
    </row>
    <row r="29768">
      <c r="P29768" s="42"/>
      <c r="AB29768" s="38"/>
    </row>
    <row r="29769">
      <c r="P29769" s="42"/>
      <c r="AB29769" s="38"/>
    </row>
    <row r="29770">
      <c r="P29770" s="42"/>
      <c r="AB29770" s="38"/>
    </row>
    <row r="29771">
      <c r="P29771" s="42"/>
      <c r="AB29771" s="38"/>
    </row>
    <row r="29772">
      <c r="P29772" s="42"/>
      <c r="AB29772" s="38"/>
    </row>
    <row r="29773">
      <c r="P29773" s="42"/>
      <c r="AB29773" s="38"/>
    </row>
    <row r="29774">
      <c r="P29774" s="42"/>
      <c r="AB29774" s="38"/>
    </row>
    <row r="29775">
      <c r="P29775" s="42"/>
      <c r="AB29775" s="38"/>
    </row>
    <row r="29776">
      <c r="P29776" s="42"/>
      <c r="AB29776" s="38"/>
    </row>
    <row r="29777">
      <c r="P29777" s="42"/>
      <c r="AB29777" s="38"/>
    </row>
    <row r="29778">
      <c r="P29778" s="42"/>
      <c r="AB29778" s="38"/>
    </row>
    <row r="29779">
      <c r="P29779" s="42"/>
      <c r="AB29779" s="38"/>
    </row>
    <row r="29780">
      <c r="P29780" s="42"/>
      <c r="AB29780" s="38"/>
    </row>
    <row r="29781">
      <c r="P29781" s="42"/>
      <c r="AB29781" s="38"/>
    </row>
    <row r="29782">
      <c r="P29782" s="42"/>
      <c r="AB29782" s="38"/>
    </row>
    <row r="29783">
      <c r="P29783" s="42"/>
      <c r="AB29783" s="38"/>
    </row>
    <row r="29784">
      <c r="P29784" s="42"/>
      <c r="AB29784" s="38"/>
    </row>
    <row r="29785">
      <c r="P29785" s="42"/>
      <c r="AB29785" s="38"/>
    </row>
    <row r="29786">
      <c r="P29786" s="42"/>
      <c r="AB29786" s="38"/>
    </row>
    <row r="29787">
      <c r="P29787" s="42"/>
      <c r="AB29787" s="38"/>
    </row>
    <row r="29788">
      <c r="P29788" s="42"/>
      <c r="AB29788" s="38"/>
    </row>
    <row r="29789">
      <c r="P29789" s="42"/>
      <c r="AB29789" s="38"/>
    </row>
    <row r="29790">
      <c r="P29790" s="42"/>
      <c r="AB29790" s="38"/>
    </row>
    <row r="29791">
      <c r="P29791" s="42"/>
      <c r="AB29791" s="38"/>
    </row>
    <row r="29792">
      <c r="P29792" s="42"/>
      <c r="AB29792" s="38"/>
    </row>
    <row r="29793">
      <c r="P29793" s="42"/>
      <c r="AB29793" s="38"/>
    </row>
    <row r="29794">
      <c r="P29794" s="42"/>
      <c r="AB29794" s="38"/>
    </row>
    <row r="29795">
      <c r="P29795" s="42"/>
      <c r="AB29795" s="38"/>
    </row>
    <row r="29796">
      <c r="P29796" s="42"/>
      <c r="AB29796" s="38"/>
    </row>
    <row r="29797">
      <c r="P29797" s="42"/>
      <c r="AB29797" s="38"/>
    </row>
    <row r="29798">
      <c r="P29798" s="42"/>
      <c r="AB29798" s="38"/>
    </row>
    <row r="29799">
      <c r="P29799" s="42"/>
      <c r="AB29799" s="38"/>
    </row>
    <row r="29800">
      <c r="P29800" s="42"/>
      <c r="AB29800" s="38"/>
    </row>
    <row r="29801">
      <c r="P29801" s="42"/>
      <c r="AB29801" s="38"/>
    </row>
    <row r="29802">
      <c r="P29802" s="42"/>
      <c r="AB29802" s="38"/>
    </row>
    <row r="29803">
      <c r="P29803" s="42"/>
      <c r="AB29803" s="38"/>
    </row>
    <row r="29804">
      <c r="P29804" s="42"/>
      <c r="AB29804" s="38"/>
    </row>
    <row r="29805">
      <c r="P29805" s="42"/>
      <c r="AB29805" s="38"/>
    </row>
    <row r="29806">
      <c r="P29806" s="42"/>
      <c r="AB29806" s="38"/>
    </row>
    <row r="29807">
      <c r="P29807" s="42"/>
      <c r="AB29807" s="38"/>
    </row>
    <row r="29808">
      <c r="P29808" s="42"/>
      <c r="AB29808" s="38"/>
    </row>
    <row r="29809">
      <c r="P29809" s="42"/>
      <c r="AB29809" s="38"/>
    </row>
    <row r="29810">
      <c r="P29810" s="42"/>
      <c r="AB29810" s="38"/>
    </row>
    <row r="29811">
      <c r="P29811" s="42"/>
      <c r="AB29811" s="38"/>
    </row>
    <row r="29812">
      <c r="P29812" s="42"/>
      <c r="AB29812" s="38"/>
    </row>
    <row r="29813">
      <c r="P29813" s="42"/>
      <c r="AB29813" s="38"/>
    </row>
    <row r="29814">
      <c r="P29814" s="42"/>
      <c r="AB29814" s="38"/>
    </row>
    <row r="29815">
      <c r="P29815" s="42"/>
      <c r="AB29815" s="38"/>
    </row>
    <row r="29816">
      <c r="P29816" s="42"/>
      <c r="AB29816" s="38"/>
    </row>
    <row r="29817">
      <c r="P29817" s="42"/>
      <c r="AB29817" s="38"/>
    </row>
    <row r="29818">
      <c r="P29818" s="42"/>
      <c r="AB29818" s="38"/>
    </row>
    <row r="29819">
      <c r="P29819" s="42"/>
      <c r="AB29819" s="38"/>
    </row>
    <row r="29820">
      <c r="P29820" s="42"/>
      <c r="AB29820" s="38"/>
    </row>
    <row r="29821">
      <c r="P29821" s="42"/>
      <c r="AB29821" s="38"/>
    </row>
    <row r="29822">
      <c r="P29822" s="42"/>
      <c r="AB29822" s="38"/>
    </row>
    <row r="29823">
      <c r="P29823" s="42"/>
      <c r="AB29823" s="38"/>
    </row>
    <row r="29824">
      <c r="P29824" s="42"/>
      <c r="AB29824" s="38"/>
    </row>
    <row r="29825">
      <c r="P29825" s="42"/>
      <c r="AB29825" s="38"/>
    </row>
    <row r="29826">
      <c r="P29826" s="42"/>
      <c r="AB29826" s="38"/>
    </row>
    <row r="29827">
      <c r="P29827" s="42"/>
      <c r="AB29827" s="38"/>
    </row>
    <row r="29828">
      <c r="P29828" s="42"/>
      <c r="AB29828" s="38"/>
    </row>
    <row r="29829">
      <c r="P29829" s="42"/>
      <c r="AB29829" s="38"/>
    </row>
    <row r="29830">
      <c r="P29830" s="42"/>
      <c r="AB29830" s="38"/>
    </row>
    <row r="29831">
      <c r="P29831" s="42"/>
      <c r="AB29831" s="38"/>
    </row>
    <row r="29832">
      <c r="P29832" s="42"/>
      <c r="AB29832" s="38"/>
    </row>
    <row r="29833">
      <c r="P29833" s="42"/>
      <c r="AB29833" s="38"/>
    </row>
    <row r="29834">
      <c r="P29834" s="42"/>
      <c r="AB29834" s="38"/>
    </row>
    <row r="29835">
      <c r="P29835" s="42"/>
      <c r="AB29835" s="38"/>
    </row>
    <row r="29836">
      <c r="P29836" s="42"/>
      <c r="AB29836" s="38"/>
    </row>
    <row r="29837">
      <c r="P29837" s="42"/>
      <c r="AB29837" s="38"/>
    </row>
    <row r="29838">
      <c r="P29838" s="42"/>
      <c r="AB29838" s="38"/>
    </row>
    <row r="29839">
      <c r="P29839" s="42"/>
      <c r="AB29839" s="38"/>
    </row>
    <row r="29840">
      <c r="P29840" s="42"/>
      <c r="AB29840" s="38"/>
    </row>
    <row r="29841">
      <c r="P29841" s="42"/>
      <c r="AB29841" s="38"/>
    </row>
    <row r="29842">
      <c r="P29842" s="42"/>
      <c r="AB29842" s="38"/>
    </row>
    <row r="29843">
      <c r="P29843" s="42"/>
      <c r="AB29843" s="38"/>
    </row>
    <row r="29844">
      <c r="P29844" s="42"/>
      <c r="AB29844" s="38"/>
    </row>
    <row r="29845">
      <c r="P29845" s="42"/>
      <c r="AB29845" s="38"/>
    </row>
    <row r="29846">
      <c r="P29846" s="42"/>
      <c r="AB29846" s="38"/>
    </row>
    <row r="29847">
      <c r="P29847" s="42"/>
      <c r="AB29847" s="38"/>
    </row>
    <row r="29848">
      <c r="P29848" s="42"/>
      <c r="AB29848" s="38"/>
    </row>
    <row r="29849">
      <c r="P29849" s="42"/>
      <c r="AB29849" s="38"/>
    </row>
    <row r="29850">
      <c r="P29850" s="42"/>
      <c r="AB29850" s="38"/>
    </row>
    <row r="29851">
      <c r="P29851" s="42"/>
      <c r="AB29851" s="38"/>
    </row>
    <row r="29852">
      <c r="P29852" s="42"/>
      <c r="AB29852" s="38"/>
    </row>
    <row r="29853">
      <c r="P29853" s="42"/>
      <c r="AB29853" s="38"/>
    </row>
    <row r="29854">
      <c r="P29854" s="42"/>
      <c r="AB29854" s="38"/>
    </row>
    <row r="29855">
      <c r="P29855" s="42"/>
      <c r="AB29855" s="38"/>
    </row>
    <row r="29856">
      <c r="P29856" s="42"/>
      <c r="AB29856" s="38"/>
    </row>
    <row r="29857">
      <c r="P29857" s="42"/>
      <c r="AB29857" s="38"/>
    </row>
    <row r="29858">
      <c r="P29858" s="42"/>
      <c r="AB29858" s="38"/>
    </row>
    <row r="29859">
      <c r="P29859" s="42"/>
      <c r="AB29859" s="38"/>
    </row>
    <row r="29860">
      <c r="P29860" s="42"/>
      <c r="AB29860" s="38"/>
    </row>
    <row r="29861">
      <c r="P29861" s="42"/>
      <c r="AB29861" s="38"/>
    </row>
    <row r="29862">
      <c r="P29862" s="42"/>
      <c r="AB29862" s="38"/>
    </row>
    <row r="29863">
      <c r="P29863" s="42"/>
      <c r="AB29863" s="38"/>
    </row>
    <row r="29864">
      <c r="P29864" s="42"/>
      <c r="AB29864" s="38"/>
    </row>
    <row r="29865">
      <c r="P29865" s="42"/>
      <c r="AB29865" s="38"/>
    </row>
    <row r="29866">
      <c r="P29866" s="42"/>
      <c r="AB29866" s="38"/>
    </row>
    <row r="29867">
      <c r="P29867" s="42"/>
      <c r="AB29867" s="38"/>
    </row>
    <row r="29868">
      <c r="P29868" s="42"/>
      <c r="AB29868" s="38"/>
    </row>
    <row r="29869">
      <c r="P29869" s="42"/>
      <c r="AB29869" s="38"/>
    </row>
    <row r="29870">
      <c r="P29870" s="42"/>
      <c r="AB29870" s="38"/>
    </row>
    <row r="29871">
      <c r="P29871" s="42"/>
      <c r="AB29871" s="38"/>
    </row>
    <row r="29872">
      <c r="P29872" s="42"/>
      <c r="AB29872" s="38"/>
    </row>
    <row r="29873">
      <c r="P29873" s="42"/>
      <c r="AB29873" s="38"/>
    </row>
    <row r="29874">
      <c r="P29874" s="42"/>
      <c r="AB29874" s="38"/>
    </row>
    <row r="29875">
      <c r="P29875" s="42"/>
      <c r="AB29875" s="38"/>
    </row>
    <row r="29876">
      <c r="P29876" s="42"/>
      <c r="AB29876" s="38"/>
    </row>
    <row r="29877">
      <c r="P29877" s="42"/>
      <c r="AB29877" s="38"/>
    </row>
    <row r="29878">
      <c r="P29878" s="42"/>
      <c r="AB29878" s="38"/>
    </row>
    <row r="29879">
      <c r="P29879" s="42"/>
      <c r="AB29879" s="38"/>
    </row>
    <row r="29880">
      <c r="P29880" s="42"/>
      <c r="AB29880" s="38"/>
    </row>
    <row r="29881">
      <c r="P29881" s="42"/>
      <c r="AB29881" s="38"/>
    </row>
    <row r="29882">
      <c r="P29882" s="42"/>
      <c r="AB29882" s="38"/>
    </row>
    <row r="29883">
      <c r="P29883" s="42"/>
      <c r="AB29883" s="38"/>
    </row>
    <row r="29884">
      <c r="P29884" s="42"/>
      <c r="AB29884" s="38"/>
    </row>
    <row r="29885">
      <c r="P29885" s="42"/>
      <c r="AB29885" s="38"/>
    </row>
    <row r="29886">
      <c r="P29886" s="42"/>
      <c r="AB29886" s="38"/>
    </row>
    <row r="29887">
      <c r="P29887" s="42"/>
      <c r="AB29887" s="38"/>
    </row>
    <row r="29888">
      <c r="P29888" s="42"/>
      <c r="AB29888" s="38"/>
    </row>
    <row r="29889">
      <c r="P29889" s="42"/>
      <c r="AB29889" s="38"/>
    </row>
    <row r="29890">
      <c r="P29890" s="42"/>
      <c r="AB29890" s="38"/>
    </row>
    <row r="29891">
      <c r="P29891" s="42"/>
      <c r="AB29891" s="38"/>
    </row>
    <row r="29892">
      <c r="P29892" s="42"/>
      <c r="AB29892" s="38"/>
    </row>
    <row r="29893">
      <c r="P29893" s="42"/>
      <c r="AB29893" s="38"/>
    </row>
    <row r="29894">
      <c r="P29894" s="42"/>
      <c r="AB29894" s="38"/>
    </row>
    <row r="29895">
      <c r="P29895" s="42"/>
      <c r="AB29895" s="38"/>
    </row>
    <row r="29896">
      <c r="P29896" s="42"/>
      <c r="AB29896" s="38"/>
    </row>
    <row r="29897">
      <c r="P29897" s="42"/>
      <c r="AB29897" s="38"/>
    </row>
    <row r="29898">
      <c r="P29898" s="42"/>
      <c r="AB29898" s="38"/>
    </row>
    <row r="29899">
      <c r="P29899" s="42"/>
      <c r="AB29899" s="38"/>
    </row>
    <row r="29900">
      <c r="P29900" s="42"/>
      <c r="AB29900" s="38"/>
    </row>
    <row r="29901">
      <c r="P29901" s="42"/>
      <c r="AB29901" s="38"/>
    </row>
    <row r="29902">
      <c r="P29902" s="42"/>
      <c r="AB29902" s="38"/>
    </row>
    <row r="29903">
      <c r="P29903" s="42"/>
      <c r="AB29903" s="38"/>
    </row>
    <row r="29904">
      <c r="P29904" s="42"/>
      <c r="AB29904" s="38"/>
    </row>
    <row r="29905">
      <c r="P29905" s="42"/>
      <c r="AB29905" s="38"/>
    </row>
    <row r="29906">
      <c r="P29906" s="42"/>
      <c r="AB29906" s="38"/>
    </row>
    <row r="29907">
      <c r="P29907" s="42"/>
      <c r="AB29907" s="38"/>
    </row>
    <row r="29908">
      <c r="P29908" s="42"/>
      <c r="AB29908" s="38"/>
    </row>
    <row r="29909">
      <c r="P29909" s="42"/>
      <c r="AB29909" s="38"/>
    </row>
    <row r="29910">
      <c r="P29910" s="42"/>
      <c r="AB29910" s="38"/>
    </row>
    <row r="29911">
      <c r="P29911" s="42"/>
      <c r="AB29911" s="38"/>
    </row>
    <row r="29912">
      <c r="P29912" s="42"/>
      <c r="AB29912" s="38"/>
    </row>
    <row r="29913">
      <c r="P29913" s="42"/>
      <c r="AB29913" s="38"/>
    </row>
    <row r="29914">
      <c r="P29914" s="42"/>
      <c r="AB29914" s="38"/>
    </row>
    <row r="29915">
      <c r="P29915" s="42"/>
      <c r="AB29915" s="38"/>
    </row>
    <row r="29916">
      <c r="P29916" s="42"/>
      <c r="AB29916" s="38"/>
    </row>
    <row r="29917">
      <c r="P29917" s="42"/>
      <c r="AB29917" s="38"/>
    </row>
    <row r="29918">
      <c r="P29918" s="42"/>
      <c r="AB29918" s="38"/>
    </row>
    <row r="29919">
      <c r="P29919" s="42"/>
      <c r="AB29919" s="38"/>
    </row>
    <row r="29920">
      <c r="P29920" s="42"/>
      <c r="AB29920" s="38"/>
    </row>
    <row r="29921">
      <c r="P29921" s="42"/>
      <c r="AB29921" s="38"/>
    </row>
    <row r="29922">
      <c r="P29922" s="42"/>
      <c r="AB29922" s="38"/>
    </row>
    <row r="29923">
      <c r="P29923" s="42"/>
      <c r="AB29923" s="38"/>
    </row>
    <row r="29924">
      <c r="P29924" s="42"/>
      <c r="AB29924" s="38"/>
    </row>
    <row r="29925">
      <c r="P29925" s="42"/>
      <c r="AB29925" s="38"/>
    </row>
    <row r="29926">
      <c r="P29926" s="42"/>
      <c r="AB29926" s="38"/>
    </row>
    <row r="29927">
      <c r="P29927" s="42"/>
      <c r="AB29927" s="38"/>
    </row>
    <row r="29928">
      <c r="P29928" s="42"/>
      <c r="AB29928" s="38"/>
    </row>
    <row r="29929">
      <c r="P29929" s="42"/>
      <c r="AB29929" s="38"/>
    </row>
    <row r="29930">
      <c r="P29930" s="42"/>
      <c r="AB29930" s="38"/>
    </row>
    <row r="29931">
      <c r="P29931" s="42"/>
      <c r="AB29931" s="38"/>
    </row>
    <row r="29932">
      <c r="P29932" s="42"/>
      <c r="AB29932" s="38"/>
    </row>
    <row r="29933">
      <c r="P29933" s="42"/>
      <c r="AB29933" s="38"/>
    </row>
    <row r="29934">
      <c r="P29934" s="42"/>
      <c r="AB29934" s="38"/>
    </row>
    <row r="29935">
      <c r="P29935" s="42"/>
      <c r="AB29935" s="38"/>
    </row>
    <row r="29936">
      <c r="P29936" s="42"/>
      <c r="AB29936" s="38"/>
    </row>
    <row r="29937">
      <c r="P29937" s="42"/>
      <c r="AB29937" s="38"/>
    </row>
    <row r="29938">
      <c r="P29938" s="42"/>
      <c r="AB29938" s="38"/>
    </row>
    <row r="29939">
      <c r="P29939" s="42"/>
      <c r="AB29939" s="38"/>
    </row>
    <row r="29940">
      <c r="P29940" s="42"/>
      <c r="AB29940" s="38"/>
    </row>
    <row r="29941">
      <c r="P29941" s="42"/>
      <c r="AB29941" s="38"/>
    </row>
    <row r="29942">
      <c r="P29942" s="42"/>
      <c r="AB29942" s="38"/>
    </row>
    <row r="29943">
      <c r="P29943" s="42"/>
      <c r="AB29943" s="38"/>
    </row>
    <row r="29944">
      <c r="P29944" s="42"/>
      <c r="AB29944" s="38"/>
    </row>
    <row r="29945">
      <c r="P29945" s="42"/>
      <c r="AB29945" s="38"/>
    </row>
    <row r="29946">
      <c r="P29946" s="42"/>
      <c r="AB29946" s="38"/>
    </row>
    <row r="29947">
      <c r="P29947" s="42"/>
      <c r="AB29947" s="38"/>
    </row>
    <row r="29948">
      <c r="P29948" s="42"/>
      <c r="AB29948" s="38"/>
    </row>
    <row r="29949">
      <c r="P29949" s="42"/>
      <c r="AB29949" s="38"/>
    </row>
    <row r="29950">
      <c r="P29950" s="42"/>
      <c r="AB29950" s="38"/>
    </row>
    <row r="29951">
      <c r="P29951" s="42"/>
      <c r="AB29951" s="38"/>
    </row>
    <row r="29952">
      <c r="P29952" s="42"/>
      <c r="AB29952" s="38"/>
    </row>
    <row r="29953">
      <c r="P29953" s="42"/>
      <c r="AB29953" s="38"/>
    </row>
    <row r="29954">
      <c r="P29954" s="42"/>
      <c r="AB29954" s="38"/>
    </row>
    <row r="29955">
      <c r="P29955" s="42"/>
      <c r="AB29955" s="38"/>
    </row>
    <row r="29956">
      <c r="P29956" s="42"/>
      <c r="AB29956" s="38"/>
    </row>
    <row r="29957">
      <c r="P29957" s="42"/>
      <c r="AB29957" s="38"/>
    </row>
    <row r="29958">
      <c r="P29958" s="42"/>
      <c r="AB29958" s="38"/>
    </row>
    <row r="29959">
      <c r="P29959" s="42"/>
      <c r="AB29959" s="38"/>
    </row>
    <row r="29960">
      <c r="P29960" s="42"/>
      <c r="AB29960" s="38"/>
    </row>
    <row r="29961">
      <c r="P29961" s="42"/>
      <c r="AB29961" s="38"/>
    </row>
    <row r="29962">
      <c r="P29962" s="42"/>
      <c r="AB29962" s="38"/>
    </row>
    <row r="29963">
      <c r="P29963" s="42"/>
      <c r="AB29963" s="38"/>
    </row>
    <row r="29964">
      <c r="P29964" s="42"/>
      <c r="AB29964" s="38"/>
    </row>
    <row r="29965">
      <c r="P29965" s="42"/>
      <c r="AB29965" s="38"/>
    </row>
    <row r="29966">
      <c r="P29966" s="42"/>
      <c r="AB29966" s="38"/>
    </row>
    <row r="29967">
      <c r="P29967" s="42"/>
      <c r="AB29967" s="38"/>
    </row>
    <row r="29968">
      <c r="P29968" s="42"/>
      <c r="AB29968" s="38"/>
    </row>
    <row r="29969">
      <c r="P29969" s="42"/>
      <c r="AB29969" s="38"/>
    </row>
    <row r="29970">
      <c r="P29970" s="42"/>
      <c r="AB29970" s="38"/>
    </row>
    <row r="29971">
      <c r="P29971" s="42"/>
      <c r="AB29971" s="38"/>
    </row>
    <row r="29972">
      <c r="P29972" s="42"/>
      <c r="AB29972" s="38"/>
    </row>
    <row r="29973">
      <c r="P29973" s="42"/>
      <c r="AB29973" s="38"/>
    </row>
    <row r="29974">
      <c r="P29974" s="42"/>
      <c r="AB29974" s="38"/>
    </row>
    <row r="29975">
      <c r="P29975" s="42"/>
      <c r="AB29975" s="38"/>
    </row>
    <row r="29976">
      <c r="P29976" s="42"/>
      <c r="AB29976" s="38"/>
    </row>
    <row r="29977">
      <c r="P29977" s="42"/>
      <c r="AB29977" s="38"/>
    </row>
    <row r="29978">
      <c r="P29978" s="42"/>
      <c r="AB29978" s="38"/>
    </row>
    <row r="29979">
      <c r="P29979" s="42"/>
      <c r="AB29979" s="38"/>
    </row>
    <row r="29980">
      <c r="P29980" s="42"/>
      <c r="AB29980" s="38"/>
    </row>
    <row r="29981">
      <c r="P29981" s="42"/>
      <c r="AB29981" s="38"/>
    </row>
    <row r="29982">
      <c r="P29982" s="42"/>
      <c r="AB29982" s="38"/>
    </row>
    <row r="29983">
      <c r="P29983" s="42"/>
      <c r="AB29983" s="38"/>
    </row>
    <row r="29984">
      <c r="P29984" s="42"/>
      <c r="AB29984" s="38"/>
    </row>
    <row r="29985">
      <c r="P29985" s="42"/>
      <c r="AB29985" s="38"/>
    </row>
    <row r="29986">
      <c r="P29986" s="42"/>
      <c r="AB29986" s="38"/>
    </row>
    <row r="29987">
      <c r="P29987" s="42"/>
      <c r="AB29987" s="38"/>
    </row>
    <row r="29988">
      <c r="P29988" s="42"/>
      <c r="AB29988" s="38"/>
    </row>
    <row r="29989">
      <c r="P29989" s="42"/>
      <c r="AB29989" s="38"/>
    </row>
    <row r="29990">
      <c r="P29990" s="42"/>
      <c r="AB29990" s="38"/>
    </row>
    <row r="29991">
      <c r="P29991" s="42"/>
      <c r="AB29991" s="38"/>
    </row>
    <row r="29992">
      <c r="P29992" s="42"/>
      <c r="AB29992" s="38"/>
    </row>
    <row r="29993">
      <c r="P29993" s="42"/>
      <c r="AB29993" s="38"/>
    </row>
    <row r="29994">
      <c r="P29994" s="42"/>
      <c r="AB29994" s="38"/>
    </row>
    <row r="29995">
      <c r="P29995" s="42"/>
      <c r="AB29995" s="38"/>
    </row>
    <row r="29996">
      <c r="P29996" s="42"/>
      <c r="AB29996" s="38"/>
    </row>
    <row r="29997">
      <c r="P29997" s="42"/>
      <c r="AB29997" s="38"/>
    </row>
    <row r="29998">
      <c r="P29998" s="42"/>
      <c r="AB29998" s="38"/>
    </row>
    <row r="29999">
      <c r="P29999" s="42"/>
      <c r="AB29999" s="38"/>
    </row>
    <row r="30000">
      <c r="P30000" s="42"/>
      <c r="AB30000" s="38"/>
    </row>
    <row r="30001">
      <c r="P30001" s="42"/>
      <c r="AB30001" s="38"/>
    </row>
    <row r="30002">
      <c r="P30002" s="42"/>
      <c r="AB30002" s="38"/>
    </row>
    <row r="30003">
      <c r="P30003" s="42"/>
      <c r="AB30003" s="38"/>
    </row>
    <row r="30004">
      <c r="P30004" s="42"/>
      <c r="AB30004" s="38"/>
    </row>
    <row r="30005">
      <c r="P30005" s="42"/>
      <c r="AB30005" s="38"/>
    </row>
    <row r="30006">
      <c r="P30006" s="42"/>
      <c r="AB30006" s="38"/>
    </row>
    <row r="30007">
      <c r="P30007" s="42"/>
      <c r="AB30007" s="38"/>
    </row>
    <row r="30008">
      <c r="P30008" s="42"/>
      <c r="AB30008" s="38"/>
    </row>
    <row r="30009">
      <c r="P30009" s="42"/>
      <c r="AB30009" s="38"/>
    </row>
    <row r="30010">
      <c r="P30010" s="42"/>
      <c r="AB30010" s="38"/>
    </row>
    <row r="30011">
      <c r="P30011" s="42"/>
      <c r="AB30011" s="38"/>
    </row>
    <row r="30012">
      <c r="P30012" s="42"/>
      <c r="AB30012" s="38"/>
    </row>
    <row r="30013">
      <c r="P30013" s="42"/>
      <c r="AB30013" s="38"/>
    </row>
    <row r="30014">
      <c r="P30014" s="42"/>
      <c r="AB30014" s="38"/>
    </row>
    <row r="30015">
      <c r="P30015" s="42"/>
      <c r="AB30015" s="38"/>
    </row>
    <row r="30016">
      <c r="P30016" s="42"/>
      <c r="AB30016" s="38"/>
    </row>
    <row r="30017">
      <c r="P30017" s="42"/>
      <c r="AB30017" s="38"/>
    </row>
    <row r="30018">
      <c r="P30018" s="42"/>
      <c r="AB30018" s="38"/>
    </row>
    <row r="30019">
      <c r="P30019" s="42"/>
      <c r="AB30019" s="38"/>
    </row>
    <row r="30020">
      <c r="P30020" s="42"/>
      <c r="AB30020" s="38"/>
    </row>
    <row r="30021">
      <c r="P30021" s="42"/>
      <c r="AB30021" s="38"/>
    </row>
    <row r="30022">
      <c r="P30022" s="42"/>
      <c r="AB30022" s="38"/>
    </row>
    <row r="30023">
      <c r="P30023" s="42"/>
      <c r="AB30023" s="38"/>
    </row>
    <row r="30024">
      <c r="P30024" s="42"/>
      <c r="AB30024" s="38"/>
    </row>
    <row r="30025">
      <c r="P30025" s="42"/>
      <c r="AB30025" s="38"/>
    </row>
    <row r="30026">
      <c r="P30026" s="42"/>
      <c r="AB30026" s="38"/>
    </row>
    <row r="30027">
      <c r="P30027" s="42"/>
      <c r="AB30027" s="38"/>
    </row>
    <row r="30028">
      <c r="P30028" s="42"/>
      <c r="AB30028" s="38"/>
    </row>
    <row r="30029">
      <c r="P30029" s="42"/>
      <c r="AB30029" s="38"/>
    </row>
    <row r="30030">
      <c r="P30030" s="42"/>
      <c r="AB30030" s="38"/>
    </row>
    <row r="30031">
      <c r="P30031" s="42"/>
      <c r="AB30031" s="38"/>
    </row>
    <row r="30032">
      <c r="P30032" s="42"/>
      <c r="AB30032" s="38"/>
    </row>
    <row r="30033">
      <c r="P30033" s="42"/>
      <c r="AB30033" s="38"/>
    </row>
    <row r="30034">
      <c r="P30034" s="42"/>
      <c r="AB30034" s="38"/>
    </row>
    <row r="30035">
      <c r="P30035" s="42"/>
      <c r="AB30035" s="38"/>
    </row>
    <row r="30036">
      <c r="P30036" s="42"/>
      <c r="AB30036" s="38"/>
    </row>
    <row r="30037">
      <c r="P30037" s="42"/>
      <c r="AB30037" s="38"/>
    </row>
    <row r="30038">
      <c r="P30038" s="42"/>
      <c r="AB30038" s="38"/>
    </row>
    <row r="30039">
      <c r="P30039" s="42"/>
      <c r="AB30039" s="38"/>
    </row>
    <row r="30040">
      <c r="P30040" s="42"/>
      <c r="AB30040" s="38"/>
    </row>
    <row r="30041">
      <c r="P30041" s="42"/>
      <c r="AB30041" s="38"/>
    </row>
    <row r="30042">
      <c r="P30042" s="42"/>
      <c r="AB30042" s="38"/>
    </row>
    <row r="30043">
      <c r="P30043" s="42"/>
      <c r="AB30043" s="38"/>
    </row>
    <row r="30044">
      <c r="P30044" s="42"/>
      <c r="AB30044" s="38"/>
    </row>
    <row r="30045">
      <c r="P30045" s="42"/>
      <c r="AB30045" s="38"/>
    </row>
    <row r="30046">
      <c r="P30046" s="42"/>
      <c r="AB30046" s="38"/>
    </row>
    <row r="30047">
      <c r="P30047" s="42"/>
      <c r="AB30047" s="38"/>
    </row>
    <row r="30048">
      <c r="P30048" s="42"/>
      <c r="AB30048" s="38"/>
    </row>
    <row r="30049">
      <c r="P30049" s="42"/>
      <c r="AB30049" s="38"/>
    </row>
    <row r="30050">
      <c r="P30050" s="42"/>
      <c r="AB30050" s="38"/>
    </row>
    <row r="30051">
      <c r="P30051" s="42"/>
      <c r="AB30051" s="38"/>
    </row>
    <row r="30052">
      <c r="P30052" s="42"/>
      <c r="AB30052" s="38"/>
    </row>
    <row r="30053">
      <c r="P30053" s="42"/>
      <c r="AB30053" s="38"/>
    </row>
    <row r="30054">
      <c r="P30054" s="42"/>
      <c r="AB30054" s="38"/>
    </row>
    <row r="30055">
      <c r="P30055" s="42"/>
      <c r="AB30055" s="38"/>
    </row>
    <row r="30056">
      <c r="P30056" s="42"/>
      <c r="AB30056" s="38"/>
    </row>
    <row r="30057">
      <c r="P30057" s="42"/>
      <c r="AB30057" s="38"/>
    </row>
    <row r="30058">
      <c r="P30058" s="42"/>
      <c r="AB30058" s="38"/>
    </row>
    <row r="30059">
      <c r="P30059" s="42"/>
      <c r="AB30059" s="38"/>
    </row>
    <row r="30060">
      <c r="P30060" s="42"/>
      <c r="AB30060" s="38"/>
    </row>
    <row r="30061">
      <c r="P30061" s="42"/>
      <c r="AB30061" s="38"/>
    </row>
    <row r="30062">
      <c r="P30062" s="42"/>
      <c r="AB30062" s="38"/>
    </row>
    <row r="30063">
      <c r="P30063" s="42"/>
      <c r="AB30063" s="38"/>
    </row>
    <row r="30064">
      <c r="P30064" s="42"/>
      <c r="AB30064" s="38"/>
    </row>
    <row r="30065">
      <c r="P30065" s="42"/>
      <c r="AB30065" s="38"/>
    </row>
    <row r="30066">
      <c r="P30066" s="42"/>
      <c r="AB30066" s="38"/>
    </row>
    <row r="30067">
      <c r="P30067" s="42"/>
      <c r="AB30067" s="38"/>
    </row>
    <row r="30068">
      <c r="P30068" s="42"/>
      <c r="AB30068" s="38"/>
    </row>
    <row r="30069">
      <c r="P30069" s="42"/>
      <c r="AB30069" s="38"/>
    </row>
    <row r="30070">
      <c r="P30070" s="42"/>
      <c r="AB30070" s="38"/>
    </row>
    <row r="30071">
      <c r="P30071" s="42"/>
      <c r="AB30071" s="38"/>
    </row>
    <row r="30072">
      <c r="P30072" s="42"/>
      <c r="AB30072" s="38"/>
    </row>
    <row r="30073">
      <c r="P30073" s="42"/>
      <c r="AB30073" s="38"/>
    </row>
    <row r="30074">
      <c r="P30074" s="42"/>
      <c r="AB30074" s="38"/>
    </row>
    <row r="30075">
      <c r="P30075" s="42"/>
      <c r="AB30075" s="38"/>
    </row>
    <row r="30076">
      <c r="P30076" s="42"/>
      <c r="AB30076" s="38"/>
    </row>
    <row r="30077">
      <c r="P30077" s="42"/>
      <c r="AB30077" s="38"/>
    </row>
    <row r="30078">
      <c r="P30078" s="42"/>
      <c r="AB30078" s="38"/>
    </row>
    <row r="30079">
      <c r="P30079" s="42"/>
      <c r="AB30079" s="38"/>
    </row>
    <row r="30080">
      <c r="P30080" s="42"/>
      <c r="AB30080" s="38"/>
    </row>
    <row r="30081">
      <c r="P30081" s="42"/>
      <c r="AB30081" s="38"/>
    </row>
    <row r="30082">
      <c r="P30082" s="42"/>
      <c r="AB30082" s="38"/>
    </row>
    <row r="30083">
      <c r="P30083" s="42"/>
      <c r="AB30083" s="38"/>
    </row>
    <row r="30084">
      <c r="P30084" s="42"/>
      <c r="AB30084" s="38"/>
    </row>
    <row r="30085">
      <c r="P30085" s="42"/>
      <c r="AB30085" s="38"/>
    </row>
    <row r="30086">
      <c r="P30086" s="42"/>
      <c r="AB30086" s="38"/>
    </row>
    <row r="30087">
      <c r="P30087" s="42"/>
      <c r="AB30087" s="38"/>
    </row>
    <row r="30088">
      <c r="P30088" s="42"/>
      <c r="AB30088" s="38"/>
    </row>
    <row r="30089">
      <c r="P30089" s="42"/>
      <c r="AB30089" s="38"/>
    </row>
    <row r="30090">
      <c r="P30090" s="42"/>
      <c r="AB30090" s="38"/>
    </row>
    <row r="30091">
      <c r="P30091" s="42"/>
      <c r="AB30091" s="38"/>
    </row>
    <row r="30092">
      <c r="P30092" s="42"/>
      <c r="AB30092" s="38"/>
    </row>
    <row r="30093">
      <c r="P30093" s="42"/>
      <c r="AB30093" s="38"/>
    </row>
    <row r="30094">
      <c r="P30094" s="42"/>
      <c r="AB30094" s="38"/>
    </row>
    <row r="30095">
      <c r="P30095" s="42"/>
      <c r="AB30095" s="38"/>
    </row>
    <row r="30096">
      <c r="P30096" s="42"/>
      <c r="AB30096" s="38"/>
    </row>
    <row r="30097">
      <c r="P30097" s="42"/>
      <c r="AB30097" s="38"/>
    </row>
    <row r="30098">
      <c r="P30098" s="42"/>
      <c r="AB30098" s="38"/>
    </row>
    <row r="30099">
      <c r="P30099" s="42"/>
      <c r="AB30099" s="38"/>
    </row>
    <row r="30100">
      <c r="P30100" s="42"/>
      <c r="AB30100" s="38"/>
    </row>
    <row r="30101">
      <c r="P30101" s="42"/>
      <c r="AB30101" s="38"/>
    </row>
    <row r="30102">
      <c r="P30102" s="42"/>
      <c r="AB30102" s="38"/>
    </row>
    <row r="30103">
      <c r="P30103" s="42"/>
      <c r="AB30103" s="38"/>
    </row>
    <row r="30104">
      <c r="P30104" s="42"/>
      <c r="AB30104" s="38"/>
    </row>
    <row r="30105">
      <c r="P30105" s="42"/>
      <c r="AB30105" s="38"/>
    </row>
    <row r="30106">
      <c r="P30106" s="42"/>
      <c r="AB30106" s="38"/>
    </row>
    <row r="30107">
      <c r="P30107" s="42"/>
      <c r="AB30107" s="38"/>
    </row>
    <row r="30108">
      <c r="P30108" s="42"/>
      <c r="AB30108" s="38"/>
    </row>
    <row r="30109">
      <c r="P30109" s="42"/>
      <c r="AB30109" s="38"/>
    </row>
    <row r="30110">
      <c r="P30110" s="42"/>
      <c r="AB30110" s="38"/>
    </row>
    <row r="30111">
      <c r="P30111" s="42"/>
      <c r="AB30111" s="38"/>
    </row>
    <row r="30112">
      <c r="P30112" s="42"/>
      <c r="AB30112" s="38"/>
    </row>
    <row r="30113">
      <c r="P30113" s="42"/>
      <c r="AB30113" s="38"/>
    </row>
    <row r="30114">
      <c r="P30114" s="42"/>
      <c r="AB30114" s="38"/>
    </row>
    <row r="30115">
      <c r="P30115" s="42"/>
      <c r="AB30115" s="38"/>
    </row>
    <row r="30116">
      <c r="P30116" s="42"/>
      <c r="AB30116" s="38"/>
    </row>
    <row r="30117">
      <c r="P30117" s="42"/>
      <c r="AB30117" s="38"/>
    </row>
    <row r="30118">
      <c r="P30118" s="42"/>
      <c r="AB30118" s="38"/>
    </row>
    <row r="30119">
      <c r="P30119" s="42"/>
      <c r="AB30119" s="38"/>
    </row>
    <row r="30120">
      <c r="P30120" s="42"/>
      <c r="AB30120" s="38"/>
    </row>
    <row r="30121">
      <c r="P30121" s="42"/>
      <c r="AB30121" s="38"/>
    </row>
    <row r="30122">
      <c r="P30122" s="42"/>
      <c r="AB30122" s="38"/>
    </row>
    <row r="30123">
      <c r="P30123" s="42"/>
      <c r="AB30123" s="38"/>
    </row>
    <row r="30124">
      <c r="P30124" s="42"/>
      <c r="AB30124" s="38"/>
    </row>
    <row r="30125">
      <c r="P30125" s="42"/>
      <c r="AB30125" s="38"/>
    </row>
    <row r="30126">
      <c r="P30126" s="42"/>
      <c r="AB30126" s="38"/>
    </row>
    <row r="30127">
      <c r="P30127" s="42"/>
      <c r="AB30127" s="38"/>
    </row>
    <row r="30128">
      <c r="P30128" s="42"/>
      <c r="AB30128" s="38"/>
    </row>
    <row r="30129">
      <c r="P30129" s="42"/>
      <c r="AB30129" s="38"/>
    </row>
    <row r="30130">
      <c r="P30130" s="42"/>
      <c r="AB30130" s="38"/>
    </row>
    <row r="30131">
      <c r="P30131" s="42"/>
      <c r="AB30131" s="38"/>
    </row>
    <row r="30132">
      <c r="P30132" s="42"/>
      <c r="AB30132" s="38"/>
    </row>
    <row r="30133">
      <c r="P30133" s="42"/>
      <c r="AB30133" s="38"/>
    </row>
    <row r="30134">
      <c r="P30134" s="42"/>
      <c r="AB30134" s="38"/>
    </row>
    <row r="30135">
      <c r="P30135" s="42"/>
      <c r="AB30135" s="38"/>
    </row>
    <row r="30136">
      <c r="P30136" s="42"/>
      <c r="AB30136" s="38"/>
    </row>
    <row r="30137">
      <c r="P30137" s="42"/>
      <c r="AB30137" s="38"/>
    </row>
    <row r="30138">
      <c r="P30138" s="42"/>
      <c r="AB30138" s="38"/>
    </row>
    <row r="30139">
      <c r="P30139" s="42"/>
      <c r="AB30139" s="38"/>
    </row>
    <row r="30140">
      <c r="P30140" s="42"/>
      <c r="AB30140" s="38"/>
    </row>
    <row r="30141">
      <c r="P30141" s="42"/>
      <c r="AB30141" s="38"/>
    </row>
    <row r="30142">
      <c r="P30142" s="42"/>
      <c r="AB30142" s="38"/>
    </row>
    <row r="30143">
      <c r="P30143" s="42"/>
      <c r="AB30143" s="38"/>
    </row>
    <row r="30144">
      <c r="P30144" s="42"/>
      <c r="AB30144" s="38"/>
    </row>
    <row r="30145">
      <c r="P30145" s="42"/>
      <c r="AB30145" s="38"/>
    </row>
    <row r="30146">
      <c r="P30146" s="42"/>
      <c r="AB30146" s="38"/>
    </row>
    <row r="30147">
      <c r="P30147" s="42"/>
      <c r="AB30147" s="38"/>
    </row>
    <row r="30148">
      <c r="P30148" s="42"/>
      <c r="AB30148" s="38"/>
    </row>
    <row r="30149">
      <c r="P30149" s="42"/>
      <c r="AB30149" s="38"/>
    </row>
    <row r="30150">
      <c r="P30150" s="42"/>
      <c r="AB30150" s="38"/>
    </row>
    <row r="30151">
      <c r="P30151" s="42"/>
      <c r="AB30151" s="38"/>
    </row>
    <row r="30152">
      <c r="P30152" s="42"/>
      <c r="AB30152" s="38"/>
    </row>
    <row r="30153">
      <c r="P30153" s="42"/>
      <c r="AB30153" s="38"/>
    </row>
    <row r="30154">
      <c r="P30154" s="42"/>
      <c r="AB30154" s="38"/>
    </row>
    <row r="30155">
      <c r="P30155" s="42"/>
      <c r="AB30155" s="38"/>
    </row>
    <row r="30156">
      <c r="P30156" s="42"/>
      <c r="AB30156" s="38"/>
    </row>
    <row r="30157">
      <c r="P30157" s="42"/>
      <c r="AB30157" s="38"/>
    </row>
    <row r="30158">
      <c r="P30158" s="42"/>
      <c r="AB30158" s="38"/>
    </row>
    <row r="30159">
      <c r="P30159" s="42"/>
      <c r="AB30159" s="38"/>
    </row>
    <row r="30160">
      <c r="P30160" s="42"/>
      <c r="AB30160" s="38"/>
    </row>
    <row r="30161">
      <c r="P30161" s="42"/>
      <c r="AB30161" s="38"/>
    </row>
    <row r="30162">
      <c r="P30162" s="42"/>
      <c r="AB30162" s="38"/>
    </row>
    <row r="30163">
      <c r="P30163" s="42"/>
      <c r="AB30163" s="38"/>
    </row>
    <row r="30164">
      <c r="P30164" s="42"/>
      <c r="AB30164" s="38"/>
    </row>
    <row r="30165">
      <c r="P30165" s="42"/>
      <c r="AB30165" s="38"/>
    </row>
    <row r="30166">
      <c r="P30166" s="42"/>
      <c r="AB30166" s="38"/>
    </row>
    <row r="30167">
      <c r="P30167" s="42"/>
      <c r="AB30167" s="38"/>
    </row>
    <row r="30168">
      <c r="P30168" s="42"/>
      <c r="AB30168" s="38"/>
    </row>
    <row r="30169">
      <c r="P30169" s="42"/>
      <c r="AB30169" s="38"/>
    </row>
    <row r="30170">
      <c r="P30170" s="42"/>
      <c r="AB30170" s="38"/>
    </row>
    <row r="30171">
      <c r="P30171" s="42"/>
      <c r="AB30171" s="38"/>
    </row>
    <row r="30172">
      <c r="P30172" s="42"/>
      <c r="AB30172" s="38"/>
    </row>
    <row r="30173">
      <c r="P30173" s="42"/>
      <c r="AB30173" s="38"/>
    </row>
    <row r="30174">
      <c r="P30174" s="42"/>
      <c r="AB30174" s="38"/>
    </row>
    <row r="30175">
      <c r="P30175" s="42"/>
      <c r="AB30175" s="38"/>
    </row>
    <row r="30176">
      <c r="P30176" s="42"/>
      <c r="AB30176" s="38"/>
    </row>
    <row r="30177">
      <c r="P30177" s="42"/>
      <c r="AB30177" s="38"/>
    </row>
    <row r="30178">
      <c r="P30178" s="42"/>
      <c r="AB30178" s="38"/>
    </row>
    <row r="30179">
      <c r="P30179" s="42"/>
      <c r="AB30179" s="38"/>
    </row>
    <row r="30180">
      <c r="P30180" s="42"/>
      <c r="AB30180" s="38"/>
    </row>
    <row r="30181">
      <c r="P30181" s="42"/>
      <c r="AB30181" s="38"/>
    </row>
    <row r="30182">
      <c r="P30182" s="42"/>
      <c r="AB30182" s="38"/>
    </row>
    <row r="30183">
      <c r="P30183" s="42"/>
      <c r="AB30183" s="38"/>
    </row>
    <row r="30184">
      <c r="P30184" s="42"/>
      <c r="AB30184" s="38"/>
    </row>
    <row r="30185">
      <c r="P30185" s="42"/>
      <c r="AB30185" s="38"/>
    </row>
    <row r="30186">
      <c r="P30186" s="42"/>
      <c r="AB30186" s="38"/>
    </row>
    <row r="30187">
      <c r="P30187" s="42"/>
      <c r="AB30187" s="38"/>
    </row>
    <row r="30188">
      <c r="P30188" s="42"/>
      <c r="AB30188" s="38"/>
    </row>
    <row r="30189">
      <c r="P30189" s="42"/>
      <c r="AB30189" s="38"/>
    </row>
    <row r="30190">
      <c r="P30190" s="42"/>
      <c r="AB30190" s="38"/>
    </row>
    <row r="30191">
      <c r="P30191" s="42"/>
      <c r="AB30191" s="38"/>
    </row>
    <row r="30192">
      <c r="P30192" s="42"/>
      <c r="AB30192" s="38"/>
    </row>
    <row r="30193">
      <c r="P30193" s="42"/>
      <c r="AB30193" s="38"/>
    </row>
    <row r="30194">
      <c r="P30194" s="42"/>
      <c r="AB30194" s="38"/>
    </row>
    <row r="30195">
      <c r="P30195" s="42"/>
      <c r="AB30195" s="38"/>
    </row>
    <row r="30196">
      <c r="P30196" s="42"/>
      <c r="AB30196" s="38"/>
    </row>
    <row r="30197">
      <c r="P30197" s="42"/>
      <c r="AB30197" s="38"/>
    </row>
    <row r="30198">
      <c r="P30198" s="42"/>
      <c r="AB30198" s="38"/>
    </row>
    <row r="30199">
      <c r="P30199" s="42"/>
      <c r="AB30199" s="38"/>
    </row>
    <row r="30200">
      <c r="P30200" s="42"/>
      <c r="AB30200" s="38"/>
    </row>
    <row r="30201">
      <c r="P30201" s="42"/>
      <c r="AB30201" s="38"/>
    </row>
    <row r="30202">
      <c r="P30202" s="42"/>
      <c r="AB30202" s="38"/>
    </row>
    <row r="30203">
      <c r="P30203" s="42"/>
      <c r="AB30203" s="38"/>
    </row>
    <row r="30204">
      <c r="P30204" s="42"/>
      <c r="AB30204" s="38"/>
    </row>
    <row r="30205">
      <c r="P30205" s="42"/>
      <c r="AB30205" s="38"/>
    </row>
    <row r="30206">
      <c r="P30206" s="42"/>
      <c r="AB30206" s="38"/>
    </row>
    <row r="30207">
      <c r="P30207" s="42"/>
      <c r="AB30207" s="38"/>
    </row>
    <row r="30208">
      <c r="P30208" s="42"/>
      <c r="AB30208" s="38"/>
    </row>
    <row r="30209">
      <c r="P30209" s="42"/>
      <c r="AB30209" s="38"/>
    </row>
    <row r="30210">
      <c r="P30210" s="42"/>
      <c r="AB30210" s="38"/>
    </row>
    <row r="30211">
      <c r="P30211" s="42"/>
      <c r="AB30211" s="38"/>
    </row>
    <row r="30212">
      <c r="P30212" s="42"/>
      <c r="AB30212" s="38"/>
    </row>
    <row r="30213">
      <c r="P30213" s="42"/>
      <c r="AB30213" s="38"/>
    </row>
    <row r="30214">
      <c r="P30214" s="42"/>
      <c r="AB30214" s="38"/>
    </row>
    <row r="30215">
      <c r="P30215" s="42"/>
      <c r="AB30215" s="38"/>
    </row>
    <row r="30216">
      <c r="P30216" s="42"/>
      <c r="AB30216" s="38"/>
    </row>
    <row r="30217">
      <c r="P30217" s="42"/>
      <c r="AB30217" s="38"/>
    </row>
    <row r="30218">
      <c r="P30218" s="42"/>
      <c r="AB30218" s="38"/>
    </row>
    <row r="30219">
      <c r="P30219" s="42"/>
      <c r="AB30219" s="38"/>
    </row>
    <row r="30220">
      <c r="P30220" s="42"/>
      <c r="AB30220" s="38"/>
    </row>
    <row r="30221">
      <c r="P30221" s="42"/>
      <c r="AB30221" s="38"/>
    </row>
    <row r="30222">
      <c r="P30222" s="42"/>
      <c r="AB30222" s="38"/>
    </row>
    <row r="30223">
      <c r="P30223" s="42"/>
      <c r="AB30223" s="38"/>
    </row>
    <row r="30224">
      <c r="P30224" s="42"/>
      <c r="AB30224" s="38"/>
    </row>
    <row r="30225">
      <c r="P30225" s="42"/>
      <c r="AB30225" s="38"/>
    </row>
    <row r="30226">
      <c r="P30226" s="42"/>
      <c r="AB30226" s="38"/>
    </row>
    <row r="30227">
      <c r="P30227" s="42"/>
      <c r="AB30227" s="38"/>
    </row>
    <row r="30228">
      <c r="P30228" s="42"/>
      <c r="AB30228" s="38"/>
    </row>
    <row r="30229">
      <c r="P30229" s="42"/>
      <c r="AB30229" s="38"/>
    </row>
    <row r="30230">
      <c r="P30230" s="42"/>
      <c r="AB30230" s="38"/>
    </row>
    <row r="30231">
      <c r="P30231" s="42"/>
      <c r="AB30231" s="38"/>
    </row>
    <row r="30232">
      <c r="P30232" s="42"/>
      <c r="AB30232" s="38"/>
    </row>
    <row r="30233">
      <c r="P30233" s="42"/>
      <c r="AB30233" s="38"/>
    </row>
    <row r="30234">
      <c r="P30234" s="42"/>
      <c r="AB30234" s="38"/>
    </row>
    <row r="30235">
      <c r="P30235" s="42"/>
      <c r="AB30235" s="38"/>
    </row>
    <row r="30236">
      <c r="P30236" s="42"/>
      <c r="AB30236" s="38"/>
    </row>
    <row r="30237">
      <c r="P30237" s="42"/>
      <c r="AB30237" s="38"/>
    </row>
    <row r="30238">
      <c r="P30238" s="42"/>
      <c r="AB30238" s="38"/>
    </row>
    <row r="30239">
      <c r="P30239" s="42"/>
      <c r="AB30239" s="38"/>
    </row>
    <row r="30240">
      <c r="P30240" s="42"/>
      <c r="AB30240" s="38"/>
    </row>
    <row r="30241">
      <c r="P30241" s="42"/>
      <c r="AB30241" s="38"/>
    </row>
    <row r="30242">
      <c r="P30242" s="42"/>
      <c r="AB30242" s="38"/>
    </row>
    <row r="30243">
      <c r="P30243" s="42"/>
      <c r="AB30243" s="38"/>
    </row>
    <row r="30244">
      <c r="P30244" s="42"/>
      <c r="AB30244" s="38"/>
    </row>
    <row r="30245">
      <c r="P30245" s="42"/>
      <c r="AB30245" s="38"/>
    </row>
    <row r="30246">
      <c r="P30246" s="42"/>
      <c r="AB30246" s="38"/>
    </row>
    <row r="30247">
      <c r="P30247" s="42"/>
      <c r="AB30247" s="38"/>
    </row>
    <row r="30248">
      <c r="P30248" s="42"/>
      <c r="AB30248" s="38"/>
    </row>
    <row r="30249">
      <c r="P30249" s="42"/>
      <c r="AB30249" s="38"/>
    </row>
    <row r="30250">
      <c r="P30250" s="42"/>
      <c r="AB30250" s="38"/>
    </row>
    <row r="30251">
      <c r="P30251" s="42"/>
      <c r="AB30251" s="38"/>
    </row>
    <row r="30252">
      <c r="P30252" s="42"/>
      <c r="AB30252" s="38"/>
    </row>
    <row r="30253">
      <c r="P30253" s="42"/>
      <c r="AB30253" s="38"/>
    </row>
    <row r="30254">
      <c r="P30254" s="42"/>
      <c r="AB30254" s="38"/>
    </row>
    <row r="30255">
      <c r="P30255" s="42"/>
      <c r="AB30255" s="38"/>
    </row>
    <row r="30256">
      <c r="P30256" s="42"/>
      <c r="AB30256" s="38"/>
    </row>
    <row r="30257">
      <c r="P30257" s="42"/>
      <c r="AB30257" s="38"/>
    </row>
    <row r="30258">
      <c r="P30258" s="42"/>
      <c r="AB30258" s="38"/>
    </row>
    <row r="30259">
      <c r="P30259" s="42"/>
      <c r="AB30259" s="38"/>
    </row>
    <row r="30260">
      <c r="P30260" s="42"/>
      <c r="AB30260" s="38"/>
    </row>
    <row r="30261">
      <c r="P30261" s="42"/>
      <c r="AB30261" s="38"/>
    </row>
    <row r="30262">
      <c r="P30262" s="42"/>
      <c r="AB30262" s="38"/>
    </row>
    <row r="30263">
      <c r="P30263" s="42"/>
      <c r="AB30263" s="38"/>
    </row>
    <row r="30264">
      <c r="P30264" s="42"/>
      <c r="AB30264" s="38"/>
    </row>
    <row r="30265">
      <c r="P30265" s="42"/>
      <c r="AB30265" s="38"/>
    </row>
    <row r="30266">
      <c r="P30266" s="42"/>
      <c r="AB30266" s="38"/>
    </row>
    <row r="30267">
      <c r="P30267" s="42"/>
      <c r="AB30267" s="38"/>
    </row>
    <row r="30268">
      <c r="P30268" s="42"/>
      <c r="AB30268" s="38"/>
    </row>
    <row r="30269">
      <c r="P30269" s="42"/>
      <c r="AB30269" s="38"/>
    </row>
    <row r="30270">
      <c r="P30270" s="42"/>
      <c r="AB30270" s="38"/>
    </row>
    <row r="30271">
      <c r="P30271" s="42"/>
      <c r="AB30271" s="38"/>
    </row>
    <row r="30272">
      <c r="P30272" s="42"/>
      <c r="AB30272" s="38"/>
    </row>
    <row r="30273">
      <c r="P30273" s="42"/>
      <c r="AB30273" s="38"/>
    </row>
    <row r="30274">
      <c r="P30274" s="42"/>
      <c r="AB30274" s="38"/>
    </row>
    <row r="30275">
      <c r="P30275" s="42"/>
      <c r="AB30275" s="38"/>
    </row>
    <row r="30276">
      <c r="P30276" s="42"/>
      <c r="AB30276" s="38"/>
    </row>
    <row r="30277">
      <c r="P30277" s="42"/>
      <c r="AB30277" s="38"/>
    </row>
    <row r="30278">
      <c r="P30278" s="42"/>
      <c r="AB30278" s="38"/>
    </row>
    <row r="30279">
      <c r="P30279" s="42"/>
      <c r="AB30279" s="38"/>
    </row>
    <row r="30280">
      <c r="P30280" s="42"/>
      <c r="AB30280" s="38"/>
    </row>
    <row r="30281">
      <c r="P30281" s="42"/>
      <c r="AB30281" s="38"/>
    </row>
    <row r="30282">
      <c r="P30282" s="42"/>
      <c r="AB30282" s="38"/>
    </row>
    <row r="30283">
      <c r="P30283" s="42"/>
      <c r="AB30283" s="38"/>
    </row>
    <row r="30284">
      <c r="P30284" s="42"/>
      <c r="AB30284" s="38"/>
    </row>
    <row r="30285">
      <c r="P30285" s="42"/>
      <c r="AB30285" s="38"/>
    </row>
    <row r="30286">
      <c r="P30286" s="42"/>
      <c r="AB30286" s="38"/>
    </row>
    <row r="30287">
      <c r="P30287" s="42"/>
      <c r="AB30287" s="38"/>
    </row>
    <row r="30288">
      <c r="P30288" s="42"/>
      <c r="AB30288" s="38"/>
    </row>
    <row r="30289">
      <c r="P30289" s="42"/>
      <c r="AB30289" s="38"/>
    </row>
    <row r="30290">
      <c r="P30290" s="42"/>
      <c r="AB30290" s="38"/>
    </row>
    <row r="30291">
      <c r="P30291" s="42"/>
      <c r="AB30291" s="38"/>
    </row>
    <row r="30292">
      <c r="P30292" s="42"/>
      <c r="AB30292" s="38"/>
    </row>
    <row r="30293">
      <c r="P30293" s="42"/>
      <c r="AB30293" s="38"/>
    </row>
    <row r="30294">
      <c r="P30294" s="42"/>
      <c r="AB30294" s="38"/>
    </row>
    <row r="30295">
      <c r="P30295" s="42"/>
      <c r="AB30295" s="38"/>
    </row>
    <row r="30296">
      <c r="P30296" s="42"/>
      <c r="AB30296" s="38"/>
    </row>
    <row r="30297">
      <c r="P30297" s="42"/>
      <c r="AB30297" s="38"/>
    </row>
    <row r="30298">
      <c r="P30298" s="42"/>
      <c r="AB30298" s="38"/>
    </row>
    <row r="30299">
      <c r="P30299" s="42"/>
      <c r="AB30299" s="38"/>
    </row>
    <row r="30300">
      <c r="P30300" s="42"/>
      <c r="AB30300" s="38"/>
    </row>
    <row r="30301">
      <c r="P30301" s="42"/>
      <c r="AB30301" s="38"/>
    </row>
    <row r="30302">
      <c r="P30302" s="42"/>
      <c r="AB30302" s="38"/>
    </row>
    <row r="30303">
      <c r="P30303" s="42"/>
      <c r="AB30303" s="38"/>
    </row>
    <row r="30304">
      <c r="P30304" s="42"/>
      <c r="AB30304" s="38"/>
    </row>
    <row r="30305">
      <c r="P30305" s="42"/>
      <c r="AB30305" s="38"/>
    </row>
    <row r="30306">
      <c r="P30306" s="42"/>
      <c r="AB30306" s="38"/>
    </row>
    <row r="30307">
      <c r="P30307" s="42"/>
      <c r="AB30307" s="38"/>
    </row>
    <row r="30308">
      <c r="P30308" s="42"/>
      <c r="AB30308" s="38"/>
    </row>
    <row r="30309">
      <c r="P30309" s="42"/>
      <c r="AB30309" s="38"/>
    </row>
    <row r="30310">
      <c r="P30310" s="42"/>
      <c r="AB30310" s="38"/>
    </row>
    <row r="30311">
      <c r="P30311" s="42"/>
      <c r="AB30311" s="38"/>
    </row>
    <row r="30312">
      <c r="P30312" s="42"/>
      <c r="AB30312" s="38"/>
    </row>
    <row r="30313">
      <c r="P30313" s="42"/>
      <c r="AB30313" s="38"/>
    </row>
    <row r="30314">
      <c r="P30314" s="42"/>
      <c r="AB30314" s="38"/>
    </row>
    <row r="30315">
      <c r="P30315" s="42"/>
      <c r="AB30315" s="38"/>
    </row>
    <row r="30316">
      <c r="P30316" s="42"/>
      <c r="AB30316" s="38"/>
    </row>
    <row r="30317">
      <c r="P30317" s="42"/>
      <c r="AB30317" s="38"/>
    </row>
    <row r="30318">
      <c r="P30318" s="42"/>
      <c r="AB30318" s="38"/>
    </row>
    <row r="30319">
      <c r="P30319" s="42"/>
      <c r="AB30319" s="38"/>
    </row>
    <row r="30320">
      <c r="P30320" s="42"/>
      <c r="AB30320" s="38"/>
    </row>
    <row r="30321">
      <c r="P30321" s="42"/>
      <c r="AB30321" s="38"/>
    </row>
    <row r="30322">
      <c r="P30322" s="42"/>
      <c r="AB30322" s="38"/>
    </row>
    <row r="30323">
      <c r="P30323" s="42"/>
      <c r="AB30323" s="38"/>
    </row>
    <row r="30324">
      <c r="P30324" s="42"/>
      <c r="AB30324" s="38"/>
    </row>
    <row r="30325">
      <c r="P30325" s="42"/>
      <c r="AB30325" s="38"/>
    </row>
    <row r="30326">
      <c r="P30326" s="42"/>
      <c r="AB30326" s="38"/>
    </row>
    <row r="30327">
      <c r="P30327" s="42"/>
      <c r="AB30327" s="38"/>
    </row>
    <row r="30328">
      <c r="P30328" s="42"/>
      <c r="AB30328" s="38"/>
    </row>
    <row r="30329">
      <c r="P30329" s="42"/>
      <c r="AB30329" s="38"/>
    </row>
    <row r="30330">
      <c r="P30330" s="42"/>
      <c r="AB30330" s="38"/>
    </row>
    <row r="30331">
      <c r="P30331" s="42"/>
      <c r="AB30331" s="38"/>
    </row>
    <row r="30332">
      <c r="P30332" s="42"/>
      <c r="AB30332" s="38"/>
    </row>
    <row r="30333">
      <c r="P30333" s="42"/>
      <c r="AB30333" s="38"/>
    </row>
    <row r="30334">
      <c r="P30334" s="42"/>
      <c r="AB30334" s="38"/>
    </row>
    <row r="30335">
      <c r="P30335" s="42"/>
      <c r="AB30335" s="38"/>
    </row>
    <row r="30336">
      <c r="P30336" s="42"/>
      <c r="AB30336" s="38"/>
    </row>
    <row r="30337">
      <c r="P30337" s="42"/>
      <c r="AB30337" s="38"/>
    </row>
    <row r="30338">
      <c r="P30338" s="42"/>
      <c r="AB30338" s="38"/>
    </row>
    <row r="30339">
      <c r="P30339" s="42"/>
      <c r="AB30339" s="38"/>
    </row>
    <row r="30340">
      <c r="P30340" s="42"/>
      <c r="AB30340" s="38"/>
    </row>
    <row r="30341">
      <c r="P30341" s="42"/>
      <c r="AB30341" s="38"/>
    </row>
    <row r="30342">
      <c r="P30342" s="42"/>
      <c r="AB30342" s="38"/>
    </row>
    <row r="30343">
      <c r="P30343" s="42"/>
      <c r="AB30343" s="38"/>
    </row>
    <row r="30344">
      <c r="P30344" s="42"/>
      <c r="AB30344" s="38"/>
    </row>
    <row r="30345">
      <c r="P30345" s="42"/>
      <c r="AB30345" s="38"/>
    </row>
    <row r="30346">
      <c r="P30346" s="42"/>
      <c r="AB30346" s="38"/>
    </row>
    <row r="30347">
      <c r="P30347" s="42"/>
      <c r="AB30347" s="38"/>
    </row>
    <row r="30348">
      <c r="P30348" s="42"/>
      <c r="AB30348" s="38"/>
    </row>
    <row r="30349">
      <c r="P30349" s="42"/>
      <c r="AB30349" s="38"/>
    </row>
    <row r="30350">
      <c r="P30350" s="42"/>
      <c r="AB30350" s="38"/>
    </row>
    <row r="30351">
      <c r="P30351" s="42"/>
      <c r="AB30351" s="38"/>
    </row>
    <row r="30352">
      <c r="P30352" s="42"/>
      <c r="AB30352" s="38"/>
    </row>
    <row r="30353">
      <c r="P30353" s="42"/>
      <c r="AB30353" s="38"/>
    </row>
    <row r="30354">
      <c r="P30354" s="42"/>
      <c r="AB30354" s="38"/>
    </row>
    <row r="30355">
      <c r="P30355" s="42"/>
      <c r="AB30355" s="38"/>
    </row>
    <row r="30356">
      <c r="P30356" s="42"/>
      <c r="AB30356" s="38"/>
    </row>
    <row r="30357">
      <c r="P30357" s="42"/>
      <c r="AB30357" s="38"/>
    </row>
    <row r="30358">
      <c r="P30358" s="42"/>
      <c r="AB30358" s="38"/>
    </row>
    <row r="30359">
      <c r="P30359" s="42"/>
      <c r="AB30359" s="38"/>
    </row>
    <row r="30360">
      <c r="P30360" s="42"/>
      <c r="AB30360" s="38"/>
    </row>
    <row r="30361">
      <c r="P30361" s="42"/>
      <c r="AB30361" s="38"/>
    </row>
    <row r="30362">
      <c r="P30362" s="42"/>
      <c r="AB30362" s="38"/>
    </row>
    <row r="30363">
      <c r="P30363" s="42"/>
      <c r="AB30363" s="38"/>
    </row>
    <row r="30364">
      <c r="P30364" s="42"/>
      <c r="AB30364" s="38"/>
    </row>
    <row r="30365">
      <c r="P30365" s="42"/>
      <c r="AB30365" s="38"/>
    </row>
    <row r="30366">
      <c r="P30366" s="42"/>
      <c r="AB30366" s="38"/>
    </row>
    <row r="30367">
      <c r="P30367" s="42"/>
      <c r="AB30367" s="38"/>
    </row>
    <row r="30368">
      <c r="P30368" s="42"/>
      <c r="AB30368" s="38"/>
    </row>
    <row r="30369">
      <c r="P30369" s="42"/>
      <c r="AB30369" s="38"/>
    </row>
    <row r="30370">
      <c r="P30370" s="42"/>
      <c r="AB30370" s="38"/>
    </row>
    <row r="30371">
      <c r="P30371" s="42"/>
      <c r="AB30371" s="38"/>
    </row>
    <row r="30372">
      <c r="P30372" s="42"/>
      <c r="AB30372" s="38"/>
    </row>
    <row r="30373">
      <c r="P30373" s="42"/>
      <c r="AB30373" s="38"/>
    </row>
    <row r="30374">
      <c r="P30374" s="42"/>
      <c r="AB30374" s="38"/>
    </row>
    <row r="30375">
      <c r="P30375" s="42"/>
      <c r="AB30375" s="38"/>
    </row>
    <row r="30376">
      <c r="P30376" s="42"/>
      <c r="AB30376" s="38"/>
    </row>
    <row r="30377">
      <c r="P30377" s="42"/>
      <c r="AB30377" s="38"/>
    </row>
    <row r="30378">
      <c r="P30378" s="42"/>
      <c r="AB30378" s="38"/>
    </row>
    <row r="30379">
      <c r="P30379" s="42"/>
      <c r="AB30379" s="38"/>
    </row>
    <row r="30380">
      <c r="P30380" s="42"/>
      <c r="AB30380" s="38"/>
    </row>
    <row r="30381">
      <c r="P30381" s="42"/>
      <c r="AB30381" s="38"/>
    </row>
    <row r="30382">
      <c r="P30382" s="42"/>
      <c r="AB30382" s="38"/>
    </row>
    <row r="30383">
      <c r="P30383" s="42"/>
      <c r="AB30383" s="38"/>
    </row>
    <row r="30384">
      <c r="P30384" s="42"/>
      <c r="AB30384" s="38"/>
    </row>
    <row r="30385">
      <c r="P30385" s="42"/>
      <c r="AB30385" s="38"/>
    </row>
    <row r="30386">
      <c r="P30386" s="42"/>
      <c r="AB30386" s="38"/>
    </row>
    <row r="30387">
      <c r="P30387" s="42"/>
      <c r="AB30387" s="38"/>
    </row>
    <row r="30388">
      <c r="P30388" s="42"/>
      <c r="AB30388" s="38"/>
    </row>
    <row r="30389">
      <c r="P30389" s="42"/>
      <c r="AB30389" s="38"/>
    </row>
    <row r="30390">
      <c r="P30390" s="42"/>
      <c r="AB30390" s="38"/>
    </row>
    <row r="30391">
      <c r="P30391" s="42"/>
      <c r="AB30391" s="38"/>
    </row>
    <row r="30392">
      <c r="P30392" s="42"/>
      <c r="AB30392" s="38"/>
    </row>
    <row r="30393">
      <c r="P30393" s="42"/>
      <c r="AB30393" s="38"/>
    </row>
    <row r="30394">
      <c r="P30394" s="42"/>
      <c r="AB30394" s="38"/>
    </row>
    <row r="30395">
      <c r="P30395" s="42"/>
      <c r="AB30395" s="38"/>
    </row>
    <row r="30396">
      <c r="P30396" s="42"/>
      <c r="AB30396" s="38"/>
    </row>
    <row r="30397">
      <c r="P30397" s="42"/>
      <c r="AB30397" s="38"/>
    </row>
    <row r="30398">
      <c r="P30398" s="42"/>
      <c r="AB30398" s="38"/>
    </row>
    <row r="30399">
      <c r="P30399" s="42"/>
      <c r="AB30399" s="38"/>
    </row>
    <row r="30400">
      <c r="P30400" s="42"/>
      <c r="AB30400" s="38"/>
    </row>
    <row r="30401">
      <c r="P30401" s="42"/>
      <c r="AB30401" s="38"/>
    </row>
    <row r="30402">
      <c r="P30402" s="42"/>
      <c r="AB30402" s="38"/>
    </row>
    <row r="30403">
      <c r="P30403" s="42"/>
      <c r="AB30403" s="38"/>
    </row>
    <row r="30404">
      <c r="P30404" s="42"/>
      <c r="AB30404" s="38"/>
    </row>
    <row r="30405">
      <c r="P30405" s="42"/>
      <c r="AB30405" s="38"/>
    </row>
    <row r="30406">
      <c r="P30406" s="42"/>
      <c r="AB30406" s="38"/>
    </row>
    <row r="30407">
      <c r="P30407" s="42"/>
      <c r="AB30407" s="38"/>
    </row>
    <row r="30408">
      <c r="P30408" s="42"/>
      <c r="AB30408" s="38"/>
    </row>
    <row r="30409">
      <c r="P30409" s="42"/>
      <c r="AB30409" s="38"/>
    </row>
    <row r="30410">
      <c r="P30410" s="42"/>
      <c r="AB30410" s="38"/>
    </row>
    <row r="30411">
      <c r="P30411" s="42"/>
      <c r="AB30411" s="38"/>
    </row>
    <row r="30412">
      <c r="P30412" s="42"/>
      <c r="AB30412" s="38"/>
    </row>
    <row r="30413">
      <c r="P30413" s="42"/>
      <c r="AB30413" s="38"/>
    </row>
    <row r="30414">
      <c r="P30414" s="42"/>
      <c r="AB30414" s="38"/>
    </row>
    <row r="30415">
      <c r="P30415" s="42"/>
      <c r="AB30415" s="38"/>
    </row>
    <row r="30416">
      <c r="P30416" s="42"/>
      <c r="AB30416" s="38"/>
    </row>
    <row r="30417">
      <c r="P30417" s="42"/>
      <c r="AB30417" s="38"/>
    </row>
    <row r="30418">
      <c r="P30418" s="42"/>
      <c r="AB30418" s="38"/>
    </row>
    <row r="30419">
      <c r="P30419" s="42"/>
      <c r="AB30419" s="38"/>
    </row>
    <row r="30420">
      <c r="P30420" s="42"/>
      <c r="AB30420" s="38"/>
    </row>
    <row r="30421">
      <c r="P30421" s="42"/>
      <c r="AB30421" s="38"/>
    </row>
    <row r="30422">
      <c r="P30422" s="42"/>
      <c r="AB30422" s="38"/>
    </row>
    <row r="30423">
      <c r="P30423" s="42"/>
      <c r="AB30423" s="38"/>
    </row>
    <row r="30424">
      <c r="P30424" s="42"/>
      <c r="AB30424" s="38"/>
    </row>
    <row r="30425">
      <c r="P30425" s="42"/>
      <c r="AB30425" s="38"/>
    </row>
    <row r="30426">
      <c r="P30426" s="42"/>
      <c r="AB30426" s="38"/>
    </row>
    <row r="30427">
      <c r="P30427" s="42"/>
      <c r="AB30427" s="38"/>
    </row>
    <row r="30428">
      <c r="P30428" s="42"/>
      <c r="AB30428" s="38"/>
    </row>
    <row r="30429">
      <c r="P30429" s="42"/>
      <c r="AB30429" s="38"/>
    </row>
    <row r="30430">
      <c r="P30430" s="42"/>
      <c r="AB30430" s="38"/>
    </row>
    <row r="30431">
      <c r="P30431" s="42"/>
      <c r="AB30431" s="38"/>
    </row>
    <row r="30432">
      <c r="P30432" s="42"/>
      <c r="AB30432" s="38"/>
    </row>
    <row r="30433">
      <c r="P30433" s="42"/>
      <c r="AB30433" s="38"/>
    </row>
    <row r="30434">
      <c r="P30434" s="42"/>
      <c r="AB30434" s="38"/>
    </row>
    <row r="30435">
      <c r="P30435" s="42"/>
      <c r="AB30435" s="38"/>
    </row>
    <row r="30436">
      <c r="P30436" s="42"/>
      <c r="AB30436" s="38"/>
    </row>
    <row r="30437">
      <c r="P30437" s="42"/>
      <c r="AB30437" s="38"/>
    </row>
    <row r="30438">
      <c r="P30438" s="42"/>
      <c r="AB30438" s="38"/>
    </row>
    <row r="30439">
      <c r="P30439" s="42"/>
      <c r="AB30439" s="38"/>
    </row>
    <row r="30440">
      <c r="P30440" s="42"/>
      <c r="AB30440" s="38"/>
    </row>
    <row r="30441">
      <c r="P30441" s="42"/>
      <c r="AB30441" s="38"/>
    </row>
    <row r="30442">
      <c r="P30442" s="42"/>
      <c r="AB30442" s="38"/>
    </row>
    <row r="30443">
      <c r="P30443" s="42"/>
      <c r="AB30443" s="38"/>
    </row>
    <row r="30444">
      <c r="P30444" s="42"/>
      <c r="AB30444" s="38"/>
    </row>
    <row r="30445">
      <c r="P30445" s="42"/>
      <c r="AB30445" s="38"/>
    </row>
    <row r="30446">
      <c r="P30446" s="42"/>
      <c r="AB30446" s="38"/>
    </row>
    <row r="30447">
      <c r="P30447" s="42"/>
      <c r="AB30447" s="38"/>
    </row>
    <row r="30448">
      <c r="P30448" s="42"/>
      <c r="AB30448" s="38"/>
    </row>
    <row r="30449">
      <c r="P30449" s="42"/>
      <c r="AB30449" s="38"/>
    </row>
    <row r="30450">
      <c r="P30450" s="42"/>
      <c r="AB30450" s="38"/>
    </row>
    <row r="30451">
      <c r="P30451" s="42"/>
      <c r="AB30451" s="38"/>
    </row>
    <row r="30452">
      <c r="P30452" s="42"/>
      <c r="AB30452" s="38"/>
    </row>
    <row r="30453">
      <c r="P30453" s="42"/>
      <c r="AB30453" s="38"/>
    </row>
    <row r="30454">
      <c r="P30454" s="42"/>
      <c r="AB30454" s="38"/>
    </row>
    <row r="30455">
      <c r="P30455" s="42"/>
      <c r="AB30455" s="38"/>
    </row>
    <row r="30456">
      <c r="P30456" s="42"/>
      <c r="AB30456" s="38"/>
    </row>
    <row r="30457">
      <c r="P30457" s="42"/>
      <c r="AB30457" s="38"/>
    </row>
    <row r="30458">
      <c r="P30458" s="42"/>
      <c r="AB30458" s="38"/>
    </row>
    <row r="30459">
      <c r="P30459" s="42"/>
      <c r="AB30459" s="38"/>
    </row>
    <row r="30460">
      <c r="P30460" s="42"/>
      <c r="AB30460" s="38"/>
    </row>
    <row r="30461">
      <c r="P30461" s="42"/>
      <c r="AB30461" s="38"/>
    </row>
    <row r="30462">
      <c r="P30462" s="42"/>
      <c r="AB30462" s="38"/>
    </row>
    <row r="30463">
      <c r="P30463" s="42"/>
      <c r="AB30463" s="38"/>
    </row>
    <row r="30464">
      <c r="P30464" s="42"/>
      <c r="AB30464" s="38"/>
    </row>
    <row r="30465">
      <c r="P30465" s="42"/>
      <c r="AB30465" s="38"/>
    </row>
    <row r="30466">
      <c r="P30466" s="42"/>
      <c r="AB30466" s="38"/>
    </row>
    <row r="30467">
      <c r="P30467" s="42"/>
      <c r="AB30467" s="38"/>
    </row>
    <row r="30468">
      <c r="P30468" s="42"/>
      <c r="AB30468" s="38"/>
    </row>
    <row r="30469">
      <c r="P30469" s="42"/>
      <c r="AB30469" s="38"/>
    </row>
    <row r="30470">
      <c r="P30470" s="42"/>
      <c r="AB30470" s="38"/>
    </row>
    <row r="30471">
      <c r="P30471" s="42"/>
      <c r="AB30471" s="38"/>
    </row>
    <row r="30472">
      <c r="P30472" s="42"/>
      <c r="AB30472" s="38"/>
    </row>
    <row r="30473">
      <c r="P30473" s="42"/>
      <c r="AB30473" s="38"/>
    </row>
    <row r="30474">
      <c r="P30474" s="42"/>
      <c r="AB30474" s="38"/>
    </row>
    <row r="30475">
      <c r="P30475" s="42"/>
      <c r="AB30475" s="38"/>
    </row>
    <row r="30476">
      <c r="P30476" s="42"/>
      <c r="AB30476" s="38"/>
    </row>
    <row r="30477">
      <c r="P30477" s="42"/>
      <c r="AB30477" s="38"/>
    </row>
    <row r="30478">
      <c r="P30478" s="42"/>
      <c r="AB30478" s="38"/>
    </row>
    <row r="30479">
      <c r="P30479" s="42"/>
      <c r="AB30479" s="38"/>
    </row>
    <row r="30480">
      <c r="P30480" s="42"/>
      <c r="AB30480" s="38"/>
    </row>
    <row r="30481">
      <c r="P30481" s="42"/>
      <c r="AB30481" s="38"/>
    </row>
    <row r="30482">
      <c r="P30482" s="42"/>
      <c r="AB30482" s="38"/>
    </row>
    <row r="30483">
      <c r="P30483" s="42"/>
      <c r="AB30483" s="38"/>
    </row>
    <row r="30484">
      <c r="P30484" s="42"/>
      <c r="AB30484" s="38"/>
    </row>
    <row r="30485">
      <c r="P30485" s="42"/>
      <c r="AB30485" s="38"/>
    </row>
    <row r="30486">
      <c r="P30486" s="42"/>
      <c r="AB30486" s="38"/>
    </row>
    <row r="30487">
      <c r="P30487" s="42"/>
      <c r="AB30487" s="38"/>
    </row>
    <row r="30488">
      <c r="P30488" s="42"/>
      <c r="AB30488" s="38"/>
    </row>
    <row r="30489">
      <c r="P30489" s="42"/>
      <c r="AB30489" s="38"/>
    </row>
    <row r="30490">
      <c r="P30490" s="42"/>
      <c r="AB30490" s="38"/>
    </row>
    <row r="30491">
      <c r="P30491" s="42"/>
      <c r="AB30491" s="38"/>
    </row>
    <row r="30492">
      <c r="P30492" s="42"/>
      <c r="AB30492" s="38"/>
    </row>
    <row r="30493">
      <c r="P30493" s="42"/>
      <c r="AB30493" s="38"/>
    </row>
    <row r="30494">
      <c r="P30494" s="42"/>
      <c r="AB30494" s="38"/>
    </row>
    <row r="30495">
      <c r="P30495" s="42"/>
      <c r="AB30495" s="38"/>
    </row>
    <row r="30496">
      <c r="P30496" s="42"/>
      <c r="AB30496" s="38"/>
    </row>
    <row r="30497">
      <c r="P30497" s="42"/>
      <c r="AB30497" s="38"/>
    </row>
    <row r="30498">
      <c r="P30498" s="42"/>
      <c r="AB30498" s="38"/>
    </row>
    <row r="30499">
      <c r="P30499" s="42"/>
      <c r="AB30499" s="38"/>
    </row>
    <row r="30500">
      <c r="P30500" s="42"/>
      <c r="AB30500" s="38"/>
    </row>
    <row r="30501">
      <c r="P30501" s="42"/>
      <c r="AB30501" s="38"/>
    </row>
    <row r="30502">
      <c r="P30502" s="42"/>
      <c r="AB30502" s="38"/>
    </row>
    <row r="30503">
      <c r="P30503" s="42"/>
      <c r="AB30503" s="38"/>
    </row>
    <row r="30504">
      <c r="P30504" s="42"/>
      <c r="AB30504" s="38"/>
    </row>
    <row r="30505">
      <c r="P30505" s="42"/>
      <c r="AB30505" s="38"/>
    </row>
    <row r="30506">
      <c r="P30506" s="42"/>
      <c r="AB30506" s="38"/>
    </row>
    <row r="30507">
      <c r="P30507" s="42"/>
      <c r="AB30507" s="38"/>
    </row>
    <row r="30508">
      <c r="P30508" s="42"/>
      <c r="AB30508" s="38"/>
    </row>
    <row r="30509">
      <c r="P30509" s="42"/>
      <c r="AB30509" s="38"/>
    </row>
    <row r="30510">
      <c r="P30510" s="42"/>
      <c r="AB30510" s="38"/>
    </row>
    <row r="30511">
      <c r="P30511" s="42"/>
      <c r="AB30511" s="38"/>
    </row>
    <row r="30512">
      <c r="P30512" s="42"/>
      <c r="AB30512" s="38"/>
    </row>
    <row r="30513">
      <c r="P30513" s="42"/>
      <c r="AB30513" s="38"/>
    </row>
    <row r="30514">
      <c r="P30514" s="42"/>
      <c r="AB30514" s="38"/>
    </row>
    <row r="30515">
      <c r="P30515" s="42"/>
      <c r="AB30515" s="38"/>
    </row>
    <row r="30516">
      <c r="P30516" s="42"/>
      <c r="AB30516" s="38"/>
    </row>
    <row r="30517">
      <c r="P30517" s="42"/>
      <c r="AB30517" s="38"/>
    </row>
    <row r="30518">
      <c r="P30518" s="42"/>
      <c r="AB30518" s="38"/>
    </row>
    <row r="30519">
      <c r="P30519" s="42"/>
      <c r="AB30519" s="38"/>
    </row>
    <row r="30520">
      <c r="P30520" s="42"/>
      <c r="AB30520" s="38"/>
    </row>
    <row r="30521">
      <c r="P30521" s="42"/>
      <c r="AB30521" s="38"/>
    </row>
    <row r="30522">
      <c r="P30522" s="42"/>
      <c r="AB30522" s="38"/>
    </row>
    <row r="30523">
      <c r="P30523" s="42"/>
      <c r="AB30523" s="38"/>
    </row>
    <row r="30524">
      <c r="P30524" s="42"/>
      <c r="AB30524" s="38"/>
    </row>
    <row r="30525">
      <c r="P30525" s="42"/>
      <c r="AB30525" s="38"/>
    </row>
    <row r="30526">
      <c r="P30526" s="42"/>
      <c r="AB30526" s="38"/>
    </row>
    <row r="30527">
      <c r="P30527" s="42"/>
      <c r="AB30527" s="38"/>
    </row>
    <row r="30528">
      <c r="P30528" s="42"/>
      <c r="AB30528" s="38"/>
    </row>
    <row r="30529">
      <c r="P30529" s="42"/>
      <c r="AB30529" s="38"/>
    </row>
    <row r="30530">
      <c r="P30530" s="42"/>
      <c r="AB30530" s="38"/>
    </row>
    <row r="30531">
      <c r="P30531" s="42"/>
      <c r="AB30531" s="38"/>
    </row>
    <row r="30532">
      <c r="P30532" s="42"/>
      <c r="AB30532" s="38"/>
    </row>
    <row r="30533">
      <c r="P30533" s="42"/>
      <c r="AB30533" s="38"/>
    </row>
    <row r="30534">
      <c r="P30534" s="42"/>
      <c r="AB30534" s="38"/>
    </row>
    <row r="30535">
      <c r="P30535" s="42"/>
      <c r="AB30535" s="38"/>
    </row>
    <row r="30536">
      <c r="P30536" s="42"/>
      <c r="AB30536" s="38"/>
    </row>
    <row r="30537">
      <c r="P30537" s="42"/>
      <c r="AB30537" s="38"/>
    </row>
    <row r="30538">
      <c r="P30538" s="42"/>
      <c r="AB30538" s="38"/>
    </row>
    <row r="30539">
      <c r="P30539" s="42"/>
      <c r="AB30539" s="38"/>
    </row>
    <row r="30540">
      <c r="P30540" s="42"/>
      <c r="AB30540" s="38"/>
    </row>
    <row r="30541">
      <c r="P30541" s="42"/>
      <c r="AB30541" s="38"/>
    </row>
    <row r="30542">
      <c r="P30542" s="42"/>
      <c r="AB30542" s="38"/>
    </row>
    <row r="30543">
      <c r="P30543" s="42"/>
      <c r="AB30543" s="38"/>
    </row>
    <row r="30544">
      <c r="P30544" s="42"/>
      <c r="AB30544" s="38"/>
    </row>
    <row r="30545">
      <c r="P30545" s="42"/>
      <c r="AB30545" s="38"/>
    </row>
    <row r="30546">
      <c r="P30546" s="42"/>
      <c r="AB30546" s="38"/>
    </row>
    <row r="30547">
      <c r="P30547" s="42"/>
      <c r="AB30547" s="38"/>
    </row>
    <row r="30548">
      <c r="P30548" s="42"/>
      <c r="AB30548" s="38"/>
    </row>
    <row r="30549">
      <c r="P30549" s="42"/>
      <c r="AB30549" s="38"/>
    </row>
    <row r="30550">
      <c r="P30550" s="42"/>
      <c r="AB30550" s="38"/>
    </row>
    <row r="30551">
      <c r="P30551" s="42"/>
      <c r="AB30551" s="38"/>
    </row>
    <row r="30552">
      <c r="P30552" s="42"/>
      <c r="AB30552" s="38"/>
    </row>
    <row r="30553">
      <c r="P30553" s="42"/>
      <c r="AB30553" s="38"/>
    </row>
    <row r="30554">
      <c r="P30554" s="42"/>
      <c r="AB30554" s="38"/>
    </row>
    <row r="30555">
      <c r="P30555" s="42"/>
      <c r="AB30555" s="38"/>
    </row>
    <row r="30556">
      <c r="P30556" s="42"/>
      <c r="AB30556" s="38"/>
    </row>
    <row r="30557">
      <c r="P30557" s="42"/>
      <c r="AB30557" s="38"/>
    </row>
    <row r="30558">
      <c r="P30558" s="42"/>
      <c r="AB30558" s="38"/>
    </row>
    <row r="30559">
      <c r="P30559" s="42"/>
      <c r="AB30559" s="38"/>
    </row>
    <row r="30560">
      <c r="P30560" s="42"/>
      <c r="AB30560" s="38"/>
    </row>
    <row r="30561">
      <c r="P30561" s="42"/>
      <c r="AB30561" s="38"/>
    </row>
    <row r="30562">
      <c r="P30562" s="42"/>
      <c r="AB30562" s="38"/>
    </row>
    <row r="30563">
      <c r="P30563" s="42"/>
      <c r="AB30563" s="38"/>
    </row>
    <row r="30564">
      <c r="P30564" s="42"/>
      <c r="AB30564" s="38"/>
    </row>
    <row r="30565">
      <c r="P30565" s="42"/>
      <c r="AB30565" s="38"/>
    </row>
    <row r="30566">
      <c r="P30566" s="42"/>
      <c r="AB30566" s="38"/>
    </row>
    <row r="30567">
      <c r="P30567" s="42"/>
      <c r="AB30567" s="38"/>
    </row>
    <row r="30568">
      <c r="P30568" s="42"/>
      <c r="AB30568" s="38"/>
    </row>
    <row r="30569">
      <c r="P30569" s="42"/>
      <c r="AB30569" s="38"/>
    </row>
    <row r="30570">
      <c r="P30570" s="42"/>
      <c r="AB30570" s="38"/>
    </row>
    <row r="30571">
      <c r="P30571" s="42"/>
      <c r="AB30571" s="38"/>
    </row>
    <row r="30572">
      <c r="P30572" s="42"/>
      <c r="AB30572" s="38"/>
    </row>
    <row r="30573">
      <c r="P30573" s="42"/>
      <c r="AB30573" s="38"/>
    </row>
    <row r="30574">
      <c r="P30574" s="42"/>
      <c r="AB30574" s="38"/>
    </row>
    <row r="30575">
      <c r="P30575" s="42"/>
      <c r="AB30575" s="38"/>
    </row>
    <row r="30576">
      <c r="P30576" s="42"/>
      <c r="AB30576" s="38"/>
    </row>
    <row r="30577">
      <c r="P30577" s="42"/>
      <c r="AB30577" s="38"/>
    </row>
    <row r="30578">
      <c r="P30578" s="42"/>
      <c r="AB30578" s="38"/>
    </row>
    <row r="30579">
      <c r="P30579" s="42"/>
      <c r="AB30579" s="38"/>
    </row>
    <row r="30580">
      <c r="P30580" s="42"/>
      <c r="AB30580" s="38"/>
    </row>
    <row r="30581">
      <c r="P30581" s="42"/>
      <c r="AB30581" s="38"/>
    </row>
    <row r="30582">
      <c r="P30582" s="42"/>
      <c r="AB30582" s="38"/>
    </row>
    <row r="30583">
      <c r="P30583" s="42"/>
      <c r="AB30583" s="38"/>
    </row>
    <row r="30584">
      <c r="P30584" s="42"/>
      <c r="AB30584" s="38"/>
    </row>
    <row r="30585">
      <c r="P30585" s="42"/>
      <c r="AB30585" s="38"/>
    </row>
    <row r="30586">
      <c r="P30586" s="42"/>
      <c r="AB30586" s="38"/>
    </row>
    <row r="30587">
      <c r="P30587" s="42"/>
      <c r="AB30587" s="38"/>
    </row>
    <row r="30588">
      <c r="P30588" s="42"/>
      <c r="AB30588" s="38"/>
    </row>
    <row r="30589">
      <c r="P30589" s="42"/>
      <c r="AB30589" s="38"/>
    </row>
    <row r="30590">
      <c r="P30590" s="42"/>
      <c r="AB30590" s="38"/>
    </row>
    <row r="30591">
      <c r="P30591" s="42"/>
      <c r="AB30591" s="38"/>
    </row>
    <row r="30592">
      <c r="P30592" s="42"/>
      <c r="AB30592" s="38"/>
    </row>
    <row r="30593">
      <c r="P30593" s="42"/>
      <c r="AB30593" s="38"/>
    </row>
    <row r="30594">
      <c r="P30594" s="42"/>
      <c r="AB30594" s="38"/>
    </row>
    <row r="30595">
      <c r="P30595" s="42"/>
      <c r="AB30595" s="38"/>
    </row>
    <row r="30596">
      <c r="P30596" s="42"/>
      <c r="AB30596" s="38"/>
    </row>
    <row r="30597">
      <c r="P30597" s="42"/>
      <c r="AB30597" s="38"/>
    </row>
    <row r="30598">
      <c r="P30598" s="42"/>
      <c r="AB30598" s="38"/>
    </row>
    <row r="30599">
      <c r="P30599" s="42"/>
      <c r="AB30599" s="38"/>
    </row>
    <row r="30600">
      <c r="P30600" s="42"/>
      <c r="AB30600" s="38"/>
    </row>
    <row r="30601">
      <c r="P30601" s="42"/>
      <c r="AB30601" s="38"/>
    </row>
    <row r="30602">
      <c r="P30602" s="42"/>
      <c r="AB30602" s="38"/>
    </row>
    <row r="30603">
      <c r="P30603" s="42"/>
      <c r="AB30603" s="38"/>
    </row>
    <row r="30604">
      <c r="P30604" s="42"/>
      <c r="AB30604" s="38"/>
    </row>
    <row r="30605">
      <c r="P30605" s="42"/>
      <c r="AB30605" s="38"/>
    </row>
    <row r="30606">
      <c r="P30606" s="42"/>
      <c r="AB30606" s="38"/>
    </row>
    <row r="30607">
      <c r="P30607" s="42"/>
      <c r="AB30607" s="38"/>
    </row>
    <row r="30608">
      <c r="P30608" s="42"/>
      <c r="AB30608" s="38"/>
    </row>
    <row r="30609">
      <c r="P30609" s="42"/>
      <c r="AB30609" s="38"/>
    </row>
    <row r="30610">
      <c r="P30610" s="42"/>
      <c r="AB30610" s="38"/>
    </row>
    <row r="30611">
      <c r="P30611" s="42"/>
      <c r="AB30611" s="38"/>
    </row>
    <row r="30612">
      <c r="P30612" s="42"/>
      <c r="AB30612" s="38"/>
    </row>
    <row r="30613">
      <c r="P30613" s="42"/>
      <c r="AB30613" s="38"/>
    </row>
    <row r="30614">
      <c r="P30614" s="42"/>
      <c r="AB30614" s="38"/>
    </row>
    <row r="30615">
      <c r="P30615" s="42"/>
      <c r="AB30615" s="38"/>
    </row>
    <row r="30616">
      <c r="P30616" s="42"/>
      <c r="AB30616" s="38"/>
    </row>
    <row r="30617">
      <c r="P30617" s="42"/>
      <c r="AB30617" s="38"/>
    </row>
    <row r="30618">
      <c r="P30618" s="42"/>
      <c r="AB30618" s="38"/>
    </row>
    <row r="30619">
      <c r="P30619" s="42"/>
      <c r="AB30619" s="38"/>
    </row>
    <row r="30620">
      <c r="P30620" s="42"/>
      <c r="AB30620" s="38"/>
    </row>
    <row r="30621">
      <c r="P30621" s="42"/>
      <c r="AB30621" s="38"/>
    </row>
    <row r="30622">
      <c r="P30622" s="42"/>
      <c r="AB30622" s="38"/>
    </row>
    <row r="30623">
      <c r="P30623" s="42"/>
      <c r="AB30623" s="38"/>
    </row>
    <row r="30624">
      <c r="P30624" s="42"/>
      <c r="AB30624" s="38"/>
    </row>
    <row r="30625">
      <c r="P30625" s="42"/>
      <c r="AB30625" s="38"/>
    </row>
    <row r="30626">
      <c r="P30626" s="42"/>
      <c r="AB30626" s="38"/>
    </row>
    <row r="30627">
      <c r="P30627" s="42"/>
      <c r="AB30627" s="38"/>
    </row>
    <row r="30628">
      <c r="P30628" s="42"/>
      <c r="AB30628" s="38"/>
    </row>
    <row r="30629">
      <c r="P30629" s="42"/>
      <c r="AB30629" s="38"/>
    </row>
    <row r="30630">
      <c r="P30630" s="42"/>
      <c r="AB30630" s="38"/>
    </row>
    <row r="30631">
      <c r="P30631" s="42"/>
      <c r="AB30631" s="38"/>
    </row>
    <row r="30632">
      <c r="P30632" s="42"/>
      <c r="AB30632" s="38"/>
    </row>
    <row r="30633">
      <c r="P30633" s="42"/>
      <c r="AB30633" s="38"/>
    </row>
    <row r="30634">
      <c r="P30634" s="42"/>
      <c r="AB30634" s="38"/>
    </row>
    <row r="30635">
      <c r="P30635" s="42"/>
      <c r="AB30635" s="38"/>
    </row>
    <row r="30636">
      <c r="P30636" s="42"/>
      <c r="AB30636" s="38"/>
    </row>
    <row r="30637">
      <c r="P30637" s="42"/>
      <c r="AB30637" s="38"/>
    </row>
    <row r="30638">
      <c r="P30638" s="42"/>
      <c r="AB30638" s="38"/>
    </row>
    <row r="30639">
      <c r="P30639" s="42"/>
      <c r="AB30639" s="38"/>
    </row>
    <row r="30640">
      <c r="P30640" s="42"/>
      <c r="AB30640" s="38"/>
    </row>
    <row r="30641">
      <c r="P30641" s="42"/>
      <c r="AB30641" s="38"/>
    </row>
    <row r="30642">
      <c r="P30642" s="42"/>
      <c r="AB30642" s="38"/>
    </row>
    <row r="30643">
      <c r="P30643" s="42"/>
      <c r="AB30643" s="38"/>
    </row>
    <row r="30644">
      <c r="P30644" s="42"/>
      <c r="AB30644" s="38"/>
    </row>
    <row r="30645">
      <c r="P30645" s="42"/>
      <c r="AB30645" s="38"/>
    </row>
    <row r="30646">
      <c r="P30646" s="42"/>
      <c r="AB30646" s="38"/>
    </row>
    <row r="30647">
      <c r="P30647" s="42"/>
      <c r="AB30647" s="38"/>
    </row>
    <row r="30648">
      <c r="P30648" s="42"/>
      <c r="AB30648" s="38"/>
    </row>
    <row r="30649">
      <c r="P30649" s="42"/>
      <c r="AB30649" s="38"/>
    </row>
    <row r="30650">
      <c r="P30650" s="42"/>
      <c r="AB30650" s="38"/>
    </row>
    <row r="30651">
      <c r="P30651" s="42"/>
      <c r="AB30651" s="38"/>
    </row>
    <row r="30652">
      <c r="P30652" s="42"/>
      <c r="AB30652" s="38"/>
    </row>
    <row r="30653">
      <c r="P30653" s="42"/>
      <c r="AB30653" s="38"/>
    </row>
    <row r="30654">
      <c r="P30654" s="42"/>
      <c r="AB30654" s="38"/>
    </row>
    <row r="30655">
      <c r="P30655" s="42"/>
      <c r="AB30655" s="38"/>
    </row>
    <row r="30656">
      <c r="P30656" s="42"/>
      <c r="AB30656" s="38"/>
    </row>
    <row r="30657">
      <c r="P30657" s="42"/>
      <c r="AB30657" s="38"/>
    </row>
    <row r="30658">
      <c r="P30658" s="42"/>
      <c r="AB30658" s="38"/>
    </row>
    <row r="30659">
      <c r="P30659" s="42"/>
      <c r="AB30659" s="38"/>
    </row>
    <row r="30660">
      <c r="P30660" s="42"/>
      <c r="AB30660" s="38"/>
    </row>
    <row r="30661">
      <c r="P30661" s="42"/>
      <c r="AB30661" s="38"/>
    </row>
    <row r="30662">
      <c r="P30662" s="42"/>
      <c r="AB30662" s="38"/>
    </row>
    <row r="30663">
      <c r="P30663" s="42"/>
      <c r="AB30663" s="38"/>
    </row>
    <row r="30664">
      <c r="P30664" s="42"/>
      <c r="AB30664" s="38"/>
    </row>
    <row r="30665">
      <c r="P30665" s="42"/>
      <c r="AB30665" s="38"/>
    </row>
    <row r="30666">
      <c r="P30666" s="42"/>
      <c r="AB30666" s="38"/>
    </row>
    <row r="30667">
      <c r="P30667" s="42"/>
      <c r="AB30667" s="38"/>
    </row>
    <row r="30668">
      <c r="P30668" s="42"/>
      <c r="AB30668" s="38"/>
    </row>
    <row r="30669">
      <c r="P30669" s="42"/>
      <c r="AB30669" s="38"/>
    </row>
    <row r="30670">
      <c r="P30670" s="42"/>
      <c r="AB30670" s="38"/>
    </row>
    <row r="30671">
      <c r="P30671" s="42"/>
      <c r="AB30671" s="38"/>
    </row>
    <row r="30672">
      <c r="P30672" s="42"/>
      <c r="AB30672" s="38"/>
    </row>
    <row r="30673">
      <c r="P30673" s="42"/>
      <c r="AB30673" s="38"/>
    </row>
    <row r="30674">
      <c r="P30674" s="42"/>
      <c r="AB30674" s="38"/>
    </row>
    <row r="30675">
      <c r="P30675" s="42"/>
      <c r="AB30675" s="38"/>
    </row>
    <row r="30676">
      <c r="P30676" s="42"/>
      <c r="AB30676" s="38"/>
    </row>
    <row r="30677">
      <c r="P30677" s="42"/>
      <c r="AB30677" s="38"/>
    </row>
    <row r="30678">
      <c r="P30678" s="42"/>
      <c r="AB30678" s="38"/>
    </row>
    <row r="30679">
      <c r="P30679" s="42"/>
      <c r="AB30679" s="38"/>
    </row>
    <row r="30680">
      <c r="P30680" s="42"/>
      <c r="AB30680" s="38"/>
    </row>
    <row r="30681">
      <c r="P30681" s="42"/>
      <c r="AB30681" s="38"/>
    </row>
    <row r="30682">
      <c r="P30682" s="42"/>
      <c r="AB30682" s="38"/>
    </row>
    <row r="30683">
      <c r="P30683" s="42"/>
      <c r="AB30683" s="38"/>
    </row>
    <row r="30684">
      <c r="P30684" s="42"/>
      <c r="AB30684" s="38"/>
    </row>
    <row r="30685">
      <c r="P30685" s="42"/>
      <c r="AB30685" s="38"/>
    </row>
    <row r="30686">
      <c r="P30686" s="42"/>
      <c r="AB30686" s="38"/>
    </row>
    <row r="30687">
      <c r="P30687" s="42"/>
      <c r="AB30687" s="38"/>
    </row>
    <row r="30688">
      <c r="P30688" s="42"/>
      <c r="AB30688" s="38"/>
    </row>
    <row r="30689">
      <c r="P30689" s="42"/>
      <c r="AB30689" s="38"/>
    </row>
    <row r="30690">
      <c r="P30690" s="42"/>
      <c r="AB30690" s="38"/>
    </row>
    <row r="30691">
      <c r="P30691" s="42"/>
      <c r="AB30691" s="38"/>
    </row>
    <row r="30692">
      <c r="P30692" s="42"/>
      <c r="AB30692" s="38"/>
    </row>
    <row r="30693">
      <c r="P30693" s="42"/>
      <c r="AB30693" s="38"/>
    </row>
    <row r="30694">
      <c r="P30694" s="42"/>
      <c r="AB30694" s="38"/>
    </row>
    <row r="30695">
      <c r="P30695" s="42"/>
      <c r="AB30695" s="38"/>
    </row>
    <row r="30696">
      <c r="P30696" s="42"/>
      <c r="AB30696" s="38"/>
    </row>
    <row r="30697">
      <c r="P30697" s="42"/>
      <c r="AB30697" s="38"/>
    </row>
    <row r="30698">
      <c r="P30698" s="42"/>
      <c r="AB30698" s="38"/>
    </row>
    <row r="30699">
      <c r="P30699" s="42"/>
      <c r="AB30699" s="38"/>
    </row>
    <row r="30700">
      <c r="P30700" s="42"/>
      <c r="AB30700" s="38"/>
    </row>
    <row r="30701">
      <c r="P30701" s="42"/>
      <c r="AB30701" s="38"/>
    </row>
    <row r="30702">
      <c r="P30702" s="42"/>
      <c r="AB30702" s="38"/>
    </row>
    <row r="30703">
      <c r="P30703" s="42"/>
      <c r="AB30703" s="38"/>
    </row>
    <row r="30704">
      <c r="P30704" s="42"/>
      <c r="AB30704" s="38"/>
    </row>
    <row r="30705">
      <c r="P30705" s="42"/>
      <c r="AB30705" s="38"/>
    </row>
    <row r="30706">
      <c r="P30706" s="42"/>
      <c r="AB30706" s="38"/>
    </row>
    <row r="30707">
      <c r="P30707" s="42"/>
      <c r="AB30707" s="38"/>
    </row>
    <row r="30708">
      <c r="P30708" s="42"/>
      <c r="AB30708" s="38"/>
    </row>
    <row r="30709">
      <c r="P30709" s="42"/>
      <c r="AB30709" s="38"/>
    </row>
    <row r="30710">
      <c r="P30710" s="42"/>
      <c r="AB30710" s="38"/>
    </row>
    <row r="30711">
      <c r="P30711" s="42"/>
      <c r="AB30711" s="38"/>
    </row>
    <row r="30712">
      <c r="P30712" s="42"/>
      <c r="AB30712" s="38"/>
    </row>
    <row r="30713">
      <c r="P30713" s="42"/>
      <c r="AB30713" s="38"/>
    </row>
    <row r="30714">
      <c r="P30714" s="42"/>
      <c r="AB30714" s="38"/>
    </row>
    <row r="30715">
      <c r="P30715" s="42"/>
      <c r="AB30715" s="38"/>
    </row>
    <row r="30716">
      <c r="P30716" s="42"/>
      <c r="AB30716" s="38"/>
    </row>
    <row r="30717">
      <c r="P30717" s="42"/>
      <c r="AB30717" s="38"/>
    </row>
    <row r="30718">
      <c r="P30718" s="42"/>
      <c r="AB30718" s="38"/>
    </row>
    <row r="30719">
      <c r="P30719" s="42"/>
      <c r="AB30719" s="38"/>
    </row>
    <row r="30720">
      <c r="P30720" s="42"/>
      <c r="AB30720" s="38"/>
    </row>
    <row r="30721">
      <c r="P30721" s="42"/>
      <c r="AB30721" s="38"/>
    </row>
    <row r="30722">
      <c r="P30722" s="42"/>
      <c r="AB30722" s="38"/>
    </row>
    <row r="30723">
      <c r="P30723" s="42"/>
      <c r="AB30723" s="38"/>
    </row>
    <row r="30724">
      <c r="P30724" s="42"/>
      <c r="AB30724" s="38"/>
    </row>
    <row r="30725">
      <c r="P30725" s="42"/>
      <c r="AB30725" s="38"/>
    </row>
    <row r="30726">
      <c r="P30726" s="42"/>
      <c r="AB30726" s="38"/>
    </row>
    <row r="30727">
      <c r="P30727" s="42"/>
      <c r="AB30727" s="38"/>
    </row>
    <row r="30728">
      <c r="P30728" s="42"/>
      <c r="AB30728" s="38"/>
    </row>
    <row r="30729">
      <c r="P30729" s="42"/>
      <c r="AB30729" s="38"/>
    </row>
    <row r="30730">
      <c r="P30730" s="42"/>
      <c r="AB30730" s="38"/>
    </row>
    <row r="30731">
      <c r="P30731" s="42"/>
      <c r="AB30731" s="38"/>
    </row>
    <row r="30732">
      <c r="P30732" s="42"/>
      <c r="AB30732" s="38"/>
    </row>
    <row r="30733">
      <c r="P30733" s="42"/>
      <c r="AB30733" s="38"/>
    </row>
    <row r="30734">
      <c r="P30734" s="42"/>
      <c r="AB30734" s="38"/>
    </row>
    <row r="30735">
      <c r="P30735" s="42"/>
      <c r="AB30735" s="38"/>
    </row>
    <row r="30736">
      <c r="P30736" s="42"/>
      <c r="AB30736" s="38"/>
    </row>
    <row r="30737">
      <c r="P30737" s="42"/>
      <c r="AB30737" s="38"/>
    </row>
    <row r="30738">
      <c r="P30738" s="42"/>
      <c r="AB30738" s="38"/>
    </row>
    <row r="30739">
      <c r="P30739" s="42"/>
      <c r="AB30739" s="38"/>
    </row>
    <row r="30740">
      <c r="P30740" s="42"/>
      <c r="AB30740" s="38"/>
    </row>
    <row r="30741">
      <c r="P30741" s="42"/>
      <c r="AB30741" s="38"/>
    </row>
    <row r="30742">
      <c r="P30742" s="42"/>
      <c r="AB30742" s="38"/>
    </row>
    <row r="30743">
      <c r="P30743" s="42"/>
      <c r="AB30743" s="38"/>
    </row>
    <row r="30744">
      <c r="P30744" s="42"/>
      <c r="AB30744" s="38"/>
    </row>
    <row r="30745">
      <c r="P30745" s="42"/>
      <c r="AB30745" s="38"/>
    </row>
    <row r="30746">
      <c r="P30746" s="42"/>
      <c r="AB30746" s="38"/>
    </row>
    <row r="30747">
      <c r="P30747" s="42"/>
      <c r="AB30747" s="38"/>
    </row>
    <row r="30748">
      <c r="P30748" s="42"/>
      <c r="AB30748" s="38"/>
    </row>
    <row r="30749">
      <c r="P30749" s="42"/>
      <c r="AB30749" s="38"/>
    </row>
    <row r="30750">
      <c r="P30750" s="42"/>
      <c r="AB30750" s="38"/>
    </row>
    <row r="30751">
      <c r="P30751" s="42"/>
      <c r="AB30751" s="38"/>
    </row>
    <row r="30752">
      <c r="P30752" s="42"/>
      <c r="AB30752" s="38"/>
    </row>
    <row r="30753">
      <c r="P30753" s="42"/>
      <c r="AB30753" s="38"/>
    </row>
    <row r="30754">
      <c r="P30754" s="42"/>
      <c r="AB30754" s="38"/>
    </row>
    <row r="30755">
      <c r="P30755" s="42"/>
      <c r="AB30755" s="38"/>
    </row>
    <row r="30756">
      <c r="P30756" s="42"/>
      <c r="AB30756" s="38"/>
    </row>
    <row r="30757">
      <c r="P30757" s="42"/>
      <c r="AB30757" s="38"/>
    </row>
    <row r="30758">
      <c r="P30758" s="42"/>
      <c r="AB30758" s="38"/>
    </row>
    <row r="30759">
      <c r="P30759" s="42"/>
      <c r="AB30759" s="38"/>
    </row>
    <row r="30760">
      <c r="P30760" s="42"/>
      <c r="AB30760" s="38"/>
    </row>
    <row r="30761">
      <c r="P30761" s="42"/>
      <c r="AB30761" s="38"/>
    </row>
    <row r="30762">
      <c r="P30762" s="42"/>
      <c r="AB30762" s="38"/>
    </row>
    <row r="30763">
      <c r="P30763" s="42"/>
      <c r="AB30763" s="38"/>
    </row>
    <row r="30764">
      <c r="P30764" s="42"/>
      <c r="AB30764" s="38"/>
    </row>
    <row r="30765">
      <c r="P30765" s="42"/>
      <c r="AB30765" s="38"/>
    </row>
    <row r="30766">
      <c r="P30766" s="42"/>
      <c r="AB30766" s="38"/>
    </row>
    <row r="30767">
      <c r="P30767" s="42"/>
      <c r="AB30767" s="38"/>
    </row>
    <row r="30768">
      <c r="P30768" s="42"/>
      <c r="AB30768" s="38"/>
    </row>
    <row r="30769">
      <c r="P30769" s="42"/>
      <c r="AB30769" s="38"/>
    </row>
    <row r="30770">
      <c r="P30770" s="42"/>
      <c r="AB30770" s="38"/>
    </row>
    <row r="30771">
      <c r="P30771" s="42"/>
      <c r="AB30771" s="38"/>
    </row>
    <row r="30772">
      <c r="P30772" s="42"/>
      <c r="AB30772" s="38"/>
    </row>
    <row r="30773">
      <c r="P30773" s="42"/>
      <c r="AB30773" s="38"/>
    </row>
    <row r="30774">
      <c r="P30774" s="42"/>
      <c r="AB30774" s="38"/>
    </row>
    <row r="30775">
      <c r="P30775" s="42"/>
      <c r="AB30775" s="38"/>
    </row>
    <row r="30776">
      <c r="P30776" s="42"/>
      <c r="AB30776" s="38"/>
    </row>
    <row r="30777">
      <c r="P30777" s="42"/>
      <c r="AB30777" s="38"/>
    </row>
    <row r="30778">
      <c r="P30778" s="42"/>
      <c r="AB30778" s="38"/>
    </row>
    <row r="30779">
      <c r="P30779" s="42"/>
      <c r="AB30779" s="38"/>
    </row>
    <row r="30780">
      <c r="P30780" s="42"/>
      <c r="AB30780" s="38"/>
    </row>
    <row r="30781">
      <c r="P30781" s="42"/>
      <c r="AB30781" s="38"/>
    </row>
    <row r="30782">
      <c r="P30782" s="42"/>
      <c r="AB30782" s="38"/>
    </row>
    <row r="30783">
      <c r="P30783" s="42"/>
      <c r="AB30783" s="38"/>
    </row>
    <row r="30784">
      <c r="P30784" s="42"/>
      <c r="AB30784" s="38"/>
    </row>
    <row r="30785">
      <c r="P30785" s="42"/>
      <c r="AB30785" s="38"/>
    </row>
    <row r="30786">
      <c r="P30786" s="42"/>
      <c r="AB30786" s="38"/>
    </row>
    <row r="30787">
      <c r="P30787" s="42"/>
      <c r="AB30787" s="38"/>
    </row>
    <row r="30788">
      <c r="P30788" s="42"/>
      <c r="AB30788" s="38"/>
    </row>
    <row r="30789">
      <c r="P30789" s="42"/>
      <c r="AB30789" s="38"/>
    </row>
    <row r="30790">
      <c r="P30790" s="42"/>
      <c r="AB30790" s="38"/>
    </row>
    <row r="30791">
      <c r="P30791" s="42"/>
      <c r="AB30791" s="38"/>
    </row>
    <row r="30792">
      <c r="P30792" s="42"/>
      <c r="AB30792" s="38"/>
    </row>
    <row r="30793">
      <c r="P30793" s="42"/>
      <c r="AB30793" s="38"/>
    </row>
    <row r="30794">
      <c r="P30794" s="42"/>
      <c r="AB30794" s="38"/>
    </row>
    <row r="30795">
      <c r="P30795" s="42"/>
      <c r="AB30795" s="38"/>
    </row>
    <row r="30796">
      <c r="P30796" s="42"/>
      <c r="AB30796" s="38"/>
    </row>
    <row r="30797">
      <c r="P30797" s="42"/>
      <c r="AB30797" s="38"/>
    </row>
    <row r="30798">
      <c r="P30798" s="42"/>
      <c r="AB30798" s="38"/>
    </row>
    <row r="30799">
      <c r="P30799" s="42"/>
      <c r="AB30799" s="38"/>
    </row>
    <row r="30800">
      <c r="P30800" s="42"/>
      <c r="AB30800" s="38"/>
    </row>
    <row r="30801">
      <c r="P30801" s="42"/>
      <c r="AB30801" s="38"/>
    </row>
    <row r="30802">
      <c r="P30802" s="42"/>
      <c r="AB30802" s="38"/>
    </row>
    <row r="30803">
      <c r="P30803" s="42"/>
      <c r="AB30803" s="38"/>
    </row>
    <row r="30804">
      <c r="P30804" s="42"/>
      <c r="AB30804" s="38"/>
    </row>
    <row r="30805">
      <c r="P30805" s="42"/>
      <c r="AB30805" s="38"/>
    </row>
    <row r="30806">
      <c r="P30806" s="42"/>
      <c r="AB30806" s="38"/>
    </row>
    <row r="30807">
      <c r="P30807" s="42"/>
      <c r="AB30807" s="38"/>
    </row>
    <row r="30808">
      <c r="P30808" s="42"/>
      <c r="AB30808" s="38"/>
    </row>
    <row r="30809">
      <c r="P30809" s="42"/>
      <c r="AB30809" s="38"/>
    </row>
    <row r="30810">
      <c r="P30810" s="42"/>
      <c r="AB30810" s="38"/>
    </row>
    <row r="30811">
      <c r="P30811" s="42"/>
      <c r="AB30811" s="38"/>
    </row>
    <row r="30812">
      <c r="P30812" s="42"/>
      <c r="AB30812" s="38"/>
    </row>
    <row r="30813">
      <c r="P30813" s="42"/>
      <c r="AB30813" s="38"/>
    </row>
    <row r="30814">
      <c r="P30814" s="42"/>
      <c r="AB30814" s="38"/>
    </row>
    <row r="30815">
      <c r="P30815" s="42"/>
      <c r="AB30815" s="38"/>
    </row>
    <row r="30816">
      <c r="P30816" s="42"/>
      <c r="AB30816" s="38"/>
    </row>
    <row r="30817">
      <c r="P30817" s="42"/>
      <c r="AB30817" s="38"/>
    </row>
    <row r="30818">
      <c r="P30818" s="42"/>
      <c r="AB30818" s="38"/>
    </row>
    <row r="30819">
      <c r="P30819" s="42"/>
      <c r="AB30819" s="38"/>
    </row>
    <row r="30820">
      <c r="P30820" s="42"/>
      <c r="AB30820" s="38"/>
    </row>
    <row r="30821">
      <c r="P30821" s="42"/>
      <c r="AB30821" s="38"/>
    </row>
    <row r="30822">
      <c r="P30822" s="42"/>
      <c r="AB30822" s="38"/>
    </row>
    <row r="30823">
      <c r="P30823" s="42"/>
      <c r="AB30823" s="38"/>
    </row>
    <row r="30824">
      <c r="P30824" s="42"/>
      <c r="AB30824" s="38"/>
    </row>
    <row r="30825">
      <c r="P30825" s="42"/>
      <c r="AB30825" s="38"/>
    </row>
    <row r="30826">
      <c r="P30826" s="42"/>
      <c r="AB30826" s="38"/>
    </row>
    <row r="30827">
      <c r="P30827" s="42"/>
      <c r="AB30827" s="38"/>
    </row>
    <row r="30828">
      <c r="P30828" s="42"/>
      <c r="AB30828" s="38"/>
    </row>
    <row r="30829">
      <c r="P30829" s="42"/>
      <c r="AB30829" s="38"/>
    </row>
    <row r="30830">
      <c r="P30830" s="42"/>
      <c r="AB30830" s="38"/>
    </row>
    <row r="30831">
      <c r="P30831" s="42"/>
      <c r="AB30831" s="38"/>
    </row>
    <row r="30832">
      <c r="P30832" s="42"/>
      <c r="AB30832" s="38"/>
    </row>
    <row r="30833">
      <c r="P30833" s="42"/>
      <c r="AB30833" s="38"/>
    </row>
    <row r="30834">
      <c r="P30834" s="42"/>
      <c r="AB30834" s="38"/>
    </row>
    <row r="30835">
      <c r="P30835" s="42"/>
      <c r="AB30835" s="38"/>
    </row>
    <row r="30836">
      <c r="P30836" s="42"/>
      <c r="AB30836" s="38"/>
    </row>
    <row r="30837">
      <c r="P30837" s="42"/>
      <c r="AB30837" s="38"/>
    </row>
    <row r="30838">
      <c r="P30838" s="42"/>
      <c r="AB30838" s="38"/>
    </row>
    <row r="30839">
      <c r="P30839" s="42"/>
      <c r="AB30839" s="38"/>
    </row>
    <row r="30840">
      <c r="P30840" s="42"/>
      <c r="AB30840" s="38"/>
    </row>
    <row r="30841">
      <c r="P30841" s="42"/>
      <c r="AB30841" s="38"/>
    </row>
    <row r="30842">
      <c r="P30842" s="42"/>
      <c r="AB30842" s="38"/>
    </row>
    <row r="30843">
      <c r="P30843" s="42"/>
      <c r="AB30843" s="38"/>
    </row>
    <row r="30844">
      <c r="P30844" s="42"/>
      <c r="AB30844" s="38"/>
    </row>
    <row r="30845">
      <c r="P30845" s="42"/>
      <c r="AB30845" s="38"/>
    </row>
    <row r="30846">
      <c r="P30846" s="42"/>
      <c r="AB30846" s="38"/>
    </row>
    <row r="30847">
      <c r="P30847" s="42"/>
      <c r="AB30847" s="38"/>
    </row>
    <row r="30848">
      <c r="P30848" s="42"/>
      <c r="AB30848" s="38"/>
    </row>
    <row r="30849">
      <c r="P30849" s="42"/>
      <c r="AB30849" s="38"/>
    </row>
    <row r="30850">
      <c r="P30850" s="42"/>
      <c r="AB30850" s="38"/>
    </row>
    <row r="30851">
      <c r="P30851" s="42"/>
      <c r="AB30851" s="38"/>
    </row>
    <row r="30852">
      <c r="P30852" s="42"/>
      <c r="AB30852" s="38"/>
    </row>
    <row r="30853">
      <c r="P30853" s="42"/>
      <c r="AB30853" s="38"/>
    </row>
    <row r="30854">
      <c r="P30854" s="42"/>
      <c r="AB30854" s="38"/>
    </row>
    <row r="30855">
      <c r="P30855" s="42"/>
      <c r="AB30855" s="38"/>
    </row>
    <row r="30856">
      <c r="P30856" s="42"/>
      <c r="AB30856" s="38"/>
    </row>
    <row r="30857">
      <c r="P30857" s="42"/>
      <c r="AB30857" s="38"/>
    </row>
    <row r="30858">
      <c r="P30858" s="42"/>
      <c r="AB30858" s="38"/>
    </row>
    <row r="30859">
      <c r="P30859" s="42"/>
      <c r="AB30859" s="38"/>
    </row>
    <row r="30860">
      <c r="P30860" s="42"/>
      <c r="AB30860" s="38"/>
    </row>
    <row r="30861">
      <c r="P30861" s="42"/>
      <c r="AB30861" s="38"/>
    </row>
    <row r="30862">
      <c r="P30862" s="42"/>
      <c r="AB30862" s="38"/>
    </row>
    <row r="30863">
      <c r="P30863" s="42"/>
      <c r="AB30863" s="38"/>
    </row>
    <row r="30864">
      <c r="P30864" s="42"/>
      <c r="AB30864" s="38"/>
    </row>
    <row r="30865">
      <c r="P30865" s="42"/>
      <c r="AB30865" s="38"/>
    </row>
    <row r="30866">
      <c r="P30866" s="42"/>
      <c r="AB30866" s="38"/>
    </row>
    <row r="30867">
      <c r="P30867" s="42"/>
      <c r="AB30867" s="38"/>
    </row>
    <row r="30868">
      <c r="P30868" s="42"/>
      <c r="AB30868" s="38"/>
    </row>
    <row r="30869">
      <c r="P30869" s="42"/>
      <c r="AB30869" s="38"/>
    </row>
    <row r="30870">
      <c r="P30870" s="42"/>
      <c r="AB30870" s="38"/>
    </row>
    <row r="30871">
      <c r="P30871" s="42"/>
      <c r="AB30871" s="38"/>
    </row>
    <row r="30872">
      <c r="P30872" s="42"/>
      <c r="AB30872" s="38"/>
    </row>
    <row r="30873">
      <c r="P30873" s="42"/>
      <c r="AB30873" s="38"/>
    </row>
    <row r="30874">
      <c r="P30874" s="42"/>
      <c r="AB30874" s="38"/>
    </row>
    <row r="30875">
      <c r="P30875" s="42"/>
      <c r="AB30875" s="38"/>
    </row>
    <row r="30876">
      <c r="P30876" s="42"/>
      <c r="AB30876" s="38"/>
    </row>
    <row r="30877">
      <c r="P30877" s="42"/>
      <c r="AB30877" s="38"/>
    </row>
    <row r="30878">
      <c r="P30878" s="42"/>
      <c r="AB30878" s="38"/>
    </row>
    <row r="30879">
      <c r="P30879" s="42"/>
      <c r="AB30879" s="38"/>
    </row>
    <row r="30880">
      <c r="P30880" s="42"/>
      <c r="AB30880" s="38"/>
    </row>
    <row r="30881">
      <c r="P30881" s="42"/>
      <c r="AB30881" s="38"/>
    </row>
    <row r="30882">
      <c r="P30882" s="42"/>
      <c r="AB30882" s="38"/>
    </row>
    <row r="30883">
      <c r="P30883" s="42"/>
      <c r="AB30883" s="38"/>
    </row>
    <row r="30884">
      <c r="P30884" s="42"/>
      <c r="AB30884" s="38"/>
    </row>
    <row r="30885">
      <c r="P30885" s="42"/>
      <c r="AB30885" s="38"/>
    </row>
    <row r="30886">
      <c r="P30886" s="42"/>
      <c r="AB30886" s="38"/>
    </row>
    <row r="30887">
      <c r="P30887" s="42"/>
      <c r="AB30887" s="38"/>
    </row>
    <row r="30888">
      <c r="P30888" s="42"/>
      <c r="AB30888" s="38"/>
    </row>
    <row r="30889">
      <c r="P30889" s="42"/>
      <c r="AB30889" s="38"/>
    </row>
    <row r="30890">
      <c r="P30890" s="42"/>
      <c r="AB30890" s="38"/>
    </row>
    <row r="30891">
      <c r="P30891" s="42"/>
      <c r="AB30891" s="38"/>
    </row>
    <row r="30892">
      <c r="P30892" s="42"/>
      <c r="AB30892" s="38"/>
    </row>
    <row r="30893">
      <c r="P30893" s="42"/>
      <c r="AB30893" s="38"/>
    </row>
    <row r="30894">
      <c r="P30894" s="42"/>
      <c r="AB30894" s="38"/>
    </row>
    <row r="30895">
      <c r="P30895" s="42"/>
      <c r="AB30895" s="38"/>
    </row>
    <row r="30896">
      <c r="P30896" s="42"/>
      <c r="AB30896" s="38"/>
    </row>
    <row r="30897">
      <c r="P30897" s="42"/>
      <c r="AB30897" s="38"/>
    </row>
    <row r="30898">
      <c r="P30898" s="42"/>
      <c r="AB30898" s="38"/>
    </row>
    <row r="30899">
      <c r="P30899" s="42"/>
      <c r="AB30899" s="38"/>
    </row>
    <row r="30900">
      <c r="P30900" s="42"/>
      <c r="AB30900" s="38"/>
    </row>
    <row r="30901">
      <c r="P30901" s="42"/>
      <c r="AB30901" s="38"/>
    </row>
    <row r="30902">
      <c r="P30902" s="42"/>
      <c r="AB30902" s="38"/>
    </row>
    <row r="30903">
      <c r="P30903" s="42"/>
      <c r="AB30903" s="38"/>
    </row>
    <row r="30904">
      <c r="P30904" s="42"/>
      <c r="AB30904" s="38"/>
    </row>
    <row r="30905">
      <c r="P30905" s="42"/>
      <c r="AB30905" s="38"/>
    </row>
    <row r="30906">
      <c r="P30906" s="42"/>
      <c r="AB30906" s="38"/>
    </row>
    <row r="30907">
      <c r="P30907" s="42"/>
      <c r="AB30907" s="38"/>
    </row>
    <row r="30908">
      <c r="P30908" s="42"/>
      <c r="AB30908" s="38"/>
    </row>
    <row r="30909">
      <c r="P30909" s="42"/>
      <c r="AB30909" s="38"/>
    </row>
    <row r="30910">
      <c r="P30910" s="42"/>
      <c r="AB30910" s="38"/>
    </row>
    <row r="30911">
      <c r="P30911" s="42"/>
      <c r="AB30911" s="38"/>
    </row>
    <row r="30912">
      <c r="P30912" s="42"/>
      <c r="AB30912" s="38"/>
    </row>
    <row r="30913">
      <c r="P30913" s="42"/>
      <c r="AB30913" s="38"/>
    </row>
    <row r="30914">
      <c r="P30914" s="42"/>
      <c r="AB30914" s="38"/>
    </row>
    <row r="30915">
      <c r="P30915" s="42"/>
      <c r="AB30915" s="38"/>
    </row>
    <row r="30916">
      <c r="P30916" s="42"/>
      <c r="AB30916" s="38"/>
    </row>
    <row r="30917">
      <c r="P30917" s="42"/>
      <c r="AB30917" s="38"/>
    </row>
    <row r="30918">
      <c r="P30918" s="42"/>
      <c r="AB30918" s="38"/>
    </row>
    <row r="30919">
      <c r="P30919" s="42"/>
      <c r="AB30919" s="38"/>
    </row>
    <row r="30920">
      <c r="P30920" s="42"/>
      <c r="AB30920" s="38"/>
    </row>
    <row r="30921">
      <c r="P30921" s="42"/>
      <c r="AB30921" s="38"/>
    </row>
    <row r="30922">
      <c r="P30922" s="42"/>
      <c r="AB30922" s="38"/>
    </row>
    <row r="30923">
      <c r="P30923" s="42"/>
      <c r="AB30923" s="38"/>
    </row>
    <row r="30924">
      <c r="P30924" s="42"/>
      <c r="AB30924" s="38"/>
    </row>
    <row r="30925">
      <c r="P30925" s="42"/>
      <c r="AB30925" s="38"/>
    </row>
    <row r="30926">
      <c r="P30926" s="42"/>
      <c r="AB30926" s="38"/>
    </row>
    <row r="30927">
      <c r="P30927" s="42"/>
      <c r="AB30927" s="38"/>
    </row>
    <row r="30928">
      <c r="P30928" s="42"/>
      <c r="AB30928" s="38"/>
    </row>
    <row r="30929">
      <c r="P30929" s="42"/>
      <c r="AB30929" s="38"/>
    </row>
    <row r="30930">
      <c r="P30930" s="42"/>
      <c r="AB30930" s="38"/>
    </row>
    <row r="30931">
      <c r="P30931" s="42"/>
      <c r="AB30931" s="38"/>
    </row>
    <row r="30932">
      <c r="P30932" s="42"/>
      <c r="AB30932" s="38"/>
    </row>
    <row r="30933">
      <c r="P30933" s="42"/>
      <c r="AB30933" s="38"/>
    </row>
    <row r="30934">
      <c r="P30934" s="42"/>
      <c r="AB30934" s="38"/>
    </row>
    <row r="30935">
      <c r="P30935" s="42"/>
      <c r="AB30935" s="38"/>
    </row>
    <row r="30936">
      <c r="P30936" s="42"/>
      <c r="AB30936" s="38"/>
    </row>
    <row r="30937">
      <c r="P30937" s="42"/>
      <c r="AB30937" s="38"/>
    </row>
    <row r="30938">
      <c r="P30938" s="42"/>
      <c r="AB30938" s="38"/>
    </row>
    <row r="30939">
      <c r="P30939" s="42"/>
      <c r="AB30939" s="38"/>
    </row>
    <row r="30940">
      <c r="P30940" s="42"/>
      <c r="AB30940" s="38"/>
    </row>
    <row r="30941">
      <c r="P30941" s="42"/>
      <c r="AB30941" s="38"/>
    </row>
    <row r="30942">
      <c r="P30942" s="42"/>
      <c r="AB30942" s="38"/>
    </row>
    <row r="30943">
      <c r="P30943" s="42"/>
      <c r="AB30943" s="38"/>
    </row>
    <row r="30944">
      <c r="P30944" s="42"/>
      <c r="AB30944" s="38"/>
    </row>
    <row r="30945">
      <c r="P30945" s="42"/>
      <c r="AB30945" s="38"/>
    </row>
    <row r="30946">
      <c r="P30946" s="42"/>
      <c r="AB30946" s="38"/>
    </row>
    <row r="30947">
      <c r="P30947" s="42"/>
      <c r="AB30947" s="38"/>
    </row>
    <row r="30948">
      <c r="P30948" s="42"/>
      <c r="AB30948" s="38"/>
    </row>
    <row r="30949">
      <c r="P30949" s="42"/>
      <c r="AB30949" s="38"/>
    </row>
    <row r="30950">
      <c r="P30950" s="42"/>
      <c r="AB30950" s="38"/>
    </row>
    <row r="30951">
      <c r="P30951" s="42"/>
      <c r="AB30951" s="38"/>
    </row>
    <row r="30952">
      <c r="P30952" s="42"/>
      <c r="AB30952" s="38"/>
    </row>
    <row r="30953">
      <c r="P30953" s="42"/>
      <c r="AB30953" s="38"/>
    </row>
    <row r="30954">
      <c r="P30954" s="42"/>
      <c r="AB30954" s="38"/>
    </row>
    <row r="30955">
      <c r="P30955" s="42"/>
      <c r="AB30955" s="38"/>
    </row>
    <row r="30956">
      <c r="P30956" s="42"/>
      <c r="AB30956" s="38"/>
    </row>
    <row r="30957">
      <c r="P30957" s="42"/>
      <c r="AB30957" s="38"/>
    </row>
    <row r="30958">
      <c r="P30958" s="42"/>
      <c r="AB30958" s="38"/>
    </row>
    <row r="30959">
      <c r="P30959" s="42"/>
      <c r="AB30959" s="38"/>
    </row>
    <row r="30960">
      <c r="P30960" s="42"/>
      <c r="AB30960" s="38"/>
    </row>
    <row r="30961">
      <c r="P30961" s="42"/>
      <c r="AB30961" s="38"/>
    </row>
    <row r="30962">
      <c r="P30962" s="42"/>
      <c r="AB30962" s="38"/>
    </row>
    <row r="30963">
      <c r="P30963" s="42"/>
      <c r="AB30963" s="38"/>
    </row>
    <row r="30964">
      <c r="P30964" s="42"/>
      <c r="AB30964" s="38"/>
    </row>
    <row r="30965">
      <c r="P30965" s="42"/>
      <c r="AB30965" s="38"/>
    </row>
    <row r="30966">
      <c r="P30966" s="42"/>
      <c r="AB30966" s="38"/>
    </row>
    <row r="30967">
      <c r="P30967" s="42"/>
      <c r="AB30967" s="38"/>
    </row>
    <row r="30968">
      <c r="P30968" s="42"/>
      <c r="AB30968" s="38"/>
    </row>
    <row r="30969">
      <c r="P30969" s="42"/>
      <c r="AB30969" s="38"/>
    </row>
    <row r="30970">
      <c r="P30970" s="42"/>
      <c r="AB30970" s="38"/>
    </row>
    <row r="30971">
      <c r="P30971" s="42"/>
      <c r="AB30971" s="38"/>
    </row>
    <row r="30972">
      <c r="P30972" s="42"/>
      <c r="AB30972" s="38"/>
    </row>
    <row r="30973">
      <c r="P30973" s="42"/>
      <c r="AB30973" s="38"/>
    </row>
    <row r="30974">
      <c r="P30974" s="42"/>
      <c r="AB30974" s="38"/>
    </row>
    <row r="30975">
      <c r="P30975" s="42"/>
      <c r="AB30975" s="38"/>
    </row>
    <row r="30976">
      <c r="P30976" s="42"/>
      <c r="AB30976" s="38"/>
    </row>
    <row r="30977">
      <c r="P30977" s="42"/>
      <c r="AB30977" s="38"/>
    </row>
    <row r="30978">
      <c r="P30978" s="42"/>
      <c r="AB30978" s="38"/>
    </row>
    <row r="30979">
      <c r="P30979" s="42"/>
      <c r="AB30979" s="38"/>
    </row>
    <row r="30980">
      <c r="P30980" s="42"/>
      <c r="AB30980" s="38"/>
    </row>
    <row r="30981">
      <c r="P30981" s="42"/>
      <c r="AB30981" s="38"/>
    </row>
    <row r="30982">
      <c r="P30982" s="42"/>
      <c r="AB30982" s="38"/>
    </row>
    <row r="30983">
      <c r="P30983" s="42"/>
      <c r="AB30983" s="38"/>
    </row>
    <row r="30984">
      <c r="P30984" s="42"/>
      <c r="AB30984" s="38"/>
    </row>
    <row r="30985">
      <c r="P30985" s="42"/>
      <c r="AB30985" s="38"/>
    </row>
    <row r="30986">
      <c r="P30986" s="42"/>
      <c r="AB30986" s="38"/>
    </row>
    <row r="30987">
      <c r="P30987" s="42"/>
      <c r="AB30987" s="38"/>
    </row>
    <row r="30988">
      <c r="P30988" s="42"/>
      <c r="AB30988" s="38"/>
    </row>
    <row r="30989">
      <c r="P30989" s="42"/>
      <c r="AB30989" s="38"/>
    </row>
    <row r="30990">
      <c r="P30990" s="42"/>
      <c r="AB30990" s="38"/>
    </row>
    <row r="30991">
      <c r="P30991" s="42"/>
      <c r="AB30991" s="38"/>
    </row>
    <row r="30992">
      <c r="P30992" s="42"/>
      <c r="AB30992" s="38"/>
    </row>
    <row r="30993">
      <c r="P30993" s="42"/>
      <c r="AB30993" s="38"/>
    </row>
    <row r="30994">
      <c r="P30994" s="42"/>
      <c r="AB30994" s="38"/>
    </row>
    <row r="30995">
      <c r="P30995" s="42"/>
      <c r="AB30995" s="38"/>
    </row>
    <row r="30996">
      <c r="P30996" s="42"/>
      <c r="AB30996" s="38"/>
    </row>
    <row r="30997">
      <c r="P30997" s="42"/>
      <c r="AB30997" s="38"/>
    </row>
    <row r="30998">
      <c r="P30998" s="42"/>
      <c r="AB30998" s="38"/>
    </row>
    <row r="30999">
      <c r="P30999" s="42"/>
      <c r="AB30999" s="38"/>
    </row>
    <row r="31000">
      <c r="P31000" s="42"/>
      <c r="AB31000" s="38"/>
    </row>
    <row r="31001">
      <c r="P31001" s="42"/>
      <c r="AB31001" s="38"/>
    </row>
    <row r="31002">
      <c r="P31002" s="42"/>
      <c r="AB31002" s="38"/>
    </row>
    <row r="31003">
      <c r="P31003" s="42"/>
      <c r="AB31003" s="38"/>
    </row>
    <row r="31004">
      <c r="P31004" s="42"/>
      <c r="AB31004" s="38"/>
    </row>
    <row r="31005">
      <c r="P31005" s="42"/>
      <c r="AB31005" s="38"/>
    </row>
    <row r="31006">
      <c r="P31006" s="42"/>
      <c r="AB31006" s="38"/>
    </row>
    <row r="31007">
      <c r="P31007" s="42"/>
      <c r="AB31007" s="38"/>
    </row>
    <row r="31008">
      <c r="P31008" s="42"/>
      <c r="AB31008" s="38"/>
    </row>
    <row r="31009">
      <c r="P31009" s="42"/>
      <c r="AB31009" s="38"/>
    </row>
    <row r="31010">
      <c r="P31010" s="42"/>
      <c r="AB31010" s="38"/>
    </row>
    <row r="31011">
      <c r="P31011" s="42"/>
      <c r="AB31011" s="38"/>
    </row>
    <row r="31012">
      <c r="P31012" s="42"/>
      <c r="AB31012" s="38"/>
    </row>
    <row r="31013">
      <c r="P31013" s="42"/>
      <c r="AB31013" s="38"/>
    </row>
    <row r="31014">
      <c r="P31014" s="42"/>
      <c r="AB31014" s="38"/>
    </row>
    <row r="31015">
      <c r="P31015" s="42"/>
      <c r="AB31015" s="38"/>
    </row>
    <row r="31016">
      <c r="P31016" s="42"/>
      <c r="AB31016" s="38"/>
    </row>
    <row r="31017">
      <c r="P31017" s="42"/>
      <c r="AB31017" s="38"/>
    </row>
    <row r="31018">
      <c r="P31018" s="42"/>
      <c r="AB31018" s="38"/>
    </row>
    <row r="31019">
      <c r="P31019" s="42"/>
      <c r="AB31019" s="38"/>
    </row>
    <row r="31020">
      <c r="P31020" s="42"/>
      <c r="AB31020" s="38"/>
    </row>
    <row r="31021">
      <c r="P31021" s="42"/>
      <c r="AB31021" s="38"/>
    </row>
    <row r="31022">
      <c r="P31022" s="42"/>
      <c r="AB31022" s="38"/>
    </row>
    <row r="31023">
      <c r="P31023" s="42"/>
      <c r="AB31023" s="38"/>
    </row>
    <row r="31024">
      <c r="P31024" s="42"/>
      <c r="AB31024" s="38"/>
    </row>
    <row r="31025">
      <c r="P31025" s="42"/>
      <c r="AB31025" s="38"/>
    </row>
    <row r="31026">
      <c r="P31026" s="42"/>
      <c r="AB31026" s="38"/>
    </row>
    <row r="31027">
      <c r="P31027" s="42"/>
      <c r="AB31027" s="38"/>
    </row>
    <row r="31028">
      <c r="P31028" s="42"/>
      <c r="AB31028" s="38"/>
    </row>
    <row r="31029">
      <c r="P31029" s="42"/>
      <c r="AB31029" s="38"/>
    </row>
    <row r="31030">
      <c r="P31030" s="42"/>
      <c r="AB31030" s="38"/>
    </row>
    <row r="31031">
      <c r="P31031" s="42"/>
      <c r="AB31031" s="38"/>
    </row>
    <row r="31032">
      <c r="P31032" s="42"/>
      <c r="AB31032" s="38"/>
    </row>
    <row r="31033">
      <c r="P31033" s="42"/>
      <c r="AB31033" s="38"/>
    </row>
    <row r="31034">
      <c r="P31034" s="42"/>
      <c r="AB31034" s="38"/>
    </row>
    <row r="31035">
      <c r="P31035" s="42"/>
      <c r="AB31035" s="38"/>
    </row>
    <row r="31036">
      <c r="P31036" s="42"/>
      <c r="AB31036" s="38"/>
    </row>
    <row r="31037">
      <c r="P31037" s="42"/>
      <c r="AB31037" s="38"/>
    </row>
    <row r="31038">
      <c r="P31038" s="42"/>
      <c r="AB31038" s="38"/>
    </row>
    <row r="31039">
      <c r="P31039" s="42"/>
      <c r="AB31039" s="38"/>
    </row>
    <row r="31040">
      <c r="P31040" s="42"/>
      <c r="AB31040" s="38"/>
    </row>
    <row r="31041">
      <c r="P31041" s="42"/>
      <c r="AB31041" s="38"/>
    </row>
    <row r="31042">
      <c r="P31042" s="42"/>
      <c r="AB31042" s="38"/>
    </row>
    <row r="31043">
      <c r="P31043" s="42"/>
      <c r="AB31043" s="38"/>
    </row>
    <row r="31044">
      <c r="P31044" s="42"/>
      <c r="AB31044" s="38"/>
    </row>
    <row r="31045">
      <c r="P31045" s="42"/>
      <c r="AB31045" s="38"/>
    </row>
    <row r="31046">
      <c r="P31046" s="42"/>
      <c r="AB31046" s="38"/>
    </row>
    <row r="31047">
      <c r="P31047" s="42"/>
      <c r="AB31047" s="38"/>
    </row>
    <row r="31048">
      <c r="P31048" s="42"/>
      <c r="AB31048" s="38"/>
    </row>
    <row r="31049">
      <c r="P31049" s="42"/>
      <c r="AB31049" s="38"/>
    </row>
    <row r="31050">
      <c r="P31050" s="42"/>
      <c r="AB31050" s="38"/>
    </row>
    <row r="31051">
      <c r="P31051" s="42"/>
      <c r="AB31051" s="38"/>
    </row>
    <row r="31052">
      <c r="P31052" s="42"/>
      <c r="AB31052" s="38"/>
    </row>
    <row r="31053">
      <c r="P31053" s="42"/>
      <c r="AB31053" s="38"/>
    </row>
    <row r="31054">
      <c r="P31054" s="42"/>
      <c r="AB31054" s="38"/>
    </row>
    <row r="31055">
      <c r="P31055" s="42"/>
      <c r="AB31055" s="38"/>
    </row>
    <row r="31056">
      <c r="P31056" s="42"/>
      <c r="AB31056" s="38"/>
    </row>
    <row r="31057">
      <c r="P31057" s="42"/>
      <c r="AB31057" s="38"/>
    </row>
    <row r="31058">
      <c r="P31058" s="42"/>
      <c r="AB31058" s="38"/>
    </row>
    <row r="31059">
      <c r="P31059" s="42"/>
      <c r="AB31059" s="38"/>
    </row>
    <row r="31060">
      <c r="P31060" s="42"/>
      <c r="AB31060" s="38"/>
    </row>
    <row r="31061">
      <c r="P31061" s="42"/>
      <c r="AB31061" s="38"/>
    </row>
    <row r="31062">
      <c r="P31062" s="42"/>
      <c r="AB31062" s="38"/>
    </row>
    <row r="31063">
      <c r="P31063" s="42"/>
      <c r="AB31063" s="38"/>
    </row>
    <row r="31064">
      <c r="P31064" s="42"/>
      <c r="AB31064" s="38"/>
    </row>
    <row r="31065">
      <c r="P31065" s="42"/>
      <c r="AB31065" s="38"/>
    </row>
    <row r="31066">
      <c r="P31066" s="42"/>
      <c r="AB31066" s="38"/>
    </row>
    <row r="31067">
      <c r="P31067" s="42"/>
      <c r="AB31067" s="38"/>
    </row>
    <row r="31068">
      <c r="P31068" s="42"/>
      <c r="AB31068" s="38"/>
    </row>
    <row r="31069">
      <c r="P31069" s="42"/>
      <c r="AB31069" s="38"/>
    </row>
    <row r="31070">
      <c r="P31070" s="42"/>
      <c r="AB31070" s="38"/>
    </row>
    <row r="31071">
      <c r="P31071" s="42"/>
      <c r="AB31071" s="38"/>
    </row>
    <row r="31072">
      <c r="P31072" s="42"/>
      <c r="AB31072" s="38"/>
    </row>
    <row r="31073">
      <c r="P31073" s="42"/>
      <c r="AB31073" s="38"/>
    </row>
    <row r="31074">
      <c r="P31074" s="42"/>
      <c r="AB31074" s="38"/>
    </row>
    <row r="31075">
      <c r="P31075" s="42"/>
      <c r="AB31075" s="38"/>
    </row>
    <row r="31076">
      <c r="P31076" s="42"/>
      <c r="AB31076" s="38"/>
    </row>
    <row r="31077">
      <c r="P31077" s="42"/>
      <c r="AB31077" s="38"/>
    </row>
    <row r="31078">
      <c r="P31078" s="42"/>
      <c r="AB31078" s="38"/>
    </row>
    <row r="31079">
      <c r="P31079" s="42"/>
      <c r="AB31079" s="38"/>
    </row>
    <row r="31080">
      <c r="P31080" s="42"/>
      <c r="AB31080" s="38"/>
    </row>
    <row r="31081">
      <c r="P31081" s="42"/>
      <c r="AB31081" s="38"/>
    </row>
    <row r="31082">
      <c r="P31082" s="42"/>
      <c r="AB31082" s="38"/>
    </row>
    <row r="31083">
      <c r="P31083" s="42"/>
      <c r="AB31083" s="38"/>
    </row>
    <row r="31084">
      <c r="P31084" s="42"/>
      <c r="AB31084" s="38"/>
    </row>
    <row r="31085">
      <c r="P31085" s="42"/>
      <c r="AB31085" s="38"/>
    </row>
    <row r="31086">
      <c r="P31086" s="42"/>
      <c r="AB31086" s="38"/>
    </row>
    <row r="31087">
      <c r="P31087" s="42"/>
      <c r="AB31087" s="38"/>
    </row>
    <row r="31088">
      <c r="P31088" s="42"/>
      <c r="AB31088" s="38"/>
    </row>
    <row r="31089">
      <c r="P31089" s="42"/>
      <c r="AB31089" s="38"/>
    </row>
    <row r="31090">
      <c r="P31090" s="42"/>
      <c r="AB31090" s="38"/>
    </row>
    <row r="31091">
      <c r="P31091" s="42"/>
      <c r="AB31091" s="38"/>
    </row>
    <row r="31092">
      <c r="P31092" s="42"/>
      <c r="AB31092" s="38"/>
    </row>
    <row r="31093">
      <c r="P31093" s="42"/>
      <c r="AB31093" s="38"/>
    </row>
    <row r="31094">
      <c r="P31094" s="42"/>
      <c r="AB31094" s="38"/>
    </row>
    <row r="31095">
      <c r="P31095" s="42"/>
      <c r="AB31095" s="38"/>
    </row>
    <row r="31096">
      <c r="P31096" s="42"/>
      <c r="AB31096" s="38"/>
    </row>
    <row r="31097">
      <c r="P31097" s="42"/>
      <c r="AB31097" s="38"/>
    </row>
    <row r="31098">
      <c r="P31098" s="42"/>
      <c r="AB31098" s="38"/>
    </row>
    <row r="31099">
      <c r="P31099" s="42"/>
      <c r="AB31099" s="38"/>
    </row>
    <row r="31100">
      <c r="P31100" s="42"/>
      <c r="AB31100" s="38"/>
    </row>
    <row r="31101">
      <c r="P31101" s="42"/>
      <c r="AB31101" s="38"/>
    </row>
    <row r="31102">
      <c r="P31102" s="42"/>
      <c r="AB31102" s="38"/>
    </row>
    <row r="31103">
      <c r="P31103" s="42"/>
      <c r="AB31103" s="38"/>
    </row>
    <row r="31104">
      <c r="P31104" s="42"/>
      <c r="AB31104" s="38"/>
    </row>
    <row r="31105">
      <c r="P31105" s="42"/>
      <c r="AB31105" s="38"/>
    </row>
    <row r="31106">
      <c r="P31106" s="42"/>
      <c r="AB31106" s="38"/>
    </row>
    <row r="31107">
      <c r="P31107" s="42"/>
      <c r="AB31107" s="38"/>
    </row>
    <row r="31108">
      <c r="P31108" s="42"/>
      <c r="AB31108" s="38"/>
    </row>
    <row r="31109">
      <c r="P31109" s="42"/>
      <c r="AB31109" s="38"/>
    </row>
    <row r="31110">
      <c r="P31110" s="42"/>
      <c r="AB31110" s="38"/>
    </row>
    <row r="31111">
      <c r="P31111" s="42"/>
      <c r="AB31111" s="38"/>
    </row>
    <row r="31112">
      <c r="P31112" s="42"/>
      <c r="AB31112" s="38"/>
    </row>
    <row r="31113">
      <c r="P31113" s="42"/>
      <c r="AB31113" s="38"/>
    </row>
    <row r="31114">
      <c r="P31114" s="42"/>
      <c r="AB31114" s="38"/>
    </row>
    <row r="31115">
      <c r="P31115" s="42"/>
      <c r="AB31115" s="38"/>
    </row>
    <row r="31116">
      <c r="P31116" s="42"/>
      <c r="AB31116" s="38"/>
    </row>
    <row r="31117">
      <c r="P31117" s="42"/>
      <c r="AB31117" s="38"/>
    </row>
    <row r="31118">
      <c r="P31118" s="42"/>
      <c r="AB31118" s="38"/>
    </row>
    <row r="31119">
      <c r="P31119" s="42"/>
      <c r="AB31119" s="38"/>
    </row>
    <row r="31120">
      <c r="P31120" s="42"/>
      <c r="AB31120" s="38"/>
    </row>
    <row r="31121">
      <c r="P31121" s="42"/>
      <c r="AB31121" s="38"/>
    </row>
    <row r="31122">
      <c r="P31122" s="42"/>
      <c r="AB31122" s="38"/>
    </row>
    <row r="31123">
      <c r="P31123" s="42"/>
      <c r="AB31123" s="38"/>
    </row>
    <row r="31124">
      <c r="P31124" s="42"/>
      <c r="AB31124" s="38"/>
    </row>
    <row r="31125">
      <c r="P31125" s="42"/>
      <c r="AB31125" s="38"/>
    </row>
    <row r="31126">
      <c r="P31126" s="42"/>
      <c r="AB31126" s="38"/>
    </row>
    <row r="31127">
      <c r="P31127" s="42"/>
      <c r="AB31127" s="38"/>
    </row>
    <row r="31128">
      <c r="P31128" s="42"/>
      <c r="AB31128" s="38"/>
    </row>
    <row r="31129">
      <c r="P31129" s="42"/>
      <c r="AB31129" s="38"/>
    </row>
    <row r="31130">
      <c r="P31130" s="42"/>
      <c r="AB31130" s="38"/>
    </row>
    <row r="31131">
      <c r="P31131" s="42"/>
      <c r="AB31131" s="38"/>
    </row>
    <row r="31132">
      <c r="P31132" s="42"/>
      <c r="AB31132" s="38"/>
    </row>
    <row r="31133">
      <c r="P31133" s="42"/>
      <c r="AB31133" s="38"/>
    </row>
    <row r="31134">
      <c r="P31134" s="42"/>
      <c r="AB31134" s="38"/>
    </row>
    <row r="31135">
      <c r="P31135" s="42"/>
      <c r="AB31135" s="38"/>
    </row>
    <row r="31136">
      <c r="P31136" s="42"/>
      <c r="AB31136" s="38"/>
    </row>
    <row r="31137">
      <c r="P31137" s="42"/>
      <c r="AB31137" s="38"/>
    </row>
    <row r="31138">
      <c r="P31138" s="42"/>
      <c r="AB31138" s="38"/>
    </row>
    <row r="31139">
      <c r="P31139" s="42"/>
      <c r="AB31139" s="38"/>
    </row>
    <row r="31140">
      <c r="P31140" s="42"/>
      <c r="AB31140" s="38"/>
    </row>
    <row r="31141">
      <c r="P31141" s="42"/>
      <c r="AB31141" s="38"/>
    </row>
    <row r="31142">
      <c r="P31142" s="42"/>
      <c r="AB31142" s="38"/>
    </row>
    <row r="31143">
      <c r="P31143" s="42"/>
      <c r="AB31143" s="38"/>
    </row>
    <row r="31144">
      <c r="P31144" s="42"/>
      <c r="AB31144" s="38"/>
    </row>
    <row r="31145">
      <c r="P31145" s="42"/>
      <c r="AB31145" s="38"/>
    </row>
    <row r="31146">
      <c r="P31146" s="42"/>
      <c r="AB31146" s="38"/>
    </row>
    <row r="31147">
      <c r="P31147" s="42"/>
      <c r="AB31147" s="38"/>
    </row>
    <row r="31148">
      <c r="P31148" s="42"/>
      <c r="AB31148" s="38"/>
    </row>
    <row r="31149">
      <c r="P31149" s="42"/>
      <c r="AB31149" s="38"/>
    </row>
    <row r="31150">
      <c r="P31150" s="42"/>
      <c r="AB31150" s="38"/>
    </row>
    <row r="31151">
      <c r="P31151" s="42"/>
      <c r="AB31151" s="38"/>
    </row>
    <row r="31152">
      <c r="P31152" s="42"/>
      <c r="AB31152" s="38"/>
    </row>
    <row r="31153">
      <c r="P31153" s="42"/>
      <c r="AB31153" s="38"/>
    </row>
    <row r="31154">
      <c r="P31154" s="42"/>
      <c r="AB31154" s="38"/>
    </row>
    <row r="31155">
      <c r="P31155" s="42"/>
      <c r="AB31155" s="38"/>
    </row>
    <row r="31156">
      <c r="P31156" s="42"/>
      <c r="AB31156" s="38"/>
    </row>
    <row r="31157">
      <c r="P31157" s="42"/>
      <c r="AB31157" s="38"/>
    </row>
    <row r="31158">
      <c r="P31158" s="42"/>
      <c r="AB31158" s="38"/>
    </row>
    <row r="31159">
      <c r="P31159" s="42"/>
      <c r="AB31159" s="38"/>
    </row>
    <row r="31160">
      <c r="P31160" s="42"/>
      <c r="AB31160" s="38"/>
    </row>
    <row r="31161">
      <c r="P31161" s="42"/>
      <c r="AB31161" s="38"/>
    </row>
    <row r="31162">
      <c r="P31162" s="42"/>
      <c r="AB31162" s="38"/>
    </row>
    <row r="31163">
      <c r="P31163" s="42"/>
      <c r="AB31163" s="38"/>
    </row>
    <row r="31164">
      <c r="P31164" s="42"/>
      <c r="AB31164" s="38"/>
    </row>
    <row r="31165">
      <c r="P31165" s="42"/>
      <c r="AB31165" s="38"/>
    </row>
    <row r="31166">
      <c r="P31166" s="42"/>
      <c r="AB31166" s="38"/>
    </row>
    <row r="31167">
      <c r="P31167" s="42"/>
      <c r="AB31167" s="38"/>
    </row>
    <row r="31168">
      <c r="P31168" s="42"/>
      <c r="AB31168" s="38"/>
    </row>
    <row r="31169">
      <c r="P31169" s="42"/>
      <c r="AB31169" s="38"/>
    </row>
    <row r="31170">
      <c r="P31170" s="42"/>
      <c r="AB31170" s="38"/>
    </row>
    <row r="31171">
      <c r="P31171" s="42"/>
      <c r="AB31171" s="38"/>
    </row>
    <row r="31172">
      <c r="P31172" s="42"/>
      <c r="AB31172" s="38"/>
    </row>
    <row r="31173">
      <c r="P31173" s="42"/>
      <c r="AB31173" s="38"/>
    </row>
    <row r="31174">
      <c r="P31174" s="42"/>
      <c r="AB31174" s="38"/>
    </row>
    <row r="31175">
      <c r="P31175" s="42"/>
      <c r="AB31175" s="38"/>
    </row>
    <row r="31176">
      <c r="P31176" s="42"/>
      <c r="AB31176" s="38"/>
    </row>
    <row r="31177">
      <c r="P31177" s="42"/>
      <c r="AB31177" s="38"/>
    </row>
    <row r="31178">
      <c r="P31178" s="42"/>
      <c r="AB31178" s="38"/>
    </row>
    <row r="31179">
      <c r="P31179" s="42"/>
      <c r="AB31179" s="38"/>
    </row>
    <row r="31180">
      <c r="P31180" s="42"/>
      <c r="AB31180" s="38"/>
    </row>
    <row r="31181">
      <c r="P31181" s="42"/>
      <c r="AB31181" s="38"/>
    </row>
    <row r="31182">
      <c r="P31182" s="42"/>
      <c r="AB31182" s="38"/>
    </row>
    <row r="31183">
      <c r="P31183" s="42"/>
      <c r="AB31183" s="38"/>
    </row>
    <row r="31184">
      <c r="P31184" s="42"/>
      <c r="AB31184" s="38"/>
    </row>
    <row r="31185">
      <c r="P31185" s="42"/>
      <c r="AB31185" s="38"/>
    </row>
    <row r="31186">
      <c r="P31186" s="42"/>
      <c r="AB31186" s="38"/>
    </row>
    <row r="31187">
      <c r="P31187" s="42"/>
      <c r="AB31187" s="38"/>
    </row>
    <row r="31188">
      <c r="P31188" s="42"/>
      <c r="AB31188" s="38"/>
    </row>
    <row r="31189">
      <c r="P31189" s="42"/>
      <c r="AB31189" s="38"/>
    </row>
    <row r="31190">
      <c r="P31190" s="42"/>
      <c r="AB31190" s="38"/>
    </row>
    <row r="31191">
      <c r="P31191" s="42"/>
      <c r="AB31191" s="38"/>
    </row>
    <row r="31192">
      <c r="P31192" s="42"/>
      <c r="AB31192" s="38"/>
    </row>
    <row r="31193">
      <c r="P31193" s="42"/>
      <c r="AB31193" s="38"/>
    </row>
    <row r="31194">
      <c r="P31194" s="42"/>
      <c r="AB31194" s="38"/>
    </row>
    <row r="31195">
      <c r="P31195" s="42"/>
      <c r="AB31195" s="38"/>
    </row>
    <row r="31196">
      <c r="P31196" s="42"/>
      <c r="AB31196" s="38"/>
    </row>
    <row r="31197">
      <c r="P31197" s="42"/>
      <c r="AB31197" s="38"/>
    </row>
    <row r="31198">
      <c r="P31198" s="42"/>
      <c r="AB31198" s="38"/>
    </row>
    <row r="31199">
      <c r="P31199" s="42"/>
      <c r="AB31199" s="38"/>
    </row>
    <row r="31200">
      <c r="P31200" s="42"/>
      <c r="AB31200" s="38"/>
    </row>
    <row r="31201">
      <c r="P31201" s="42"/>
      <c r="AB31201" s="38"/>
    </row>
    <row r="31202">
      <c r="P31202" s="42"/>
      <c r="AB31202" s="38"/>
    </row>
    <row r="31203">
      <c r="P31203" s="42"/>
      <c r="AB31203" s="38"/>
    </row>
    <row r="31204">
      <c r="P31204" s="42"/>
      <c r="AB31204" s="38"/>
    </row>
    <row r="31205">
      <c r="P31205" s="42"/>
      <c r="AB31205" s="38"/>
    </row>
    <row r="31206">
      <c r="P31206" s="42"/>
      <c r="AB31206" s="38"/>
    </row>
    <row r="31207">
      <c r="P31207" s="42"/>
      <c r="AB31207" s="38"/>
    </row>
    <row r="31208">
      <c r="P31208" s="42"/>
      <c r="AB31208" s="38"/>
    </row>
    <row r="31209">
      <c r="P31209" s="42"/>
      <c r="AB31209" s="38"/>
    </row>
    <row r="31210">
      <c r="P31210" s="42"/>
      <c r="AB31210" s="38"/>
    </row>
    <row r="31211">
      <c r="P31211" s="42"/>
      <c r="AB31211" s="38"/>
    </row>
    <row r="31212">
      <c r="P31212" s="42"/>
      <c r="AB31212" s="38"/>
    </row>
    <row r="31213">
      <c r="P31213" s="42"/>
      <c r="AB31213" s="38"/>
    </row>
    <row r="31214">
      <c r="P31214" s="42"/>
      <c r="AB31214" s="38"/>
    </row>
    <row r="31215">
      <c r="P31215" s="42"/>
      <c r="AB31215" s="38"/>
    </row>
    <row r="31216">
      <c r="P31216" s="42"/>
      <c r="AB31216" s="38"/>
    </row>
    <row r="31217">
      <c r="P31217" s="42"/>
      <c r="AB31217" s="38"/>
    </row>
    <row r="31218">
      <c r="P31218" s="42"/>
      <c r="AB31218" s="38"/>
    </row>
    <row r="31219">
      <c r="P31219" s="42"/>
      <c r="AB31219" s="38"/>
    </row>
    <row r="31220">
      <c r="P31220" s="42"/>
      <c r="AB31220" s="38"/>
    </row>
    <row r="31221">
      <c r="P31221" s="42"/>
      <c r="AB31221" s="38"/>
    </row>
    <row r="31222">
      <c r="P31222" s="42"/>
      <c r="AB31222" s="38"/>
    </row>
    <row r="31223">
      <c r="P31223" s="42"/>
      <c r="AB31223" s="38"/>
    </row>
    <row r="31224">
      <c r="P31224" s="42"/>
      <c r="AB31224" s="38"/>
    </row>
    <row r="31225">
      <c r="P31225" s="42"/>
      <c r="AB31225" s="38"/>
    </row>
    <row r="31226">
      <c r="P31226" s="42"/>
      <c r="AB31226" s="38"/>
    </row>
    <row r="31227">
      <c r="P31227" s="42"/>
      <c r="AB31227" s="38"/>
    </row>
    <row r="31228">
      <c r="P31228" s="42"/>
      <c r="AB31228" s="38"/>
    </row>
    <row r="31229">
      <c r="P31229" s="42"/>
      <c r="AB31229" s="38"/>
    </row>
    <row r="31230">
      <c r="P31230" s="42"/>
      <c r="AB31230" s="38"/>
    </row>
    <row r="31231">
      <c r="P31231" s="42"/>
      <c r="AB31231" s="38"/>
    </row>
    <row r="31232">
      <c r="P31232" s="42"/>
      <c r="AB31232" s="38"/>
    </row>
    <row r="31233">
      <c r="P31233" s="42"/>
      <c r="AB31233" s="38"/>
    </row>
    <row r="31234">
      <c r="P31234" s="42"/>
      <c r="AB31234" s="38"/>
    </row>
    <row r="31235">
      <c r="P31235" s="42"/>
      <c r="AB31235" s="38"/>
    </row>
    <row r="31236">
      <c r="P31236" s="42"/>
      <c r="AB31236" s="38"/>
    </row>
    <row r="31237">
      <c r="P31237" s="42"/>
      <c r="AB31237" s="38"/>
    </row>
    <row r="31238">
      <c r="P31238" s="42"/>
      <c r="AB31238" s="38"/>
    </row>
    <row r="31239">
      <c r="P31239" s="42"/>
      <c r="AB31239" s="38"/>
    </row>
    <row r="31240">
      <c r="P31240" s="42"/>
      <c r="AB31240" s="38"/>
    </row>
    <row r="31241">
      <c r="P31241" s="42"/>
      <c r="AB31241" s="38"/>
    </row>
    <row r="31242">
      <c r="P31242" s="42"/>
      <c r="AB31242" s="38"/>
    </row>
    <row r="31243">
      <c r="P31243" s="42"/>
      <c r="AB31243" s="38"/>
    </row>
    <row r="31244">
      <c r="P31244" s="42"/>
      <c r="AB31244" s="38"/>
    </row>
    <row r="31245">
      <c r="P31245" s="42"/>
      <c r="AB31245" s="38"/>
    </row>
    <row r="31246">
      <c r="P31246" s="42"/>
      <c r="AB31246" s="38"/>
    </row>
    <row r="31247">
      <c r="P31247" s="42"/>
      <c r="AB31247" s="38"/>
    </row>
    <row r="31248">
      <c r="P31248" s="42"/>
      <c r="AB31248" s="38"/>
    </row>
    <row r="31249">
      <c r="P31249" s="42"/>
      <c r="AB31249" s="38"/>
    </row>
    <row r="31250">
      <c r="P31250" s="42"/>
      <c r="AB31250" s="38"/>
    </row>
    <row r="31251">
      <c r="P31251" s="42"/>
      <c r="AB31251" s="38"/>
    </row>
    <row r="31252">
      <c r="P31252" s="42"/>
      <c r="AB31252" s="38"/>
    </row>
    <row r="31253">
      <c r="P31253" s="42"/>
      <c r="AB31253" s="38"/>
    </row>
    <row r="31254">
      <c r="P31254" s="42"/>
      <c r="AB31254" s="38"/>
    </row>
    <row r="31255">
      <c r="P31255" s="42"/>
      <c r="AB31255" s="38"/>
    </row>
    <row r="31256">
      <c r="P31256" s="42"/>
      <c r="AB31256" s="38"/>
    </row>
    <row r="31257">
      <c r="P31257" s="42"/>
      <c r="AB31257" s="38"/>
    </row>
    <row r="31258">
      <c r="P31258" s="42"/>
      <c r="AB31258" s="38"/>
    </row>
    <row r="31259">
      <c r="P31259" s="42"/>
      <c r="AB31259" s="38"/>
    </row>
    <row r="31260">
      <c r="P31260" s="42"/>
      <c r="AB31260" s="38"/>
    </row>
    <row r="31261">
      <c r="P31261" s="42"/>
      <c r="AB31261" s="38"/>
    </row>
    <row r="31262">
      <c r="P31262" s="42"/>
      <c r="AB31262" s="38"/>
    </row>
    <row r="31263">
      <c r="P31263" s="42"/>
      <c r="AB31263" s="38"/>
    </row>
    <row r="31264">
      <c r="P31264" s="42"/>
      <c r="AB31264" s="38"/>
    </row>
    <row r="31265">
      <c r="P31265" s="42"/>
      <c r="AB31265" s="38"/>
    </row>
    <row r="31266">
      <c r="P31266" s="42"/>
      <c r="AB31266" s="38"/>
    </row>
    <row r="31267">
      <c r="P31267" s="42"/>
      <c r="AB31267" s="38"/>
    </row>
    <row r="31268">
      <c r="P31268" s="42"/>
      <c r="AB31268" s="38"/>
    </row>
    <row r="31269">
      <c r="P31269" s="42"/>
      <c r="AB31269" s="38"/>
    </row>
    <row r="31270">
      <c r="P31270" s="42"/>
      <c r="AB31270" s="38"/>
    </row>
    <row r="31271">
      <c r="P31271" s="42"/>
      <c r="AB31271" s="38"/>
    </row>
    <row r="31272">
      <c r="P31272" s="42"/>
      <c r="AB31272" s="38"/>
    </row>
    <row r="31273">
      <c r="P31273" s="42"/>
      <c r="AB31273" s="38"/>
    </row>
    <row r="31274">
      <c r="P31274" s="42"/>
      <c r="AB31274" s="38"/>
    </row>
    <row r="31275">
      <c r="P31275" s="42"/>
      <c r="AB31275" s="38"/>
    </row>
    <row r="31276">
      <c r="P31276" s="42"/>
      <c r="AB31276" s="38"/>
    </row>
    <row r="31277">
      <c r="P31277" s="42"/>
      <c r="AB31277" s="38"/>
    </row>
    <row r="31278">
      <c r="P31278" s="42"/>
      <c r="AB31278" s="38"/>
    </row>
    <row r="31279">
      <c r="P31279" s="42"/>
      <c r="AB31279" s="38"/>
    </row>
    <row r="31280">
      <c r="P31280" s="42"/>
      <c r="AB31280" s="38"/>
    </row>
    <row r="31281">
      <c r="P31281" s="42"/>
      <c r="AB31281" s="38"/>
    </row>
    <row r="31282">
      <c r="P31282" s="42"/>
      <c r="AB31282" s="38"/>
    </row>
    <row r="31283">
      <c r="P31283" s="42"/>
      <c r="AB31283" s="38"/>
    </row>
    <row r="31284">
      <c r="P31284" s="42"/>
      <c r="AB31284" s="38"/>
    </row>
    <row r="31285">
      <c r="P31285" s="42"/>
      <c r="AB31285" s="38"/>
    </row>
    <row r="31286">
      <c r="P31286" s="42"/>
      <c r="AB31286" s="38"/>
    </row>
    <row r="31287">
      <c r="P31287" s="42"/>
      <c r="AB31287" s="38"/>
    </row>
    <row r="31288">
      <c r="P31288" s="42"/>
      <c r="AB31288" s="38"/>
    </row>
    <row r="31289">
      <c r="P31289" s="42"/>
      <c r="AB31289" s="38"/>
    </row>
    <row r="31290">
      <c r="P31290" s="42"/>
      <c r="AB31290" s="38"/>
    </row>
    <row r="31291">
      <c r="P31291" s="42"/>
      <c r="AB31291" s="38"/>
    </row>
    <row r="31292">
      <c r="P31292" s="42"/>
      <c r="AB31292" s="38"/>
    </row>
    <row r="31293">
      <c r="P31293" s="42"/>
      <c r="AB31293" s="38"/>
    </row>
    <row r="31294">
      <c r="P31294" s="42"/>
      <c r="AB31294" s="38"/>
    </row>
    <row r="31295">
      <c r="P31295" s="42"/>
      <c r="AB31295" s="38"/>
    </row>
    <row r="31296">
      <c r="P31296" s="42"/>
      <c r="AB31296" s="38"/>
    </row>
    <row r="31297">
      <c r="P31297" s="42"/>
      <c r="AB31297" s="38"/>
    </row>
    <row r="31298">
      <c r="P31298" s="42"/>
      <c r="AB31298" s="38"/>
    </row>
    <row r="31299">
      <c r="P31299" s="42"/>
      <c r="AB31299" s="38"/>
    </row>
    <row r="31300">
      <c r="P31300" s="42"/>
      <c r="AB31300" s="38"/>
    </row>
    <row r="31301">
      <c r="P31301" s="42"/>
      <c r="AB31301" s="38"/>
    </row>
    <row r="31302">
      <c r="P31302" s="42"/>
      <c r="AB31302" s="38"/>
    </row>
    <row r="31303">
      <c r="P31303" s="42"/>
      <c r="AB31303" s="38"/>
    </row>
    <row r="31304">
      <c r="P31304" s="42"/>
      <c r="AB31304" s="38"/>
    </row>
    <row r="31305">
      <c r="P31305" s="42"/>
      <c r="AB31305" s="38"/>
    </row>
    <row r="31306">
      <c r="P31306" s="42"/>
      <c r="AB31306" s="38"/>
    </row>
    <row r="31307">
      <c r="P31307" s="42"/>
      <c r="AB31307" s="38"/>
    </row>
    <row r="31308">
      <c r="P31308" s="42"/>
      <c r="AB31308" s="38"/>
    </row>
    <row r="31309">
      <c r="P31309" s="42"/>
      <c r="AB31309" s="38"/>
    </row>
    <row r="31310">
      <c r="P31310" s="42"/>
      <c r="AB31310" s="38"/>
    </row>
    <row r="31311">
      <c r="P31311" s="42"/>
      <c r="AB31311" s="38"/>
    </row>
    <row r="31312">
      <c r="P31312" s="42"/>
      <c r="AB31312" s="38"/>
    </row>
    <row r="31313">
      <c r="P31313" s="42"/>
      <c r="AB31313" s="38"/>
    </row>
    <row r="31314">
      <c r="P31314" s="42"/>
      <c r="AB31314" s="38"/>
    </row>
    <row r="31315">
      <c r="P31315" s="42"/>
      <c r="AB31315" s="38"/>
    </row>
    <row r="31316">
      <c r="P31316" s="42"/>
      <c r="AB31316" s="38"/>
    </row>
    <row r="31317">
      <c r="P31317" s="42"/>
      <c r="AB31317" s="38"/>
    </row>
    <row r="31318">
      <c r="P31318" s="42"/>
      <c r="AB31318" s="38"/>
    </row>
    <row r="31319">
      <c r="P31319" s="42"/>
      <c r="AB31319" s="38"/>
    </row>
    <row r="31320">
      <c r="P31320" s="42"/>
      <c r="AB31320" s="38"/>
    </row>
    <row r="31321">
      <c r="P31321" s="42"/>
      <c r="AB31321" s="38"/>
    </row>
    <row r="31322">
      <c r="P31322" s="42"/>
      <c r="AB31322" s="38"/>
    </row>
    <row r="31323">
      <c r="P31323" s="42"/>
      <c r="AB31323" s="38"/>
    </row>
    <row r="31324">
      <c r="P31324" s="42"/>
      <c r="AB31324" s="38"/>
    </row>
    <row r="31325">
      <c r="P31325" s="42"/>
      <c r="AB31325" s="38"/>
    </row>
    <row r="31326">
      <c r="P31326" s="42"/>
      <c r="AB31326" s="38"/>
    </row>
    <row r="31327">
      <c r="P31327" s="42"/>
      <c r="AB31327" s="38"/>
    </row>
    <row r="31328">
      <c r="P31328" s="42"/>
      <c r="AB31328" s="38"/>
    </row>
    <row r="31329">
      <c r="P31329" s="42"/>
      <c r="AB31329" s="38"/>
    </row>
    <row r="31330">
      <c r="P31330" s="42"/>
      <c r="AB31330" s="38"/>
    </row>
    <row r="31331">
      <c r="P31331" s="42"/>
      <c r="AB31331" s="38"/>
    </row>
    <row r="31332">
      <c r="P31332" s="42"/>
      <c r="AB31332" s="38"/>
    </row>
    <row r="31333">
      <c r="P31333" s="42"/>
      <c r="AB31333" s="38"/>
    </row>
    <row r="31334">
      <c r="P31334" s="42"/>
      <c r="AB31334" s="38"/>
    </row>
    <row r="31335">
      <c r="P31335" s="42"/>
      <c r="AB31335" s="38"/>
    </row>
    <row r="31336">
      <c r="P31336" s="42"/>
      <c r="AB31336" s="38"/>
    </row>
    <row r="31337">
      <c r="P31337" s="42"/>
      <c r="AB31337" s="38"/>
    </row>
    <row r="31338">
      <c r="P31338" s="42"/>
      <c r="AB31338" s="38"/>
    </row>
    <row r="31339">
      <c r="P31339" s="42"/>
      <c r="AB31339" s="38"/>
    </row>
    <row r="31340">
      <c r="P31340" s="42"/>
      <c r="AB31340" s="38"/>
    </row>
    <row r="31341">
      <c r="P31341" s="42"/>
      <c r="AB31341" s="38"/>
    </row>
    <row r="31342">
      <c r="P31342" s="42"/>
      <c r="AB31342" s="38"/>
    </row>
    <row r="31343">
      <c r="P31343" s="42"/>
      <c r="AB31343" s="38"/>
    </row>
    <row r="31344">
      <c r="P31344" s="42"/>
      <c r="AB31344" s="38"/>
    </row>
    <row r="31345">
      <c r="P31345" s="42"/>
      <c r="AB31345" s="38"/>
    </row>
    <row r="31346">
      <c r="P31346" s="42"/>
      <c r="AB31346" s="38"/>
    </row>
    <row r="31347">
      <c r="P31347" s="42"/>
      <c r="AB31347" s="38"/>
    </row>
    <row r="31348">
      <c r="P31348" s="42"/>
      <c r="AB31348" s="38"/>
    </row>
    <row r="31349">
      <c r="P31349" s="42"/>
      <c r="AB31349" s="38"/>
    </row>
    <row r="31350">
      <c r="P31350" s="42"/>
      <c r="AB31350" s="38"/>
    </row>
    <row r="31351">
      <c r="P31351" s="42"/>
      <c r="AB31351" s="38"/>
    </row>
    <row r="31352">
      <c r="P31352" s="42"/>
      <c r="AB31352" s="38"/>
    </row>
    <row r="31353">
      <c r="P31353" s="42"/>
      <c r="AB31353" s="38"/>
    </row>
    <row r="31354">
      <c r="P31354" s="42"/>
      <c r="AB31354" s="38"/>
    </row>
    <row r="31355">
      <c r="P31355" s="42"/>
      <c r="AB31355" s="38"/>
    </row>
    <row r="31356">
      <c r="P31356" s="42"/>
      <c r="AB31356" s="38"/>
    </row>
    <row r="31357">
      <c r="P31357" s="42"/>
      <c r="AB31357" s="38"/>
    </row>
    <row r="31358">
      <c r="P31358" s="42"/>
      <c r="AB31358" s="38"/>
    </row>
    <row r="31359">
      <c r="P31359" s="42"/>
      <c r="AB31359" s="38"/>
    </row>
    <row r="31360">
      <c r="P31360" s="42"/>
      <c r="AB31360" s="38"/>
    </row>
    <row r="31361">
      <c r="P31361" s="42"/>
      <c r="AB31361" s="38"/>
    </row>
    <row r="31362">
      <c r="P31362" s="42"/>
      <c r="AB31362" s="38"/>
    </row>
    <row r="31363">
      <c r="P31363" s="42"/>
      <c r="AB31363" s="38"/>
    </row>
    <row r="31364">
      <c r="P31364" s="42"/>
      <c r="AB31364" s="38"/>
    </row>
    <row r="31365">
      <c r="P31365" s="42"/>
      <c r="AB31365" s="38"/>
    </row>
    <row r="31366">
      <c r="P31366" s="42"/>
      <c r="AB31366" s="38"/>
    </row>
    <row r="31367">
      <c r="P31367" s="42"/>
      <c r="AB31367" s="38"/>
    </row>
    <row r="31368">
      <c r="P31368" s="42"/>
      <c r="AB31368" s="38"/>
    </row>
    <row r="31369">
      <c r="P31369" s="42"/>
      <c r="AB31369" s="38"/>
    </row>
    <row r="31370">
      <c r="P31370" s="42"/>
      <c r="AB31370" s="38"/>
    </row>
    <row r="31371">
      <c r="P31371" s="42"/>
      <c r="AB31371" s="38"/>
    </row>
    <row r="31372">
      <c r="P31372" s="42"/>
      <c r="AB31372" s="38"/>
    </row>
    <row r="31373">
      <c r="P31373" s="42"/>
      <c r="AB31373" s="38"/>
    </row>
    <row r="31374">
      <c r="P31374" s="42"/>
      <c r="AB31374" s="38"/>
    </row>
    <row r="31375">
      <c r="P31375" s="42"/>
      <c r="AB31375" s="38"/>
    </row>
    <row r="31376">
      <c r="P31376" s="42"/>
      <c r="AB31376" s="38"/>
    </row>
    <row r="31377">
      <c r="P31377" s="42"/>
      <c r="AB31377" s="38"/>
    </row>
    <row r="31378">
      <c r="P31378" s="42"/>
      <c r="AB31378" s="38"/>
    </row>
    <row r="31379">
      <c r="P31379" s="42"/>
      <c r="AB31379" s="38"/>
    </row>
    <row r="31380">
      <c r="P31380" s="42"/>
      <c r="AB31380" s="38"/>
    </row>
    <row r="31381">
      <c r="P31381" s="42"/>
      <c r="AB31381" s="38"/>
    </row>
    <row r="31382">
      <c r="P31382" s="42"/>
      <c r="AB31382" s="38"/>
    </row>
    <row r="31383">
      <c r="P31383" s="42"/>
      <c r="AB31383" s="38"/>
    </row>
    <row r="31384">
      <c r="P31384" s="42"/>
      <c r="AB31384" s="38"/>
    </row>
    <row r="31385">
      <c r="P31385" s="42"/>
      <c r="AB31385" s="38"/>
    </row>
    <row r="31386">
      <c r="P31386" s="42"/>
      <c r="AB31386" s="38"/>
    </row>
    <row r="31387">
      <c r="P31387" s="42"/>
      <c r="AB31387" s="38"/>
    </row>
    <row r="31388">
      <c r="P31388" s="42"/>
      <c r="AB31388" s="38"/>
    </row>
    <row r="31389">
      <c r="P31389" s="42"/>
      <c r="AB31389" s="38"/>
    </row>
    <row r="31390">
      <c r="P31390" s="42"/>
      <c r="AB31390" s="38"/>
    </row>
    <row r="31391">
      <c r="P31391" s="42"/>
      <c r="AB31391" s="38"/>
    </row>
    <row r="31392">
      <c r="P31392" s="42"/>
      <c r="AB31392" s="38"/>
    </row>
    <row r="31393">
      <c r="P31393" s="42"/>
      <c r="AB31393" s="38"/>
    </row>
    <row r="31394">
      <c r="P31394" s="42"/>
      <c r="AB31394" s="38"/>
    </row>
    <row r="31395">
      <c r="P31395" s="42"/>
      <c r="AB31395" s="38"/>
    </row>
    <row r="31396">
      <c r="P31396" s="42"/>
      <c r="AB31396" s="38"/>
    </row>
    <row r="31397">
      <c r="P31397" s="42"/>
      <c r="AB31397" s="38"/>
    </row>
    <row r="31398">
      <c r="P31398" s="42"/>
      <c r="AB31398" s="38"/>
    </row>
    <row r="31399">
      <c r="P31399" s="42"/>
      <c r="AB31399" s="38"/>
    </row>
    <row r="31400">
      <c r="P31400" s="42"/>
      <c r="AB31400" s="38"/>
    </row>
    <row r="31401">
      <c r="P31401" s="42"/>
      <c r="AB31401" s="38"/>
    </row>
    <row r="31402">
      <c r="P31402" s="42"/>
      <c r="AB31402" s="38"/>
    </row>
    <row r="31403">
      <c r="P31403" s="42"/>
      <c r="AB31403" s="38"/>
    </row>
    <row r="31404">
      <c r="P31404" s="42"/>
      <c r="AB31404" s="38"/>
    </row>
    <row r="31405">
      <c r="P31405" s="42"/>
      <c r="AB31405" s="38"/>
    </row>
    <row r="31406">
      <c r="P31406" s="42"/>
      <c r="AB31406" s="38"/>
    </row>
    <row r="31407">
      <c r="P31407" s="42"/>
      <c r="AB31407" s="38"/>
    </row>
    <row r="31408">
      <c r="P31408" s="42"/>
      <c r="AB31408" s="38"/>
    </row>
    <row r="31409">
      <c r="P31409" s="42"/>
      <c r="AB31409" s="38"/>
    </row>
    <row r="31410">
      <c r="P31410" s="42"/>
      <c r="AB31410" s="38"/>
    </row>
    <row r="31411">
      <c r="P31411" s="42"/>
      <c r="AB31411" s="38"/>
    </row>
    <row r="31412">
      <c r="P31412" s="42"/>
      <c r="AB31412" s="38"/>
    </row>
    <row r="31413">
      <c r="P31413" s="42"/>
      <c r="AB31413" s="38"/>
    </row>
    <row r="31414">
      <c r="P31414" s="42"/>
      <c r="AB31414" s="38"/>
    </row>
    <row r="31415">
      <c r="P31415" s="42"/>
      <c r="AB31415" s="38"/>
    </row>
    <row r="31416">
      <c r="P31416" s="42"/>
      <c r="AB31416" s="38"/>
    </row>
    <row r="31417">
      <c r="P31417" s="42"/>
      <c r="AB31417" s="38"/>
    </row>
    <row r="31418">
      <c r="P31418" s="42"/>
      <c r="AB31418" s="38"/>
    </row>
    <row r="31419">
      <c r="P31419" s="42"/>
      <c r="AB31419" s="38"/>
    </row>
    <row r="31420">
      <c r="P31420" s="42"/>
      <c r="AB31420" s="38"/>
    </row>
    <row r="31421">
      <c r="P31421" s="42"/>
      <c r="AB31421" s="38"/>
    </row>
    <row r="31422">
      <c r="P31422" s="42"/>
      <c r="AB31422" s="38"/>
    </row>
    <row r="31423">
      <c r="P31423" s="42"/>
      <c r="AB31423" s="38"/>
    </row>
    <row r="31424">
      <c r="P31424" s="42"/>
      <c r="AB31424" s="38"/>
    </row>
    <row r="31425">
      <c r="P31425" s="42"/>
      <c r="AB31425" s="38"/>
    </row>
    <row r="31426">
      <c r="P31426" s="42"/>
      <c r="AB31426" s="38"/>
    </row>
    <row r="31427">
      <c r="P31427" s="42"/>
      <c r="AB31427" s="38"/>
    </row>
    <row r="31428">
      <c r="P31428" s="42"/>
      <c r="AB31428" s="38"/>
    </row>
    <row r="31429">
      <c r="P31429" s="42"/>
      <c r="AB31429" s="38"/>
    </row>
    <row r="31430">
      <c r="P31430" s="42"/>
      <c r="AB31430" s="38"/>
    </row>
    <row r="31431">
      <c r="P31431" s="42"/>
      <c r="AB31431" s="38"/>
    </row>
    <row r="31432">
      <c r="P31432" s="42"/>
      <c r="AB31432" s="38"/>
    </row>
    <row r="31433">
      <c r="P31433" s="42"/>
      <c r="AB31433" s="38"/>
    </row>
    <row r="31434">
      <c r="P31434" s="42"/>
      <c r="AB31434" s="38"/>
    </row>
    <row r="31435">
      <c r="P31435" s="42"/>
      <c r="AB31435" s="38"/>
    </row>
    <row r="31436">
      <c r="P31436" s="42"/>
      <c r="AB31436" s="38"/>
    </row>
    <row r="31437">
      <c r="P31437" s="42"/>
      <c r="AB31437" s="38"/>
    </row>
    <row r="31438">
      <c r="P31438" s="42"/>
      <c r="AB31438" s="38"/>
    </row>
    <row r="31439">
      <c r="P31439" s="42"/>
      <c r="AB31439" s="38"/>
    </row>
    <row r="31440">
      <c r="P31440" s="42"/>
      <c r="AB31440" s="38"/>
    </row>
    <row r="31441">
      <c r="P31441" s="42"/>
      <c r="AB31441" s="38"/>
    </row>
    <row r="31442">
      <c r="P31442" s="42"/>
      <c r="AB31442" s="38"/>
    </row>
    <row r="31443">
      <c r="P31443" s="42"/>
      <c r="AB31443" s="38"/>
    </row>
    <row r="31444">
      <c r="P31444" s="42"/>
      <c r="AB31444" s="38"/>
    </row>
    <row r="31445">
      <c r="P31445" s="42"/>
      <c r="AB31445" s="38"/>
    </row>
    <row r="31446">
      <c r="P31446" s="42"/>
      <c r="AB31446" s="38"/>
    </row>
    <row r="31447">
      <c r="P31447" s="42"/>
      <c r="AB31447" s="38"/>
    </row>
    <row r="31448">
      <c r="P31448" s="42"/>
      <c r="AB31448" s="38"/>
    </row>
    <row r="31449">
      <c r="P31449" s="42"/>
      <c r="AB31449" s="38"/>
    </row>
    <row r="31450">
      <c r="P31450" s="42"/>
      <c r="AB31450" s="38"/>
    </row>
    <row r="31451">
      <c r="P31451" s="42"/>
      <c r="AB31451" s="38"/>
    </row>
    <row r="31452">
      <c r="P31452" s="42"/>
      <c r="AB31452" s="38"/>
    </row>
    <row r="31453">
      <c r="P31453" s="42"/>
      <c r="AB31453" s="38"/>
    </row>
    <row r="31454">
      <c r="P31454" s="42"/>
      <c r="AB31454" s="38"/>
    </row>
    <row r="31455">
      <c r="P31455" s="42"/>
      <c r="AB31455" s="38"/>
    </row>
    <row r="31456">
      <c r="P31456" s="42"/>
      <c r="AB31456" s="38"/>
    </row>
    <row r="31457">
      <c r="P31457" s="42"/>
      <c r="AB31457" s="38"/>
    </row>
    <row r="31458">
      <c r="P31458" s="42"/>
      <c r="AB31458" s="38"/>
    </row>
    <row r="31459">
      <c r="P31459" s="42"/>
      <c r="AB31459" s="38"/>
    </row>
    <row r="31460">
      <c r="P31460" s="42"/>
      <c r="AB31460" s="38"/>
    </row>
    <row r="31461">
      <c r="P31461" s="42"/>
      <c r="AB31461" s="38"/>
    </row>
    <row r="31462">
      <c r="P31462" s="42"/>
      <c r="AB31462" s="38"/>
    </row>
    <row r="31463">
      <c r="P31463" s="42"/>
      <c r="AB31463" s="38"/>
    </row>
    <row r="31464">
      <c r="P31464" s="42"/>
      <c r="AB31464" s="38"/>
    </row>
    <row r="31465">
      <c r="P31465" s="42"/>
      <c r="AB31465" s="38"/>
    </row>
    <row r="31466">
      <c r="P31466" s="42"/>
      <c r="AB31466" s="38"/>
    </row>
    <row r="31467">
      <c r="P31467" s="42"/>
      <c r="AB31467" s="38"/>
    </row>
    <row r="31468">
      <c r="P31468" s="42"/>
      <c r="AB31468" s="38"/>
    </row>
    <row r="31469">
      <c r="P31469" s="42"/>
      <c r="AB31469" s="38"/>
    </row>
    <row r="31470">
      <c r="P31470" s="42"/>
      <c r="AB31470" s="38"/>
    </row>
    <row r="31471">
      <c r="P31471" s="42"/>
      <c r="AB31471" s="38"/>
    </row>
    <row r="31472">
      <c r="P31472" s="42"/>
      <c r="AB31472" s="38"/>
    </row>
    <row r="31473">
      <c r="P31473" s="42"/>
      <c r="AB31473" s="38"/>
    </row>
    <row r="31474">
      <c r="P31474" s="42"/>
      <c r="AB31474" s="38"/>
    </row>
    <row r="31475">
      <c r="P31475" s="42"/>
      <c r="AB31475" s="38"/>
    </row>
    <row r="31476">
      <c r="P31476" s="42"/>
      <c r="AB31476" s="38"/>
    </row>
    <row r="31477">
      <c r="P31477" s="42"/>
      <c r="AB31477" s="38"/>
    </row>
    <row r="31478">
      <c r="P31478" s="42"/>
      <c r="AB31478" s="38"/>
    </row>
    <row r="31479">
      <c r="P31479" s="42"/>
      <c r="AB31479" s="38"/>
    </row>
    <row r="31480">
      <c r="P31480" s="42"/>
      <c r="AB31480" s="38"/>
    </row>
    <row r="31481">
      <c r="P31481" s="42"/>
      <c r="AB31481" s="38"/>
    </row>
    <row r="31482">
      <c r="P31482" s="42"/>
      <c r="AB31482" s="38"/>
    </row>
    <row r="31483">
      <c r="P31483" s="42"/>
      <c r="AB31483" s="38"/>
    </row>
    <row r="31484">
      <c r="P31484" s="42"/>
      <c r="AB31484" s="38"/>
    </row>
    <row r="31485">
      <c r="P31485" s="42"/>
      <c r="AB31485" s="38"/>
    </row>
    <row r="31486">
      <c r="P31486" s="42"/>
      <c r="AB31486" s="38"/>
    </row>
    <row r="31487">
      <c r="P31487" s="42"/>
      <c r="AB31487" s="38"/>
    </row>
    <row r="31488">
      <c r="P31488" s="42"/>
      <c r="AB31488" s="38"/>
    </row>
    <row r="31489">
      <c r="P31489" s="42"/>
      <c r="AB31489" s="38"/>
    </row>
    <row r="31490">
      <c r="P31490" s="42"/>
      <c r="AB31490" s="38"/>
    </row>
    <row r="31491">
      <c r="P31491" s="42"/>
      <c r="AB31491" s="38"/>
    </row>
    <row r="31492">
      <c r="P31492" s="42"/>
      <c r="AB31492" s="38"/>
    </row>
    <row r="31493">
      <c r="P31493" s="42"/>
      <c r="AB31493" s="38"/>
    </row>
    <row r="31494">
      <c r="P31494" s="42"/>
      <c r="AB31494" s="38"/>
    </row>
    <row r="31495">
      <c r="P31495" s="42"/>
      <c r="AB31495" s="38"/>
    </row>
    <row r="31496">
      <c r="P31496" s="42"/>
      <c r="AB31496" s="38"/>
    </row>
    <row r="31497">
      <c r="P31497" s="42"/>
      <c r="AB31497" s="38"/>
    </row>
    <row r="31498">
      <c r="P31498" s="42"/>
      <c r="AB31498" s="38"/>
    </row>
    <row r="31499">
      <c r="P31499" s="42"/>
      <c r="AB31499" s="38"/>
    </row>
    <row r="31500">
      <c r="P31500" s="42"/>
      <c r="AB31500" s="38"/>
    </row>
    <row r="31501">
      <c r="P31501" s="42"/>
      <c r="AB31501" s="38"/>
    </row>
    <row r="31502">
      <c r="P31502" s="42"/>
      <c r="AB31502" s="38"/>
    </row>
    <row r="31503">
      <c r="P31503" s="42"/>
      <c r="AB31503" s="38"/>
    </row>
    <row r="31504">
      <c r="P31504" s="42"/>
      <c r="AB31504" s="38"/>
    </row>
    <row r="31505">
      <c r="P31505" s="42"/>
      <c r="AB31505" s="38"/>
    </row>
    <row r="31506">
      <c r="P31506" s="42"/>
      <c r="AB31506" s="38"/>
    </row>
    <row r="31507">
      <c r="P31507" s="42"/>
      <c r="AB31507" s="38"/>
    </row>
    <row r="31508">
      <c r="P31508" s="42"/>
      <c r="AB31508" s="38"/>
    </row>
    <row r="31509">
      <c r="P31509" s="42"/>
      <c r="AB31509" s="38"/>
    </row>
    <row r="31510">
      <c r="P31510" s="42"/>
      <c r="AB31510" s="38"/>
    </row>
    <row r="31511">
      <c r="P31511" s="42"/>
      <c r="AB31511" s="38"/>
    </row>
    <row r="31512">
      <c r="P31512" s="42"/>
      <c r="AB31512" s="38"/>
    </row>
    <row r="31513">
      <c r="P31513" s="42"/>
      <c r="AB31513" s="38"/>
    </row>
    <row r="31514">
      <c r="P31514" s="42"/>
      <c r="AB31514" s="38"/>
    </row>
    <row r="31515">
      <c r="P31515" s="42"/>
      <c r="AB31515" s="38"/>
    </row>
    <row r="31516">
      <c r="P31516" s="42"/>
      <c r="AB31516" s="38"/>
    </row>
    <row r="31517">
      <c r="P31517" s="42"/>
      <c r="AB31517" s="38"/>
    </row>
    <row r="31518">
      <c r="P31518" s="42"/>
      <c r="AB31518" s="38"/>
    </row>
    <row r="31519">
      <c r="P31519" s="42"/>
      <c r="AB31519" s="38"/>
    </row>
    <row r="31520">
      <c r="P31520" s="42"/>
      <c r="AB31520" s="38"/>
    </row>
    <row r="31521">
      <c r="P31521" s="42"/>
      <c r="AB31521" s="38"/>
    </row>
    <row r="31522">
      <c r="P31522" s="42"/>
      <c r="AB31522" s="38"/>
    </row>
    <row r="31523">
      <c r="P31523" s="42"/>
      <c r="AB31523" s="38"/>
    </row>
    <row r="31524">
      <c r="P31524" s="42"/>
      <c r="AB31524" s="38"/>
    </row>
    <row r="31525">
      <c r="P31525" s="42"/>
      <c r="AB31525" s="38"/>
    </row>
    <row r="31526">
      <c r="P31526" s="42"/>
      <c r="AB31526" s="38"/>
    </row>
    <row r="31527">
      <c r="P31527" s="42"/>
      <c r="AB31527" s="38"/>
    </row>
    <row r="31528">
      <c r="P31528" s="42"/>
      <c r="AB31528" s="38"/>
    </row>
    <row r="31529">
      <c r="P31529" s="42"/>
      <c r="AB31529" s="38"/>
    </row>
    <row r="31530">
      <c r="P31530" s="42"/>
      <c r="AB31530" s="38"/>
    </row>
    <row r="31531">
      <c r="P31531" s="42"/>
      <c r="AB31531" s="38"/>
    </row>
    <row r="31532">
      <c r="P31532" s="42"/>
      <c r="AB31532" s="38"/>
    </row>
    <row r="31533">
      <c r="P31533" s="42"/>
      <c r="AB31533" s="38"/>
    </row>
    <row r="31534">
      <c r="P31534" s="42"/>
      <c r="AB31534" s="38"/>
    </row>
    <row r="31535">
      <c r="P31535" s="42"/>
      <c r="AB31535" s="38"/>
    </row>
    <row r="31536">
      <c r="P31536" s="42"/>
      <c r="AB31536" s="38"/>
    </row>
    <row r="31537">
      <c r="P31537" s="42"/>
      <c r="AB31537" s="38"/>
    </row>
    <row r="31538">
      <c r="P31538" s="42"/>
      <c r="AB31538" s="38"/>
    </row>
    <row r="31539">
      <c r="P31539" s="42"/>
      <c r="AB31539" s="38"/>
    </row>
    <row r="31540">
      <c r="P31540" s="42"/>
      <c r="AB31540" s="38"/>
    </row>
    <row r="31541">
      <c r="P31541" s="42"/>
      <c r="AB31541" s="38"/>
    </row>
    <row r="31542">
      <c r="P31542" s="42"/>
      <c r="AB31542" s="38"/>
    </row>
    <row r="31543">
      <c r="P31543" s="42"/>
      <c r="AB31543" s="38"/>
    </row>
    <row r="31544">
      <c r="P31544" s="42"/>
      <c r="AB31544" s="38"/>
    </row>
    <row r="31545">
      <c r="P31545" s="42"/>
      <c r="AB31545" s="38"/>
    </row>
    <row r="31546">
      <c r="P31546" s="42"/>
      <c r="AB31546" s="38"/>
    </row>
    <row r="31547">
      <c r="P31547" s="42"/>
      <c r="AB31547" s="38"/>
    </row>
    <row r="31548">
      <c r="P31548" s="42"/>
      <c r="AB31548" s="38"/>
    </row>
    <row r="31549">
      <c r="P31549" s="42"/>
      <c r="AB31549" s="38"/>
    </row>
    <row r="31550">
      <c r="P31550" s="42"/>
      <c r="AB31550" s="38"/>
    </row>
    <row r="31551">
      <c r="P31551" s="42"/>
      <c r="AB31551" s="38"/>
    </row>
    <row r="31552">
      <c r="P31552" s="42"/>
      <c r="AB31552" s="38"/>
    </row>
    <row r="31553">
      <c r="P31553" s="42"/>
      <c r="AB31553" s="38"/>
    </row>
    <row r="31554">
      <c r="P31554" s="42"/>
      <c r="AB31554" s="38"/>
    </row>
    <row r="31555">
      <c r="P31555" s="42"/>
      <c r="AB31555" s="38"/>
    </row>
    <row r="31556">
      <c r="P31556" s="42"/>
      <c r="AB31556" s="38"/>
    </row>
    <row r="31557">
      <c r="P31557" s="42"/>
      <c r="AB31557" s="38"/>
    </row>
    <row r="31558">
      <c r="P31558" s="42"/>
      <c r="AB31558" s="38"/>
    </row>
    <row r="31559">
      <c r="P31559" s="42"/>
      <c r="AB31559" s="38"/>
    </row>
    <row r="31560">
      <c r="P31560" s="42"/>
      <c r="AB31560" s="38"/>
    </row>
    <row r="31561">
      <c r="P31561" s="42"/>
      <c r="AB31561" s="38"/>
    </row>
    <row r="31562">
      <c r="P31562" s="42"/>
      <c r="AB31562" s="38"/>
    </row>
    <row r="31563">
      <c r="P31563" s="42"/>
      <c r="AB31563" s="38"/>
    </row>
    <row r="31564">
      <c r="P31564" s="42"/>
      <c r="AB31564" s="38"/>
    </row>
    <row r="31565">
      <c r="P31565" s="42"/>
      <c r="AB31565" s="38"/>
    </row>
    <row r="31566">
      <c r="P31566" s="42"/>
      <c r="AB31566" s="38"/>
    </row>
    <row r="31567">
      <c r="P31567" s="42"/>
      <c r="AB31567" s="38"/>
    </row>
    <row r="31568">
      <c r="P31568" s="42"/>
      <c r="AB31568" s="38"/>
    </row>
    <row r="31569">
      <c r="P31569" s="42"/>
      <c r="AB31569" s="38"/>
    </row>
    <row r="31570">
      <c r="P31570" s="42"/>
      <c r="AB31570" s="38"/>
    </row>
    <row r="31571">
      <c r="P31571" s="42"/>
      <c r="AB31571" s="38"/>
    </row>
    <row r="31572">
      <c r="P31572" s="42"/>
      <c r="AB31572" s="38"/>
    </row>
    <row r="31573">
      <c r="P31573" s="42"/>
      <c r="AB31573" s="38"/>
    </row>
    <row r="31574">
      <c r="P31574" s="42"/>
      <c r="AB31574" s="38"/>
    </row>
    <row r="31575">
      <c r="P31575" s="42"/>
      <c r="AB31575" s="38"/>
    </row>
    <row r="31576">
      <c r="P31576" s="42"/>
      <c r="AB31576" s="38"/>
    </row>
    <row r="31577">
      <c r="P31577" s="42"/>
      <c r="AB31577" s="38"/>
    </row>
    <row r="31578">
      <c r="P31578" s="42"/>
      <c r="AB31578" s="38"/>
    </row>
    <row r="31579">
      <c r="P31579" s="42"/>
      <c r="AB31579" s="38"/>
    </row>
    <row r="31580">
      <c r="P31580" s="42"/>
      <c r="AB31580" s="38"/>
    </row>
    <row r="31581">
      <c r="P31581" s="42"/>
      <c r="AB31581" s="38"/>
    </row>
    <row r="31582">
      <c r="P31582" s="42"/>
      <c r="AB31582" s="38"/>
    </row>
    <row r="31583">
      <c r="P31583" s="42"/>
      <c r="AB31583" s="38"/>
    </row>
    <row r="31584">
      <c r="P31584" s="42"/>
      <c r="AB31584" s="38"/>
    </row>
    <row r="31585">
      <c r="P31585" s="42"/>
      <c r="AB31585" s="38"/>
    </row>
    <row r="31586">
      <c r="P31586" s="42"/>
      <c r="AB31586" s="38"/>
    </row>
    <row r="31587">
      <c r="P31587" s="42"/>
      <c r="AB31587" s="38"/>
    </row>
    <row r="31588">
      <c r="P31588" s="42"/>
      <c r="AB31588" s="38"/>
    </row>
    <row r="31589">
      <c r="P31589" s="42"/>
      <c r="AB31589" s="38"/>
    </row>
    <row r="31590">
      <c r="P31590" s="42"/>
      <c r="AB31590" s="38"/>
    </row>
    <row r="31591">
      <c r="P31591" s="42"/>
      <c r="AB31591" s="38"/>
    </row>
    <row r="31592">
      <c r="P31592" s="42"/>
      <c r="AB31592" s="38"/>
    </row>
    <row r="31593">
      <c r="P31593" s="42"/>
      <c r="AB31593" s="38"/>
    </row>
    <row r="31594">
      <c r="P31594" s="42"/>
      <c r="AB31594" s="38"/>
    </row>
    <row r="31595">
      <c r="P31595" s="42"/>
      <c r="AB31595" s="38"/>
    </row>
    <row r="31596">
      <c r="P31596" s="42"/>
      <c r="AB31596" s="38"/>
    </row>
    <row r="31597">
      <c r="P31597" s="42"/>
      <c r="AB31597" s="38"/>
    </row>
    <row r="31598">
      <c r="P31598" s="42"/>
      <c r="AB31598" s="38"/>
    </row>
    <row r="31599">
      <c r="P31599" s="42"/>
      <c r="AB31599" s="38"/>
    </row>
    <row r="31600">
      <c r="P31600" s="42"/>
      <c r="AB31600" s="38"/>
    </row>
    <row r="31601">
      <c r="P31601" s="42"/>
      <c r="AB31601" s="38"/>
    </row>
    <row r="31602">
      <c r="P31602" s="42"/>
      <c r="AB31602" s="38"/>
    </row>
    <row r="31603">
      <c r="P31603" s="42"/>
      <c r="AB31603" s="38"/>
    </row>
    <row r="31604">
      <c r="P31604" s="42"/>
      <c r="AB31604" s="38"/>
    </row>
    <row r="31605">
      <c r="P31605" s="42"/>
      <c r="AB31605" s="38"/>
    </row>
    <row r="31606">
      <c r="P31606" s="42"/>
      <c r="AB31606" s="38"/>
    </row>
    <row r="31607">
      <c r="P31607" s="42"/>
      <c r="AB31607" s="38"/>
    </row>
    <row r="31608">
      <c r="P31608" s="42"/>
      <c r="AB31608" s="38"/>
    </row>
    <row r="31609">
      <c r="P31609" s="42"/>
      <c r="AB31609" s="38"/>
    </row>
    <row r="31610">
      <c r="P31610" s="42"/>
      <c r="AB31610" s="38"/>
    </row>
    <row r="31611">
      <c r="P31611" s="42"/>
      <c r="AB31611" s="38"/>
    </row>
    <row r="31612">
      <c r="P31612" s="42"/>
      <c r="AB31612" s="38"/>
    </row>
    <row r="31613">
      <c r="P31613" s="42"/>
      <c r="AB31613" s="38"/>
    </row>
    <row r="31614">
      <c r="P31614" s="42"/>
      <c r="AB31614" s="38"/>
    </row>
    <row r="31615">
      <c r="P31615" s="42"/>
      <c r="AB31615" s="38"/>
    </row>
    <row r="31616">
      <c r="P31616" s="42"/>
      <c r="AB31616" s="38"/>
    </row>
    <row r="31617">
      <c r="P31617" s="42"/>
      <c r="AB31617" s="38"/>
    </row>
    <row r="31618">
      <c r="P31618" s="42"/>
      <c r="AB31618" s="38"/>
    </row>
    <row r="31619">
      <c r="P31619" s="42"/>
      <c r="AB31619" s="38"/>
    </row>
    <row r="31620">
      <c r="P31620" s="42"/>
      <c r="AB31620" s="38"/>
    </row>
    <row r="31621">
      <c r="P31621" s="42"/>
      <c r="AB31621" s="38"/>
    </row>
    <row r="31622">
      <c r="P31622" s="42"/>
      <c r="AB31622" s="38"/>
    </row>
    <row r="31623">
      <c r="P31623" s="42"/>
      <c r="AB31623" s="38"/>
    </row>
    <row r="31624">
      <c r="P31624" s="42"/>
      <c r="AB31624" s="38"/>
    </row>
    <row r="31625">
      <c r="P31625" s="42"/>
      <c r="AB31625" s="38"/>
    </row>
    <row r="31626">
      <c r="P31626" s="42"/>
      <c r="AB31626" s="38"/>
    </row>
    <row r="31627">
      <c r="P31627" s="42"/>
      <c r="AB31627" s="38"/>
    </row>
    <row r="31628">
      <c r="P31628" s="42"/>
      <c r="AB31628" s="38"/>
    </row>
    <row r="31629">
      <c r="P31629" s="42"/>
      <c r="AB31629" s="38"/>
    </row>
    <row r="31630">
      <c r="P31630" s="42"/>
      <c r="AB31630" s="38"/>
    </row>
    <row r="31631">
      <c r="P31631" s="42"/>
      <c r="AB31631" s="38"/>
    </row>
    <row r="31632">
      <c r="P31632" s="42"/>
      <c r="AB31632" s="38"/>
    </row>
    <row r="31633">
      <c r="P31633" s="42"/>
      <c r="AB31633" s="38"/>
    </row>
    <row r="31634">
      <c r="P31634" s="42"/>
      <c r="AB31634" s="38"/>
    </row>
    <row r="31635">
      <c r="P31635" s="42"/>
      <c r="AB31635" s="38"/>
    </row>
    <row r="31636">
      <c r="P31636" s="42"/>
      <c r="AB31636" s="38"/>
    </row>
    <row r="31637">
      <c r="P31637" s="42"/>
      <c r="AB31637" s="38"/>
    </row>
    <row r="31638">
      <c r="P31638" s="42"/>
      <c r="AB31638" s="38"/>
    </row>
    <row r="31639">
      <c r="P31639" s="42"/>
      <c r="AB31639" s="38"/>
    </row>
    <row r="31640">
      <c r="P31640" s="42"/>
      <c r="AB31640" s="38"/>
    </row>
    <row r="31641">
      <c r="P31641" s="42"/>
      <c r="AB31641" s="38"/>
    </row>
    <row r="31642">
      <c r="P31642" s="42"/>
      <c r="AB31642" s="38"/>
    </row>
    <row r="31643">
      <c r="P31643" s="42"/>
      <c r="AB31643" s="38"/>
    </row>
    <row r="31644">
      <c r="P31644" s="42"/>
      <c r="AB31644" s="38"/>
    </row>
    <row r="31645">
      <c r="P31645" s="42"/>
      <c r="AB31645" s="38"/>
    </row>
    <row r="31646">
      <c r="P31646" s="42"/>
      <c r="AB31646" s="38"/>
    </row>
    <row r="31647">
      <c r="P31647" s="42"/>
      <c r="AB31647" s="38"/>
    </row>
    <row r="31648">
      <c r="P31648" s="42"/>
      <c r="AB31648" s="38"/>
    </row>
    <row r="31649">
      <c r="P31649" s="42"/>
      <c r="AB31649" s="38"/>
    </row>
    <row r="31650">
      <c r="P31650" s="42"/>
      <c r="AB31650" s="38"/>
    </row>
    <row r="31651">
      <c r="P31651" s="42"/>
      <c r="AB31651" s="38"/>
    </row>
    <row r="31652">
      <c r="P31652" s="42"/>
      <c r="AB31652" s="38"/>
    </row>
    <row r="31653">
      <c r="P31653" s="42"/>
      <c r="AB31653" s="38"/>
    </row>
    <row r="31654">
      <c r="P31654" s="42"/>
      <c r="AB31654" s="38"/>
    </row>
    <row r="31655">
      <c r="P31655" s="42"/>
      <c r="AB31655" s="38"/>
    </row>
    <row r="31656">
      <c r="P31656" s="42"/>
      <c r="AB31656" s="38"/>
    </row>
    <row r="31657">
      <c r="P31657" s="42"/>
      <c r="AB31657" s="38"/>
    </row>
    <row r="31658">
      <c r="P31658" s="42"/>
      <c r="AB31658" s="38"/>
    </row>
    <row r="31659">
      <c r="P31659" s="42"/>
      <c r="AB31659" s="38"/>
    </row>
    <row r="31660">
      <c r="P31660" s="42"/>
      <c r="AB31660" s="38"/>
    </row>
    <row r="31661">
      <c r="P31661" s="42"/>
      <c r="AB31661" s="38"/>
    </row>
    <row r="31662">
      <c r="P31662" s="42"/>
      <c r="AB31662" s="38"/>
    </row>
    <row r="31663">
      <c r="P31663" s="42"/>
      <c r="AB31663" s="38"/>
    </row>
    <row r="31664">
      <c r="P31664" s="42"/>
      <c r="AB31664" s="38"/>
    </row>
    <row r="31665">
      <c r="P31665" s="42"/>
      <c r="AB31665" s="38"/>
    </row>
    <row r="31666">
      <c r="P31666" s="42"/>
      <c r="AB31666" s="38"/>
    </row>
    <row r="31667">
      <c r="P31667" s="42"/>
      <c r="AB31667" s="38"/>
    </row>
    <row r="31668">
      <c r="P31668" s="42"/>
      <c r="AB31668" s="38"/>
    </row>
    <row r="31669">
      <c r="P31669" s="42"/>
      <c r="AB31669" s="38"/>
    </row>
    <row r="31670">
      <c r="P31670" s="42"/>
      <c r="AB31670" s="38"/>
    </row>
    <row r="31671">
      <c r="P31671" s="42"/>
      <c r="AB31671" s="38"/>
    </row>
    <row r="31672">
      <c r="P31672" s="42"/>
      <c r="AB31672" s="38"/>
    </row>
    <row r="31673">
      <c r="P31673" s="42"/>
      <c r="AB31673" s="38"/>
    </row>
    <row r="31674">
      <c r="P31674" s="42"/>
      <c r="AB31674" s="38"/>
    </row>
    <row r="31675">
      <c r="P31675" s="42"/>
      <c r="AB31675" s="38"/>
    </row>
    <row r="31676">
      <c r="P31676" s="42"/>
      <c r="AB31676" s="38"/>
    </row>
    <row r="31677">
      <c r="P31677" s="42"/>
      <c r="AB31677" s="38"/>
    </row>
    <row r="31678">
      <c r="P31678" s="42"/>
      <c r="AB31678" s="38"/>
    </row>
    <row r="31679">
      <c r="P31679" s="42"/>
      <c r="AB31679" s="38"/>
    </row>
    <row r="31680">
      <c r="P31680" s="42"/>
      <c r="AB31680" s="38"/>
    </row>
    <row r="31681">
      <c r="P31681" s="42"/>
      <c r="AB31681" s="38"/>
    </row>
    <row r="31682">
      <c r="P31682" s="42"/>
      <c r="AB31682" s="38"/>
    </row>
    <row r="31683">
      <c r="P31683" s="42"/>
      <c r="AB31683" s="38"/>
    </row>
    <row r="31684">
      <c r="P31684" s="42"/>
      <c r="AB31684" s="38"/>
    </row>
    <row r="31685">
      <c r="P31685" s="42"/>
      <c r="AB31685" s="38"/>
    </row>
    <row r="31686">
      <c r="P31686" s="42"/>
      <c r="AB31686" s="38"/>
    </row>
    <row r="31687">
      <c r="P31687" s="42"/>
      <c r="AB31687" s="38"/>
    </row>
    <row r="31688">
      <c r="P31688" s="42"/>
      <c r="AB31688" s="38"/>
    </row>
    <row r="31689">
      <c r="P31689" s="42"/>
      <c r="AB31689" s="38"/>
    </row>
    <row r="31690">
      <c r="P31690" s="42"/>
      <c r="AB31690" s="38"/>
    </row>
    <row r="31691">
      <c r="P31691" s="42"/>
      <c r="AB31691" s="38"/>
    </row>
    <row r="31692">
      <c r="P31692" s="42"/>
      <c r="AB31692" s="38"/>
    </row>
    <row r="31693">
      <c r="P31693" s="42"/>
      <c r="AB31693" s="38"/>
    </row>
    <row r="31694">
      <c r="P31694" s="42"/>
      <c r="AB31694" s="38"/>
    </row>
    <row r="31695">
      <c r="P31695" s="42"/>
      <c r="AB31695" s="38"/>
    </row>
    <row r="31696">
      <c r="P31696" s="42"/>
      <c r="AB31696" s="38"/>
    </row>
    <row r="31697">
      <c r="P31697" s="42"/>
      <c r="AB31697" s="38"/>
    </row>
    <row r="31698">
      <c r="P31698" s="42"/>
      <c r="AB31698" s="38"/>
    </row>
    <row r="31699">
      <c r="P31699" s="42"/>
      <c r="AB31699" s="38"/>
    </row>
    <row r="31700">
      <c r="P31700" s="42"/>
      <c r="AB31700" s="38"/>
    </row>
    <row r="31701">
      <c r="P31701" s="42"/>
      <c r="AB31701" s="38"/>
    </row>
    <row r="31702">
      <c r="P31702" s="42"/>
      <c r="AB31702" s="38"/>
    </row>
    <row r="31703">
      <c r="P31703" s="42"/>
      <c r="AB31703" s="38"/>
    </row>
    <row r="31704">
      <c r="P31704" s="42"/>
      <c r="AB31704" s="38"/>
    </row>
    <row r="31705">
      <c r="P31705" s="42"/>
      <c r="AB31705" s="38"/>
    </row>
    <row r="31706">
      <c r="P31706" s="42"/>
      <c r="AB31706" s="38"/>
    </row>
    <row r="31707">
      <c r="P31707" s="42"/>
      <c r="AB31707" s="38"/>
    </row>
    <row r="31708">
      <c r="P31708" s="42"/>
      <c r="AB31708" s="38"/>
    </row>
    <row r="31709">
      <c r="P31709" s="42"/>
      <c r="AB31709" s="38"/>
    </row>
    <row r="31710">
      <c r="P31710" s="42"/>
      <c r="AB31710" s="38"/>
    </row>
    <row r="31711">
      <c r="P31711" s="42"/>
      <c r="AB31711" s="38"/>
    </row>
    <row r="31712">
      <c r="P31712" s="42"/>
      <c r="AB31712" s="38"/>
    </row>
    <row r="31713">
      <c r="P31713" s="42"/>
      <c r="AB31713" s="38"/>
    </row>
    <row r="31714">
      <c r="P31714" s="42"/>
      <c r="AB31714" s="38"/>
    </row>
    <row r="31715">
      <c r="P31715" s="42"/>
      <c r="AB31715" s="38"/>
    </row>
    <row r="31716">
      <c r="P31716" s="42"/>
      <c r="AB31716" s="38"/>
    </row>
    <row r="31717">
      <c r="P31717" s="42"/>
      <c r="AB31717" s="38"/>
    </row>
    <row r="31718">
      <c r="P31718" s="42"/>
      <c r="AB31718" s="38"/>
    </row>
    <row r="31719">
      <c r="P31719" s="42"/>
      <c r="AB31719" s="38"/>
    </row>
    <row r="31720">
      <c r="P31720" s="42"/>
      <c r="AB31720" s="38"/>
    </row>
    <row r="31721">
      <c r="P31721" s="42"/>
      <c r="AB31721" s="38"/>
    </row>
    <row r="31722">
      <c r="P31722" s="42"/>
      <c r="AB31722" s="38"/>
    </row>
    <row r="31723">
      <c r="P31723" s="42"/>
      <c r="AB31723" s="38"/>
    </row>
    <row r="31724">
      <c r="P31724" s="42"/>
      <c r="AB31724" s="38"/>
    </row>
    <row r="31725">
      <c r="P31725" s="42"/>
      <c r="AB31725" s="38"/>
    </row>
    <row r="31726">
      <c r="P31726" s="42"/>
      <c r="AB31726" s="38"/>
    </row>
    <row r="31727">
      <c r="P31727" s="42"/>
      <c r="AB31727" s="38"/>
    </row>
    <row r="31728">
      <c r="P31728" s="42"/>
      <c r="AB31728" s="38"/>
    </row>
    <row r="31729">
      <c r="P31729" s="42"/>
      <c r="AB31729" s="38"/>
    </row>
    <row r="31730">
      <c r="P31730" s="42"/>
      <c r="AB31730" s="38"/>
    </row>
    <row r="31731">
      <c r="P31731" s="42"/>
      <c r="AB31731" s="38"/>
    </row>
    <row r="31732">
      <c r="P31732" s="42"/>
      <c r="AB31732" s="38"/>
    </row>
    <row r="31733">
      <c r="P31733" s="42"/>
      <c r="AB31733" s="38"/>
    </row>
    <row r="31734">
      <c r="P31734" s="42"/>
      <c r="AB31734" s="38"/>
    </row>
    <row r="31735">
      <c r="P31735" s="42"/>
      <c r="AB31735" s="38"/>
    </row>
    <row r="31736">
      <c r="P31736" s="42"/>
      <c r="AB31736" s="38"/>
    </row>
    <row r="31737">
      <c r="P31737" s="42"/>
      <c r="AB31737" s="38"/>
    </row>
    <row r="31738">
      <c r="P31738" s="42"/>
      <c r="AB31738" s="38"/>
    </row>
    <row r="31739">
      <c r="P31739" s="42"/>
      <c r="AB31739" s="38"/>
    </row>
    <row r="31740">
      <c r="P31740" s="42"/>
      <c r="AB31740" s="38"/>
    </row>
    <row r="31741">
      <c r="P31741" s="42"/>
      <c r="AB31741" s="38"/>
    </row>
    <row r="31742">
      <c r="P31742" s="42"/>
      <c r="AB31742" s="38"/>
    </row>
    <row r="31743">
      <c r="P31743" s="42"/>
      <c r="AB31743" s="38"/>
    </row>
    <row r="31744">
      <c r="P31744" s="42"/>
      <c r="AB31744" s="38"/>
    </row>
    <row r="31745">
      <c r="P31745" s="42"/>
      <c r="AB31745" s="38"/>
    </row>
    <row r="31746">
      <c r="P31746" s="42"/>
      <c r="AB31746" s="38"/>
    </row>
    <row r="31747">
      <c r="P31747" s="42"/>
      <c r="AB31747" s="38"/>
    </row>
    <row r="31748">
      <c r="P31748" s="42"/>
      <c r="AB31748" s="38"/>
    </row>
    <row r="31749">
      <c r="P31749" s="42"/>
      <c r="AB31749" s="38"/>
    </row>
    <row r="31750">
      <c r="P31750" s="42"/>
      <c r="AB31750" s="38"/>
    </row>
    <row r="31751">
      <c r="P31751" s="42"/>
      <c r="AB31751" s="38"/>
    </row>
    <row r="31752">
      <c r="P31752" s="42"/>
      <c r="AB31752" s="38"/>
    </row>
    <row r="31753">
      <c r="P31753" s="42"/>
      <c r="AB31753" s="38"/>
    </row>
    <row r="31754">
      <c r="P31754" s="42"/>
      <c r="AB31754" s="38"/>
    </row>
    <row r="31755">
      <c r="P31755" s="42"/>
      <c r="AB31755" s="38"/>
    </row>
    <row r="31756">
      <c r="P31756" s="42"/>
      <c r="AB31756" s="38"/>
    </row>
    <row r="31757">
      <c r="P31757" s="42"/>
      <c r="AB31757" s="38"/>
    </row>
    <row r="31758">
      <c r="P31758" s="42"/>
      <c r="AB31758" s="38"/>
    </row>
    <row r="31759">
      <c r="P31759" s="42"/>
      <c r="AB31759" s="38"/>
    </row>
    <row r="31760">
      <c r="P31760" s="42"/>
      <c r="AB31760" s="38"/>
    </row>
    <row r="31761">
      <c r="P31761" s="42"/>
      <c r="AB31761" s="38"/>
    </row>
    <row r="31762">
      <c r="P31762" s="42"/>
      <c r="AB31762" s="38"/>
    </row>
    <row r="31763">
      <c r="P31763" s="42"/>
      <c r="AB31763" s="38"/>
    </row>
    <row r="31764">
      <c r="P31764" s="42"/>
      <c r="AB31764" s="38"/>
    </row>
    <row r="31765">
      <c r="P31765" s="42"/>
      <c r="AB31765" s="38"/>
    </row>
    <row r="31766">
      <c r="P31766" s="42"/>
      <c r="AB31766" s="38"/>
    </row>
    <row r="31767">
      <c r="P31767" s="42"/>
      <c r="AB31767" s="38"/>
    </row>
    <row r="31768">
      <c r="P31768" s="42"/>
      <c r="AB31768" s="38"/>
    </row>
    <row r="31769">
      <c r="P31769" s="42"/>
      <c r="AB31769" s="38"/>
    </row>
    <row r="31770">
      <c r="P31770" s="42"/>
      <c r="AB31770" s="38"/>
    </row>
    <row r="31771">
      <c r="P31771" s="42"/>
      <c r="AB31771" s="38"/>
    </row>
    <row r="31772">
      <c r="P31772" s="42"/>
      <c r="AB31772" s="38"/>
    </row>
    <row r="31773">
      <c r="P31773" s="42"/>
      <c r="AB31773" s="38"/>
    </row>
    <row r="31774">
      <c r="P31774" s="42"/>
      <c r="AB31774" s="38"/>
    </row>
    <row r="31775">
      <c r="P31775" s="42"/>
      <c r="AB31775" s="38"/>
    </row>
    <row r="31776">
      <c r="P31776" s="42"/>
      <c r="AB31776" s="38"/>
    </row>
    <row r="31777">
      <c r="P31777" s="42"/>
      <c r="AB31777" s="38"/>
    </row>
    <row r="31778">
      <c r="P31778" s="42"/>
      <c r="AB31778" s="38"/>
    </row>
    <row r="31779">
      <c r="P31779" s="42"/>
      <c r="AB31779" s="38"/>
    </row>
    <row r="31780">
      <c r="P31780" s="42"/>
      <c r="AB31780" s="38"/>
    </row>
    <row r="31781">
      <c r="P31781" s="42"/>
      <c r="AB31781" s="38"/>
    </row>
    <row r="31782">
      <c r="P31782" s="42"/>
      <c r="AB31782" s="38"/>
    </row>
    <row r="31783">
      <c r="P31783" s="42"/>
      <c r="AB31783" s="38"/>
    </row>
    <row r="31784">
      <c r="P31784" s="42"/>
      <c r="AB31784" s="38"/>
    </row>
    <row r="31785">
      <c r="P31785" s="42"/>
      <c r="AB31785" s="38"/>
    </row>
    <row r="31786">
      <c r="P31786" s="42"/>
      <c r="AB31786" s="38"/>
    </row>
    <row r="31787">
      <c r="P31787" s="42"/>
      <c r="AB31787" s="38"/>
    </row>
    <row r="31788">
      <c r="P31788" s="42"/>
      <c r="AB31788" s="38"/>
    </row>
    <row r="31789">
      <c r="P31789" s="42"/>
      <c r="AB31789" s="38"/>
    </row>
    <row r="31790">
      <c r="P31790" s="42"/>
      <c r="AB31790" s="38"/>
    </row>
    <row r="31791">
      <c r="P31791" s="42"/>
      <c r="AB31791" s="38"/>
    </row>
    <row r="31792">
      <c r="P31792" s="42"/>
      <c r="AB31792" s="38"/>
    </row>
    <row r="31793">
      <c r="P31793" s="42"/>
      <c r="AB31793" s="38"/>
    </row>
    <row r="31794">
      <c r="P31794" s="42"/>
      <c r="AB31794" s="38"/>
    </row>
    <row r="31795">
      <c r="P31795" s="42"/>
      <c r="AB31795" s="38"/>
    </row>
    <row r="31796">
      <c r="P31796" s="42"/>
      <c r="AB31796" s="38"/>
    </row>
    <row r="31797">
      <c r="P31797" s="42"/>
      <c r="AB31797" s="38"/>
    </row>
    <row r="31798">
      <c r="P31798" s="42"/>
      <c r="AB31798" s="38"/>
    </row>
    <row r="31799">
      <c r="P31799" s="42"/>
      <c r="AB31799" s="38"/>
    </row>
    <row r="31800">
      <c r="P31800" s="42"/>
      <c r="AB31800" s="38"/>
    </row>
    <row r="31801">
      <c r="P31801" s="42"/>
      <c r="AB31801" s="38"/>
    </row>
    <row r="31802">
      <c r="P31802" s="42"/>
      <c r="AB31802" s="38"/>
    </row>
    <row r="31803">
      <c r="P31803" s="42"/>
      <c r="AB31803" s="38"/>
    </row>
    <row r="31804">
      <c r="P31804" s="42"/>
      <c r="AB31804" s="38"/>
    </row>
    <row r="31805">
      <c r="P31805" s="42"/>
      <c r="AB31805" s="38"/>
    </row>
    <row r="31806">
      <c r="P31806" s="42"/>
      <c r="AB31806" s="38"/>
    </row>
    <row r="31807">
      <c r="P31807" s="42"/>
      <c r="AB31807" s="38"/>
    </row>
    <row r="31808">
      <c r="P31808" s="42"/>
      <c r="AB31808" s="38"/>
    </row>
    <row r="31809">
      <c r="P31809" s="42"/>
      <c r="AB31809" s="38"/>
    </row>
    <row r="31810">
      <c r="P31810" s="42"/>
      <c r="AB31810" s="38"/>
    </row>
    <row r="31811">
      <c r="P31811" s="42"/>
      <c r="AB31811" s="38"/>
    </row>
    <row r="31812">
      <c r="P31812" s="42"/>
      <c r="AB31812" s="38"/>
    </row>
    <row r="31813">
      <c r="P31813" s="42"/>
      <c r="AB31813" s="38"/>
    </row>
    <row r="31814">
      <c r="P31814" s="42"/>
      <c r="AB31814" s="38"/>
    </row>
    <row r="31815">
      <c r="P31815" s="42"/>
      <c r="AB31815" s="38"/>
    </row>
    <row r="31816">
      <c r="P31816" s="42"/>
      <c r="AB31816" s="38"/>
    </row>
    <row r="31817">
      <c r="P31817" s="42"/>
      <c r="AB31817" s="38"/>
    </row>
    <row r="31818">
      <c r="P31818" s="42"/>
      <c r="AB31818" s="38"/>
    </row>
    <row r="31819">
      <c r="P31819" s="42"/>
      <c r="AB31819" s="38"/>
    </row>
    <row r="31820">
      <c r="P31820" s="42"/>
      <c r="AB31820" s="38"/>
    </row>
    <row r="31821">
      <c r="P31821" s="42"/>
      <c r="AB31821" s="38"/>
    </row>
    <row r="31822">
      <c r="P31822" s="42"/>
      <c r="AB31822" s="38"/>
    </row>
    <row r="31823">
      <c r="P31823" s="42"/>
      <c r="AB31823" s="38"/>
    </row>
    <row r="31824">
      <c r="P31824" s="42"/>
      <c r="AB31824" s="38"/>
    </row>
    <row r="31825">
      <c r="P31825" s="42"/>
      <c r="AB31825" s="38"/>
    </row>
    <row r="31826">
      <c r="P31826" s="42"/>
      <c r="AB31826" s="38"/>
    </row>
    <row r="31827">
      <c r="P31827" s="42"/>
      <c r="AB31827" s="38"/>
    </row>
    <row r="31828">
      <c r="P31828" s="42"/>
      <c r="AB31828" s="38"/>
    </row>
    <row r="31829">
      <c r="P31829" s="42"/>
      <c r="AB31829" s="38"/>
    </row>
    <row r="31830">
      <c r="P31830" s="42"/>
      <c r="AB31830" s="38"/>
    </row>
    <row r="31831">
      <c r="P31831" s="42"/>
      <c r="AB31831" s="38"/>
    </row>
    <row r="31832">
      <c r="P31832" s="42"/>
      <c r="AB31832" s="38"/>
    </row>
    <row r="31833">
      <c r="P31833" s="42"/>
      <c r="AB31833" s="38"/>
    </row>
    <row r="31834">
      <c r="P31834" s="42"/>
      <c r="AB31834" s="38"/>
    </row>
    <row r="31835">
      <c r="P31835" s="42"/>
      <c r="AB31835" s="38"/>
    </row>
    <row r="31836">
      <c r="P31836" s="42"/>
      <c r="AB31836" s="38"/>
    </row>
    <row r="31837">
      <c r="P31837" s="42"/>
      <c r="AB31837" s="38"/>
    </row>
    <row r="31838">
      <c r="P31838" s="42"/>
      <c r="AB31838" s="38"/>
    </row>
    <row r="31839">
      <c r="P31839" s="42"/>
      <c r="AB31839" s="38"/>
    </row>
    <row r="31840">
      <c r="P31840" s="42"/>
      <c r="AB31840" s="38"/>
    </row>
    <row r="31841">
      <c r="P31841" s="42"/>
      <c r="AB31841" s="38"/>
    </row>
    <row r="31842">
      <c r="P31842" s="42"/>
      <c r="AB31842" s="38"/>
    </row>
    <row r="31843">
      <c r="P31843" s="42"/>
      <c r="AB31843" s="38"/>
    </row>
    <row r="31844">
      <c r="P31844" s="42"/>
      <c r="AB31844" s="38"/>
    </row>
    <row r="31845">
      <c r="P31845" s="42"/>
      <c r="AB31845" s="38"/>
    </row>
    <row r="31846">
      <c r="P31846" s="42"/>
      <c r="AB31846" s="38"/>
    </row>
    <row r="31847">
      <c r="P31847" s="42"/>
      <c r="AB31847" s="38"/>
    </row>
    <row r="31848">
      <c r="P31848" s="42"/>
      <c r="AB31848" s="38"/>
    </row>
    <row r="31849">
      <c r="P31849" s="42"/>
      <c r="AB31849" s="38"/>
    </row>
    <row r="31850">
      <c r="P31850" s="42"/>
      <c r="AB31850" s="38"/>
    </row>
    <row r="31851">
      <c r="P31851" s="42"/>
      <c r="AB31851" s="38"/>
    </row>
    <row r="31852">
      <c r="P31852" s="42"/>
      <c r="AB31852" s="38"/>
    </row>
    <row r="31853">
      <c r="P31853" s="42"/>
      <c r="AB31853" s="38"/>
    </row>
    <row r="31854">
      <c r="P31854" s="42"/>
      <c r="AB31854" s="38"/>
    </row>
    <row r="31855">
      <c r="P31855" s="42"/>
      <c r="AB31855" s="38"/>
    </row>
    <row r="31856">
      <c r="P31856" s="42"/>
      <c r="AB31856" s="38"/>
    </row>
    <row r="31857">
      <c r="P31857" s="42"/>
      <c r="AB31857" s="38"/>
    </row>
    <row r="31858">
      <c r="P31858" s="42"/>
      <c r="AB31858" s="38"/>
    </row>
    <row r="31859">
      <c r="P31859" s="42"/>
      <c r="AB31859" s="38"/>
    </row>
    <row r="31860">
      <c r="P31860" s="42"/>
      <c r="AB31860" s="38"/>
    </row>
    <row r="31861">
      <c r="P31861" s="42"/>
      <c r="AB31861" s="38"/>
    </row>
    <row r="31862">
      <c r="P31862" s="42"/>
      <c r="AB31862" s="38"/>
    </row>
    <row r="31863">
      <c r="P31863" s="42"/>
      <c r="AB31863" s="38"/>
    </row>
    <row r="31864">
      <c r="P31864" s="42"/>
      <c r="AB31864" s="38"/>
    </row>
    <row r="31865">
      <c r="P31865" s="42"/>
      <c r="AB31865" s="38"/>
    </row>
    <row r="31866">
      <c r="P31866" s="42"/>
      <c r="AB31866" s="38"/>
    </row>
    <row r="31867">
      <c r="P31867" s="42"/>
      <c r="AB31867" s="38"/>
    </row>
    <row r="31868">
      <c r="P31868" s="42"/>
      <c r="AB31868" s="38"/>
    </row>
    <row r="31869">
      <c r="P31869" s="42"/>
      <c r="AB31869" s="38"/>
    </row>
    <row r="31870">
      <c r="P31870" s="42"/>
      <c r="AB31870" s="38"/>
    </row>
    <row r="31871">
      <c r="P31871" s="42"/>
      <c r="AB31871" s="38"/>
    </row>
    <row r="31872">
      <c r="P31872" s="42"/>
      <c r="AB31872" s="38"/>
    </row>
    <row r="31873">
      <c r="P31873" s="42"/>
      <c r="AB31873" s="38"/>
    </row>
    <row r="31874">
      <c r="P31874" s="42"/>
      <c r="AB31874" s="38"/>
    </row>
    <row r="31875">
      <c r="P31875" s="42"/>
      <c r="AB31875" s="38"/>
    </row>
    <row r="31876">
      <c r="P31876" s="42"/>
      <c r="AB31876" s="38"/>
    </row>
    <row r="31877">
      <c r="P31877" s="42"/>
      <c r="AB31877" s="38"/>
    </row>
    <row r="31878">
      <c r="P31878" s="42"/>
      <c r="AB31878" s="38"/>
    </row>
    <row r="31879">
      <c r="P31879" s="42"/>
      <c r="AB31879" s="38"/>
    </row>
    <row r="31880">
      <c r="P31880" s="42"/>
      <c r="AB31880" s="38"/>
    </row>
    <row r="31881">
      <c r="P31881" s="42"/>
      <c r="AB31881" s="38"/>
    </row>
    <row r="31882">
      <c r="P31882" s="42"/>
      <c r="AB31882" s="38"/>
    </row>
    <row r="31883">
      <c r="P31883" s="42"/>
      <c r="AB31883" s="38"/>
    </row>
    <row r="31884">
      <c r="P31884" s="42"/>
      <c r="AB31884" s="38"/>
    </row>
    <row r="31885">
      <c r="P31885" s="42"/>
      <c r="AB31885" s="38"/>
    </row>
    <row r="31886">
      <c r="P31886" s="42"/>
      <c r="AB31886" s="38"/>
    </row>
    <row r="31887">
      <c r="P31887" s="42"/>
      <c r="AB31887" s="38"/>
    </row>
    <row r="31888">
      <c r="P31888" s="42"/>
      <c r="AB31888" s="38"/>
    </row>
    <row r="31889">
      <c r="P31889" s="42"/>
      <c r="AB31889" s="38"/>
    </row>
    <row r="31890">
      <c r="P31890" s="42"/>
      <c r="AB31890" s="38"/>
    </row>
    <row r="31891">
      <c r="P31891" s="42"/>
      <c r="AB31891" s="38"/>
    </row>
    <row r="31892">
      <c r="P31892" s="42"/>
      <c r="AB31892" s="38"/>
    </row>
    <row r="31893">
      <c r="P31893" s="42"/>
      <c r="AB31893" s="38"/>
    </row>
    <row r="31894">
      <c r="P31894" s="42"/>
      <c r="AB31894" s="38"/>
    </row>
    <row r="31895">
      <c r="P31895" s="42"/>
      <c r="AB31895" s="38"/>
    </row>
    <row r="31896">
      <c r="P31896" s="42"/>
      <c r="AB31896" s="38"/>
    </row>
    <row r="31897">
      <c r="P31897" s="42"/>
      <c r="AB31897" s="38"/>
    </row>
    <row r="31898">
      <c r="P31898" s="42"/>
      <c r="AB31898" s="38"/>
    </row>
    <row r="31899">
      <c r="P31899" s="42"/>
      <c r="AB31899" s="38"/>
    </row>
    <row r="31900">
      <c r="P31900" s="42"/>
      <c r="AB31900" s="38"/>
    </row>
    <row r="31901">
      <c r="P31901" s="42"/>
      <c r="AB31901" s="38"/>
    </row>
    <row r="31902">
      <c r="P31902" s="42"/>
      <c r="AB31902" s="38"/>
    </row>
    <row r="31903">
      <c r="P31903" s="42"/>
      <c r="AB31903" s="38"/>
    </row>
    <row r="31904">
      <c r="P31904" s="42"/>
      <c r="AB31904" s="38"/>
    </row>
    <row r="31905">
      <c r="P31905" s="42"/>
      <c r="AB31905" s="38"/>
    </row>
    <row r="31906">
      <c r="P31906" s="42"/>
      <c r="AB31906" s="38"/>
    </row>
    <row r="31907">
      <c r="P31907" s="42"/>
      <c r="AB31907" s="38"/>
    </row>
    <row r="31908">
      <c r="P31908" s="42"/>
      <c r="AB31908" s="38"/>
    </row>
    <row r="31909">
      <c r="P31909" s="42"/>
      <c r="AB31909" s="38"/>
    </row>
    <row r="31910">
      <c r="P31910" s="42"/>
      <c r="AB31910" s="38"/>
    </row>
    <row r="31911">
      <c r="P31911" s="42"/>
      <c r="AB31911" s="38"/>
    </row>
    <row r="31912">
      <c r="P31912" s="42"/>
      <c r="AB31912" s="38"/>
    </row>
    <row r="31913">
      <c r="P31913" s="42"/>
      <c r="AB31913" s="38"/>
    </row>
    <row r="31914">
      <c r="P31914" s="42"/>
      <c r="AB31914" s="38"/>
    </row>
    <row r="31915">
      <c r="P31915" s="42"/>
      <c r="AB31915" s="38"/>
    </row>
    <row r="31916">
      <c r="P31916" s="42"/>
      <c r="AB31916" s="38"/>
    </row>
    <row r="31917">
      <c r="P31917" s="42"/>
      <c r="AB31917" s="38"/>
    </row>
    <row r="31918">
      <c r="P31918" s="42"/>
      <c r="AB31918" s="38"/>
    </row>
    <row r="31919">
      <c r="P31919" s="42"/>
      <c r="AB31919" s="38"/>
    </row>
    <row r="31920">
      <c r="P31920" s="42"/>
      <c r="AB31920" s="38"/>
    </row>
    <row r="31921">
      <c r="P31921" s="42"/>
      <c r="AB31921" s="38"/>
    </row>
    <row r="31922">
      <c r="P31922" s="42"/>
      <c r="AB31922" s="38"/>
    </row>
    <row r="31923">
      <c r="P31923" s="42"/>
      <c r="AB31923" s="38"/>
    </row>
    <row r="31924">
      <c r="P31924" s="42"/>
      <c r="AB31924" s="38"/>
    </row>
    <row r="31925">
      <c r="P31925" s="42"/>
      <c r="AB31925" s="38"/>
    </row>
    <row r="31926">
      <c r="P31926" s="42"/>
      <c r="AB31926" s="38"/>
    </row>
    <row r="31927">
      <c r="P31927" s="42"/>
      <c r="AB31927" s="38"/>
    </row>
    <row r="31928">
      <c r="P31928" s="42"/>
      <c r="AB31928" s="38"/>
    </row>
    <row r="31929">
      <c r="P31929" s="42"/>
      <c r="AB31929" s="38"/>
    </row>
    <row r="31930">
      <c r="P31930" s="42"/>
      <c r="AB31930" s="38"/>
    </row>
    <row r="31931">
      <c r="P31931" s="42"/>
      <c r="AB31931" s="38"/>
    </row>
    <row r="31932">
      <c r="P31932" s="42"/>
      <c r="AB31932" s="38"/>
    </row>
    <row r="31933">
      <c r="P31933" s="42"/>
      <c r="AB31933" s="38"/>
    </row>
    <row r="31934">
      <c r="P31934" s="42"/>
      <c r="AB31934" s="38"/>
    </row>
    <row r="31935">
      <c r="P31935" s="42"/>
      <c r="AB31935" s="38"/>
    </row>
    <row r="31936">
      <c r="P31936" s="42"/>
      <c r="AB31936" s="38"/>
    </row>
    <row r="31937">
      <c r="P31937" s="42"/>
      <c r="AB31937" s="38"/>
    </row>
    <row r="31938">
      <c r="P31938" s="42"/>
      <c r="AB31938" s="38"/>
    </row>
    <row r="31939">
      <c r="P31939" s="42"/>
      <c r="AB31939" s="38"/>
    </row>
    <row r="31940">
      <c r="P31940" s="42"/>
      <c r="AB31940" s="38"/>
    </row>
    <row r="31941">
      <c r="P31941" s="42"/>
      <c r="AB31941" s="38"/>
    </row>
    <row r="31942">
      <c r="P31942" s="42"/>
      <c r="AB31942" s="38"/>
    </row>
    <row r="31943">
      <c r="P31943" s="42"/>
      <c r="AB31943" s="38"/>
    </row>
    <row r="31944">
      <c r="P31944" s="42"/>
      <c r="AB31944" s="38"/>
    </row>
    <row r="31945">
      <c r="P31945" s="42"/>
      <c r="AB31945" s="38"/>
    </row>
    <row r="31946">
      <c r="P31946" s="42"/>
      <c r="AB31946" s="38"/>
    </row>
    <row r="31947">
      <c r="P31947" s="42"/>
      <c r="AB31947" s="38"/>
    </row>
    <row r="31948">
      <c r="P31948" s="42"/>
      <c r="AB31948" s="38"/>
    </row>
    <row r="31949">
      <c r="P31949" s="42"/>
      <c r="AB31949" s="38"/>
    </row>
    <row r="31950">
      <c r="P31950" s="42"/>
      <c r="AB31950" s="38"/>
    </row>
    <row r="31951">
      <c r="P31951" s="42"/>
      <c r="AB31951" s="38"/>
    </row>
    <row r="31952">
      <c r="P31952" s="42"/>
      <c r="AB31952" s="38"/>
    </row>
    <row r="31953">
      <c r="P31953" s="42"/>
      <c r="AB31953" s="38"/>
    </row>
    <row r="31954">
      <c r="P31954" s="42"/>
      <c r="AB31954" s="38"/>
    </row>
    <row r="31955">
      <c r="P31955" s="42"/>
      <c r="AB31955" s="38"/>
    </row>
    <row r="31956">
      <c r="P31956" s="42"/>
      <c r="AB31956" s="38"/>
    </row>
    <row r="31957">
      <c r="P31957" s="42"/>
      <c r="AB31957" s="38"/>
    </row>
    <row r="31958">
      <c r="P31958" s="42"/>
      <c r="AB31958" s="38"/>
    </row>
    <row r="31959">
      <c r="P31959" s="42"/>
      <c r="AB31959" s="38"/>
    </row>
    <row r="31960">
      <c r="P31960" s="42"/>
      <c r="AB31960" s="38"/>
    </row>
    <row r="31961">
      <c r="P31961" s="42"/>
      <c r="AB31961" s="38"/>
    </row>
    <row r="31962">
      <c r="P31962" s="42"/>
      <c r="AB31962" s="38"/>
    </row>
    <row r="31963">
      <c r="P31963" s="42"/>
      <c r="AB31963" s="38"/>
    </row>
    <row r="31964">
      <c r="P31964" s="42"/>
      <c r="AB31964" s="38"/>
    </row>
    <row r="31965">
      <c r="P31965" s="42"/>
      <c r="AB31965" s="38"/>
    </row>
    <row r="31966">
      <c r="P31966" s="42"/>
      <c r="AB31966" s="38"/>
    </row>
    <row r="31967">
      <c r="P31967" s="42"/>
      <c r="AB31967" s="38"/>
    </row>
    <row r="31968">
      <c r="P31968" s="42"/>
      <c r="AB31968" s="38"/>
    </row>
    <row r="31969">
      <c r="P31969" s="42"/>
      <c r="AB31969" s="38"/>
    </row>
    <row r="31970">
      <c r="P31970" s="42"/>
      <c r="AB31970" s="38"/>
    </row>
    <row r="31971">
      <c r="P31971" s="42"/>
      <c r="AB31971" s="38"/>
    </row>
    <row r="31972">
      <c r="P31972" s="42"/>
      <c r="AB31972" s="38"/>
    </row>
    <row r="31973">
      <c r="P31973" s="42"/>
      <c r="AB31973" s="38"/>
    </row>
    <row r="31974">
      <c r="P31974" s="42"/>
      <c r="AB31974" s="38"/>
    </row>
    <row r="31975">
      <c r="P31975" s="42"/>
      <c r="AB31975" s="38"/>
    </row>
    <row r="31976">
      <c r="P31976" s="42"/>
      <c r="AB31976" s="38"/>
    </row>
    <row r="31977">
      <c r="P31977" s="42"/>
      <c r="AB31977" s="38"/>
    </row>
    <row r="31978">
      <c r="P31978" s="42"/>
      <c r="AB31978" s="38"/>
    </row>
    <row r="31979">
      <c r="P31979" s="42"/>
      <c r="AB31979" s="38"/>
    </row>
    <row r="31980">
      <c r="P31980" s="42"/>
      <c r="AB31980" s="38"/>
    </row>
    <row r="31981">
      <c r="P31981" s="42"/>
      <c r="AB31981" s="38"/>
    </row>
    <row r="31982">
      <c r="P31982" s="42"/>
      <c r="AB31982" s="38"/>
    </row>
    <row r="31983">
      <c r="P31983" s="42"/>
      <c r="AB31983" s="38"/>
    </row>
    <row r="31984">
      <c r="P31984" s="42"/>
      <c r="AB31984" s="38"/>
    </row>
    <row r="31985">
      <c r="P31985" s="42"/>
      <c r="AB31985" s="38"/>
    </row>
    <row r="31986">
      <c r="P31986" s="42"/>
      <c r="AB31986" s="38"/>
    </row>
    <row r="31987">
      <c r="P31987" s="42"/>
      <c r="AB31987" s="38"/>
    </row>
    <row r="31988">
      <c r="P31988" s="42"/>
      <c r="AB31988" s="38"/>
    </row>
    <row r="31989">
      <c r="P31989" s="42"/>
      <c r="AB31989" s="38"/>
    </row>
    <row r="31990">
      <c r="P31990" s="42"/>
      <c r="AB31990" s="38"/>
    </row>
    <row r="31991">
      <c r="P31991" s="42"/>
      <c r="AB31991" s="38"/>
    </row>
    <row r="31992">
      <c r="P31992" s="42"/>
      <c r="AB31992" s="38"/>
    </row>
    <row r="31993">
      <c r="P31993" s="42"/>
      <c r="AB31993" s="38"/>
    </row>
    <row r="31994">
      <c r="P31994" s="42"/>
      <c r="AB31994" s="38"/>
    </row>
    <row r="31995">
      <c r="P31995" s="42"/>
      <c r="AB31995" s="38"/>
    </row>
    <row r="31996">
      <c r="P31996" s="42"/>
      <c r="AB31996" s="38"/>
    </row>
    <row r="31997">
      <c r="P31997" s="42"/>
      <c r="AB31997" s="38"/>
    </row>
    <row r="31998">
      <c r="P31998" s="42"/>
      <c r="AB31998" s="38"/>
    </row>
    <row r="31999">
      <c r="P31999" s="42"/>
      <c r="AB31999" s="38"/>
    </row>
    <row r="32000">
      <c r="P32000" s="42"/>
      <c r="AB32000" s="38"/>
    </row>
    <row r="32001">
      <c r="P32001" s="42"/>
      <c r="AB32001" s="38"/>
    </row>
    <row r="32002">
      <c r="P32002" s="42"/>
      <c r="AB32002" s="38"/>
    </row>
    <row r="32003">
      <c r="P32003" s="42"/>
      <c r="AB32003" s="38"/>
    </row>
    <row r="32004">
      <c r="P32004" s="42"/>
      <c r="AB32004" s="38"/>
    </row>
    <row r="32005">
      <c r="P32005" s="42"/>
      <c r="AB32005" s="38"/>
    </row>
    <row r="32006">
      <c r="P32006" s="42"/>
      <c r="AB32006" s="38"/>
    </row>
    <row r="32007">
      <c r="P32007" s="42"/>
      <c r="AB32007" s="38"/>
    </row>
    <row r="32008">
      <c r="P32008" s="42"/>
      <c r="AB32008" s="38"/>
    </row>
    <row r="32009">
      <c r="P32009" s="42"/>
      <c r="AB32009" s="38"/>
    </row>
    <row r="32010">
      <c r="P32010" s="42"/>
      <c r="AB32010" s="38"/>
    </row>
    <row r="32011">
      <c r="P32011" s="42"/>
      <c r="AB32011" s="38"/>
    </row>
    <row r="32012">
      <c r="P32012" s="42"/>
      <c r="AB32012" s="38"/>
    </row>
    <row r="32013">
      <c r="P32013" s="42"/>
      <c r="AB32013" s="38"/>
    </row>
    <row r="32014">
      <c r="P32014" s="42"/>
      <c r="AB32014" s="38"/>
    </row>
    <row r="32015">
      <c r="P32015" s="42"/>
      <c r="AB32015" s="38"/>
    </row>
    <row r="32016">
      <c r="P32016" s="42"/>
      <c r="AB32016" s="38"/>
    </row>
    <row r="32017">
      <c r="P32017" s="42"/>
      <c r="AB32017" s="38"/>
    </row>
    <row r="32018">
      <c r="P32018" s="42"/>
      <c r="AB32018" s="38"/>
    </row>
    <row r="32019">
      <c r="P32019" s="42"/>
      <c r="AB32019" s="38"/>
    </row>
    <row r="32020">
      <c r="P32020" s="42"/>
      <c r="AB32020" s="38"/>
    </row>
    <row r="32021">
      <c r="P32021" s="42"/>
      <c r="AB32021" s="38"/>
    </row>
    <row r="32022">
      <c r="P32022" s="42"/>
      <c r="AB32022" s="38"/>
    </row>
    <row r="32023">
      <c r="P32023" s="42"/>
      <c r="AB32023" s="38"/>
    </row>
    <row r="32024">
      <c r="P32024" s="42"/>
      <c r="AB32024" s="38"/>
    </row>
    <row r="32025">
      <c r="P32025" s="42"/>
      <c r="AB32025" s="38"/>
    </row>
    <row r="32026">
      <c r="P32026" s="42"/>
      <c r="AB32026" s="38"/>
    </row>
    <row r="32027">
      <c r="P32027" s="42"/>
      <c r="AB32027" s="38"/>
    </row>
    <row r="32028">
      <c r="P32028" s="42"/>
      <c r="AB32028" s="38"/>
    </row>
    <row r="32029">
      <c r="P32029" s="42"/>
      <c r="AB32029" s="38"/>
    </row>
    <row r="32030">
      <c r="P32030" s="42"/>
      <c r="AB32030" s="38"/>
    </row>
    <row r="32031">
      <c r="P32031" s="42"/>
      <c r="AB32031" s="38"/>
    </row>
    <row r="32032">
      <c r="P32032" s="42"/>
      <c r="AB32032" s="38"/>
    </row>
    <row r="32033">
      <c r="P32033" s="42"/>
      <c r="AB32033" s="38"/>
    </row>
    <row r="32034">
      <c r="P32034" s="42"/>
      <c r="AB32034" s="38"/>
    </row>
    <row r="32035">
      <c r="P32035" s="42"/>
      <c r="AB32035" s="38"/>
    </row>
    <row r="32036">
      <c r="P32036" s="42"/>
      <c r="AB32036" s="38"/>
    </row>
    <row r="32037">
      <c r="P32037" s="42"/>
      <c r="AB32037" s="38"/>
    </row>
    <row r="32038">
      <c r="P32038" s="42"/>
      <c r="AB32038" s="38"/>
    </row>
    <row r="32039">
      <c r="P32039" s="42"/>
      <c r="AB32039" s="38"/>
    </row>
    <row r="32040">
      <c r="P32040" s="42"/>
      <c r="AB32040" s="38"/>
    </row>
    <row r="32041">
      <c r="P32041" s="42"/>
      <c r="AB32041" s="38"/>
    </row>
    <row r="32042">
      <c r="P32042" s="42"/>
      <c r="AB32042" s="38"/>
    </row>
    <row r="32043">
      <c r="P32043" s="42"/>
      <c r="AB32043" s="38"/>
    </row>
    <row r="32044">
      <c r="P32044" s="42"/>
      <c r="AB32044" s="38"/>
    </row>
    <row r="32045">
      <c r="P32045" s="42"/>
      <c r="AB32045" s="38"/>
    </row>
    <row r="32046">
      <c r="P32046" s="42"/>
      <c r="AB32046" s="38"/>
    </row>
    <row r="32047">
      <c r="P32047" s="42"/>
      <c r="AB32047" s="38"/>
    </row>
    <row r="32048">
      <c r="P32048" s="42"/>
      <c r="AB32048" s="38"/>
    </row>
    <row r="32049">
      <c r="P32049" s="42"/>
      <c r="AB32049" s="38"/>
    </row>
    <row r="32050">
      <c r="P32050" s="42"/>
      <c r="AB32050" s="38"/>
    </row>
    <row r="32051">
      <c r="P32051" s="42"/>
      <c r="AB32051" s="38"/>
    </row>
    <row r="32052">
      <c r="P32052" s="42"/>
      <c r="AB32052" s="38"/>
    </row>
    <row r="32053">
      <c r="P32053" s="42"/>
      <c r="AB32053" s="38"/>
    </row>
    <row r="32054">
      <c r="P32054" s="42"/>
      <c r="AB32054" s="38"/>
    </row>
    <row r="32055">
      <c r="P32055" s="42"/>
      <c r="AB32055" s="38"/>
    </row>
    <row r="32056">
      <c r="P32056" s="42"/>
      <c r="AB32056" s="38"/>
    </row>
    <row r="32057">
      <c r="P32057" s="42"/>
      <c r="AB32057" s="38"/>
    </row>
    <row r="32058">
      <c r="P32058" s="42"/>
      <c r="AB32058" s="38"/>
    </row>
    <row r="32059">
      <c r="P32059" s="42"/>
      <c r="AB32059" s="38"/>
    </row>
    <row r="32060">
      <c r="P32060" s="42"/>
      <c r="AB32060" s="38"/>
    </row>
    <row r="32061">
      <c r="P32061" s="42"/>
      <c r="AB32061" s="38"/>
    </row>
    <row r="32062">
      <c r="P32062" s="42"/>
      <c r="AB32062" s="38"/>
    </row>
    <row r="32063">
      <c r="P32063" s="42"/>
      <c r="AB32063" s="38"/>
    </row>
    <row r="32064">
      <c r="P32064" s="42"/>
      <c r="AB32064" s="38"/>
    </row>
    <row r="32065">
      <c r="P32065" s="42"/>
      <c r="AB32065" s="38"/>
    </row>
    <row r="32066">
      <c r="P32066" s="42"/>
      <c r="AB32066" s="38"/>
    </row>
    <row r="32067">
      <c r="P32067" s="42"/>
      <c r="AB32067" s="38"/>
    </row>
    <row r="32068">
      <c r="P32068" s="42"/>
      <c r="AB32068" s="38"/>
    </row>
    <row r="32069">
      <c r="P32069" s="42"/>
      <c r="AB32069" s="38"/>
    </row>
    <row r="32070">
      <c r="P32070" s="42"/>
      <c r="AB32070" s="38"/>
    </row>
    <row r="32071">
      <c r="P32071" s="42"/>
      <c r="AB32071" s="38"/>
    </row>
    <row r="32072">
      <c r="P32072" s="42"/>
      <c r="AB32072" s="38"/>
    </row>
    <row r="32073">
      <c r="P32073" s="42"/>
      <c r="AB32073" s="38"/>
    </row>
    <row r="32074">
      <c r="P32074" s="42"/>
      <c r="AB32074" s="38"/>
    </row>
    <row r="32075">
      <c r="P32075" s="42"/>
      <c r="AB32075" s="38"/>
    </row>
    <row r="32076">
      <c r="P32076" s="42"/>
      <c r="AB32076" s="38"/>
    </row>
    <row r="32077">
      <c r="P32077" s="42"/>
      <c r="AB32077" s="38"/>
    </row>
    <row r="32078">
      <c r="P32078" s="42"/>
      <c r="AB32078" s="38"/>
    </row>
    <row r="32079">
      <c r="P32079" s="42"/>
      <c r="AB32079" s="38"/>
    </row>
    <row r="32080">
      <c r="P32080" s="42"/>
      <c r="AB32080" s="38"/>
    </row>
    <row r="32081">
      <c r="P32081" s="42"/>
      <c r="AB32081" s="38"/>
    </row>
    <row r="32082">
      <c r="P32082" s="42"/>
      <c r="AB32082" s="38"/>
    </row>
    <row r="32083">
      <c r="P32083" s="42"/>
      <c r="AB32083" s="38"/>
    </row>
    <row r="32084">
      <c r="P32084" s="42"/>
      <c r="AB32084" s="38"/>
    </row>
    <row r="32085">
      <c r="P32085" s="42"/>
      <c r="AB32085" s="38"/>
    </row>
    <row r="32086">
      <c r="P32086" s="42"/>
      <c r="AB32086" s="38"/>
    </row>
    <row r="32087">
      <c r="P32087" s="42"/>
      <c r="AB32087" s="38"/>
    </row>
    <row r="32088">
      <c r="P32088" s="42"/>
      <c r="AB32088" s="38"/>
    </row>
    <row r="32089">
      <c r="P32089" s="42"/>
      <c r="AB32089" s="38"/>
    </row>
    <row r="32090">
      <c r="P32090" s="42"/>
      <c r="AB32090" s="38"/>
    </row>
    <row r="32091">
      <c r="P32091" s="42"/>
      <c r="AB32091" s="38"/>
    </row>
    <row r="32092">
      <c r="P32092" s="42"/>
      <c r="AB32092" s="38"/>
    </row>
    <row r="32093">
      <c r="P32093" s="42"/>
      <c r="AB32093" s="38"/>
    </row>
    <row r="32094">
      <c r="P32094" s="42"/>
      <c r="AB32094" s="38"/>
    </row>
    <row r="32095">
      <c r="P32095" s="42"/>
      <c r="AB32095" s="38"/>
    </row>
    <row r="32096">
      <c r="P32096" s="42"/>
      <c r="AB32096" s="38"/>
    </row>
    <row r="32097">
      <c r="P32097" s="42"/>
      <c r="AB32097" s="38"/>
    </row>
    <row r="32098">
      <c r="P32098" s="42"/>
      <c r="AB32098" s="38"/>
    </row>
    <row r="32099">
      <c r="P32099" s="42"/>
      <c r="AB32099" s="38"/>
    </row>
    <row r="32100">
      <c r="P32100" s="42"/>
      <c r="AB32100" s="38"/>
    </row>
    <row r="32101">
      <c r="P32101" s="42"/>
      <c r="AB32101" s="38"/>
    </row>
    <row r="32102">
      <c r="P32102" s="42"/>
      <c r="AB32102" s="38"/>
    </row>
    <row r="32103">
      <c r="P32103" s="42"/>
      <c r="AB32103" s="38"/>
    </row>
    <row r="32104">
      <c r="P32104" s="42"/>
      <c r="AB32104" s="38"/>
    </row>
    <row r="32105">
      <c r="P32105" s="42"/>
      <c r="AB32105" s="38"/>
    </row>
    <row r="32106">
      <c r="P32106" s="42"/>
      <c r="AB32106" s="38"/>
    </row>
    <row r="32107">
      <c r="P32107" s="42"/>
      <c r="AB32107" s="38"/>
    </row>
    <row r="32108">
      <c r="P32108" s="42"/>
      <c r="AB32108" s="38"/>
    </row>
    <row r="32109">
      <c r="P32109" s="42"/>
      <c r="AB32109" s="38"/>
    </row>
    <row r="32110">
      <c r="P32110" s="42"/>
      <c r="AB32110" s="38"/>
    </row>
    <row r="32111">
      <c r="P32111" s="42"/>
      <c r="AB32111" s="38"/>
    </row>
    <row r="32112">
      <c r="P32112" s="42"/>
      <c r="AB32112" s="38"/>
    </row>
    <row r="32113">
      <c r="P32113" s="42"/>
      <c r="AB32113" s="38"/>
    </row>
    <row r="32114">
      <c r="P32114" s="42"/>
      <c r="AB32114" s="38"/>
    </row>
    <row r="32115">
      <c r="P32115" s="42"/>
      <c r="AB32115" s="38"/>
    </row>
    <row r="32116">
      <c r="P32116" s="42"/>
      <c r="AB32116" s="38"/>
    </row>
    <row r="32117">
      <c r="P32117" s="42"/>
      <c r="AB32117" s="38"/>
    </row>
    <row r="32118">
      <c r="P32118" s="42"/>
      <c r="AB32118" s="38"/>
    </row>
    <row r="32119">
      <c r="P32119" s="42"/>
      <c r="AB32119" s="38"/>
    </row>
    <row r="32120">
      <c r="P32120" s="42"/>
      <c r="AB32120" s="38"/>
    </row>
    <row r="32121">
      <c r="P32121" s="42"/>
      <c r="AB32121" s="38"/>
    </row>
    <row r="32122">
      <c r="P32122" s="42"/>
      <c r="AB32122" s="38"/>
    </row>
    <row r="32123">
      <c r="P32123" s="42"/>
      <c r="AB32123" s="38"/>
    </row>
    <row r="32124">
      <c r="P32124" s="42"/>
      <c r="AB32124" s="38"/>
    </row>
    <row r="32125">
      <c r="P32125" s="42"/>
      <c r="AB32125" s="38"/>
    </row>
    <row r="32126">
      <c r="P32126" s="42"/>
      <c r="AB32126" s="38"/>
    </row>
    <row r="32127">
      <c r="P32127" s="42"/>
      <c r="AB32127" s="38"/>
    </row>
    <row r="32128">
      <c r="P32128" s="42"/>
      <c r="AB32128" s="38"/>
    </row>
    <row r="32129">
      <c r="P32129" s="42"/>
      <c r="AB32129" s="38"/>
    </row>
    <row r="32130">
      <c r="P32130" s="42"/>
      <c r="AB32130" s="38"/>
    </row>
    <row r="32131">
      <c r="P32131" s="42"/>
      <c r="AB32131" s="38"/>
    </row>
    <row r="32132">
      <c r="P32132" s="42"/>
      <c r="AB32132" s="38"/>
    </row>
    <row r="32133">
      <c r="P32133" s="42"/>
      <c r="AB32133" s="38"/>
    </row>
    <row r="32134">
      <c r="P32134" s="42"/>
      <c r="AB32134" s="38"/>
    </row>
    <row r="32135">
      <c r="P32135" s="42"/>
      <c r="AB32135" s="38"/>
    </row>
    <row r="32136">
      <c r="P32136" s="42"/>
      <c r="AB32136" s="38"/>
    </row>
    <row r="32137">
      <c r="P32137" s="42"/>
      <c r="AB32137" s="38"/>
    </row>
    <row r="32138">
      <c r="P32138" s="42"/>
      <c r="AB32138" s="38"/>
    </row>
    <row r="32139">
      <c r="P32139" s="42"/>
      <c r="AB32139" s="38"/>
    </row>
    <row r="32140">
      <c r="P32140" s="42"/>
      <c r="AB32140" s="38"/>
    </row>
    <row r="32141">
      <c r="P32141" s="42"/>
      <c r="AB32141" s="38"/>
    </row>
    <row r="32142">
      <c r="P32142" s="42"/>
      <c r="AB32142" s="38"/>
    </row>
    <row r="32143">
      <c r="P32143" s="42"/>
      <c r="AB32143" s="38"/>
    </row>
    <row r="32144">
      <c r="P32144" s="42"/>
      <c r="AB32144" s="38"/>
    </row>
    <row r="32145">
      <c r="P32145" s="42"/>
      <c r="AB32145" s="38"/>
    </row>
    <row r="32146">
      <c r="P32146" s="42"/>
      <c r="AB32146" s="38"/>
    </row>
    <row r="32147">
      <c r="P32147" s="42"/>
      <c r="AB32147" s="38"/>
    </row>
    <row r="32148">
      <c r="P32148" s="42"/>
      <c r="AB32148" s="38"/>
    </row>
    <row r="32149">
      <c r="P32149" s="42"/>
      <c r="AB32149" s="38"/>
    </row>
    <row r="32150">
      <c r="P32150" s="42"/>
      <c r="AB32150" s="38"/>
    </row>
    <row r="32151">
      <c r="P32151" s="42"/>
      <c r="AB32151" s="38"/>
    </row>
    <row r="32152">
      <c r="P32152" s="42"/>
      <c r="AB32152" s="38"/>
    </row>
    <row r="32153">
      <c r="P32153" s="42"/>
      <c r="AB32153" s="38"/>
    </row>
    <row r="32154">
      <c r="P32154" s="42"/>
      <c r="AB32154" s="38"/>
    </row>
    <row r="32155">
      <c r="P32155" s="42"/>
      <c r="AB32155" s="38"/>
    </row>
    <row r="32156">
      <c r="P32156" s="42"/>
      <c r="AB32156" s="38"/>
    </row>
    <row r="32157">
      <c r="P32157" s="42"/>
      <c r="AB32157" s="38"/>
    </row>
    <row r="32158">
      <c r="P32158" s="42"/>
      <c r="AB32158" s="38"/>
    </row>
    <row r="32159">
      <c r="P32159" s="42"/>
      <c r="AB32159" s="38"/>
    </row>
    <row r="32160">
      <c r="P32160" s="42"/>
      <c r="AB32160" s="38"/>
    </row>
    <row r="32161">
      <c r="P32161" s="42"/>
      <c r="AB32161" s="38"/>
    </row>
    <row r="32162">
      <c r="P32162" s="42"/>
      <c r="AB32162" s="38"/>
    </row>
    <row r="32163">
      <c r="P32163" s="42"/>
      <c r="AB32163" s="38"/>
    </row>
    <row r="32164">
      <c r="P32164" s="42"/>
      <c r="AB32164" s="38"/>
    </row>
    <row r="32165">
      <c r="P32165" s="42"/>
      <c r="AB32165" s="38"/>
    </row>
    <row r="32166">
      <c r="P32166" s="42"/>
      <c r="AB32166" s="38"/>
    </row>
    <row r="32167">
      <c r="P32167" s="42"/>
      <c r="AB32167" s="38"/>
    </row>
    <row r="32168">
      <c r="P32168" s="42"/>
      <c r="AB32168" s="38"/>
    </row>
    <row r="32169">
      <c r="P32169" s="42"/>
      <c r="AB32169" s="38"/>
    </row>
    <row r="32170">
      <c r="P32170" s="42"/>
      <c r="AB32170" s="38"/>
    </row>
    <row r="32171">
      <c r="P32171" s="42"/>
      <c r="AB32171" s="38"/>
    </row>
    <row r="32172">
      <c r="P32172" s="42"/>
      <c r="AB32172" s="38"/>
    </row>
    <row r="32173">
      <c r="P32173" s="42"/>
      <c r="AB32173" s="38"/>
    </row>
    <row r="32174">
      <c r="P32174" s="42"/>
      <c r="AB32174" s="38"/>
    </row>
    <row r="32175">
      <c r="P32175" s="42"/>
      <c r="AB32175" s="38"/>
    </row>
    <row r="32176">
      <c r="P32176" s="42"/>
      <c r="AB32176" s="38"/>
    </row>
    <row r="32177">
      <c r="P32177" s="42"/>
      <c r="AB32177" s="38"/>
    </row>
    <row r="32178">
      <c r="P32178" s="42"/>
      <c r="AB32178" s="38"/>
    </row>
    <row r="32179">
      <c r="P32179" s="42"/>
      <c r="AB32179" s="38"/>
    </row>
    <row r="32180">
      <c r="P32180" s="42"/>
      <c r="AB32180" s="38"/>
    </row>
    <row r="32181">
      <c r="P32181" s="42"/>
      <c r="AB32181" s="38"/>
    </row>
    <row r="32182">
      <c r="P32182" s="42"/>
      <c r="AB32182" s="38"/>
    </row>
    <row r="32183">
      <c r="P32183" s="42"/>
      <c r="AB32183" s="38"/>
    </row>
    <row r="32184">
      <c r="P32184" s="42"/>
      <c r="AB32184" s="38"/>
    </row>
    <row r="32185">
      <c r="P32185" s="42"/>
      <c r="AB32185" s="38"/>
    </row>
    <row r="32186">
      <c r="P32186" s="42"/>
      <c r="AB32186" s="38"/>
    </row>
    <row r="32187">
      <c r="P32187" s="42"/>
      <c r="AB32187" s="38"/>
    </row>
    <row r="32188">
      <c r="P32188" s="42"/>
      <c r="AB32188" s="38"/>
    </row>
    <row r="32189">
      <c r="P32189" s="42"/>
      <c r="AB32189" s="38"/>
    </row>
    <row r="32190">
      <c r="P32190" s="42"/>
      <c r="AB32190" s="38"/>
    </row>
    <row r="32191">
      <c r="P32191" s="42"/>
      <c r="AB32191" s="38"/>
    </row>
    <row r="32192">
      <c r="P32192" s="42"/>
      <c r="AB32192" s="38"/>
    </row>
    <row r="32193">
      <c r="P32193" s="42"/>
      <c r="AB32193" s="38"/>
    </row>
    <row r="32194">
      <c r="P32194" s="42"/>
      <c r="AB32194" s="38"/>
    </row>
    <row r="32195">
      <c r="P32195" s="42"/>
      <c r="AB32195" s="38"/>
    </row>
    <row r="32196">
      <c r="P32196" s="42"/>
      <c r="AB32196" s="38"/>
    </row>
    <row r="32197">
      <c r="P32197" s="42"/>
      <c r="AB32197" s="38"/>
    </row>
    <row r="32198">
      <c r="P32198" s="42"/>
      <c r="AB32198" s="38"/>
    </row>
    <row r="32199">
      <c r="P32199" s="42"/>
      <c r="AB32199" s="38"/>
    </row>
    <row r="32200">
      <c r="P32200" s="42"/>
      <c r="AB32200" s="38"/>
    </row>
    <row r="32201">
      <c r="P32201" s="42"/>
      <c r="AB32201" s="38"/>
    </row>
    <row r="32202">
      <c r="P32202" s="42"/>
      <c r="AB32202" s="38"/>
    </row>
    <row r="32203">
      <c r="P32203" s="42"/>
      <c r="AB32203" s="38"/>
    </row>
    <row r="32204">
      <c r="P32204" s="42"/>
      <c r="AB32204" s="38"/>
    </row>
    <row r="32205">
      <c r="P32205" s="42"/>
      <c r="AB32205" s="38"/>
    </row>
    <row r="32206">
      <c r="P32206" s="42"/>
      <c r="AB32206" s="38"/>
    </row>
    <row r="32207">
      <c r="P32207" s="42"/>
      <c r="AB32207" s="38"/>
    </row>
    <row r="32208">
      <c r="P32208" s="42"/>
      <c r="AB32208" s="38"/>
    </row>
    <row r="32209">
      <c r="P32209" s="42"/>
      <c r="AB32209" s="38"/>
    </row>
    <row r="32210">
      <c r="P32210" s="42"/>
      <c r="AB32210" s="38"/>
    </row>
    <row r="32211">
      <c r="P32211" s="42"/>
      <c r="AB32211" s="38"/>
    </row>
    <row r="32212">
      <c r="P32212" s="42"/>
      <c r="AB32212" s="38"/>
    </row>
    <row r="32213">
      <c r="P32213" s="42"/>
      <c r="AB32213" s="38"/>
    </row>
    <row r="32214">
      <c r="P32214" s="42"/>
      <c r="AB32214" s="38"/>
    </row>
    <row r="32215">
      <c r="P32215" s="42"/>
      <c r="AB32215" s="38"/>
    </row>
    <row r="32216">
      <c r="P32216" s="42"/>
      <c r="AB32216" s="38"/>
    </row>
    <row r="32217">
      <c r="P32217" s="42"/>
      <c r="AB32217" s="38"/>
    </row>
    <row r="32218">
      <c r="P32218" s="42"/>
      <c r="AB32218" s="38"/>
    </row>
    <row r="32219">
      <c r="P32219" s="42"/>
      <c r="AB32219" s="38"/>
    </row>
    <row r="32220">
      <c r="P32220" s="42"/>
      <c r="AB32220" s="38"/>
    </row>
    <row r="32221">
      <c r="P32221" s="42"/>
      <c r="AB32221" s="38"/>
    </row>
    <row r="32222">
      <c r="P32222" s="42"/>
      <c r="AB32222" s="38"/>
    </row>
    <row r="32223">
      <c r="P32223" s="42"/>
      <c r="AB32223" s="38"/>
    </row>
    <row r="32224">
      <c r="P32224" s="42"/>
      <c r="AB32224" s="38"/>
    </row>
    <row r="32225">
      <c r="P32225" s="42"/>
      <c r="AB32225" s="38"/>
    </row>
    <row r="32226">
      <c r="P32226" s="42"/>
      <c r="AB32226" s="38"/>
    </row>
    <row r="32227">
      <c r="P32227" s="42"/>
      <c r="AB32227" s="38"/>
    </row>
    <row r="32228">
      <c r="P32228" s="42"/>
      <c r="AB32228" s="38"/>
    </row>
    <row r="32229">
      <c r="P32229" s="42"/>
      <c r="AB32229" s="38"/>
    </row>
    <row r="32230">
      <c r="P32230" s="42"/>
      <c r="AB32230" s="38"/>
    </row>
    <row r="32231">
      <c r="P32231" s="42"/>
      <c r="AB32231" s="38"/>
    </row>
    <row r="32232">
      <c r="P32232" s="42"/>
      <c r="AB32232" s="38"/>
    </row>
    <row r="32233">
      <c r="P32233" s="42"/>
      <c r="AB32233" s="38"/>
    </row>
    <row r="32234">
      <c r="P32234" s="42"/>
      <c r="AB32234" s="38"/>
    </row>
    <row r="32235">
      <c r="P32235" s="42"/>
      <c r="AB32235" s="38"/>
    </row>
    <row r="32236">
      <c r="P32236" s="42"/>
      <c r="AB32236" s="38"/>
    </row>
    <row r="32237">
      <c r="P32237" s="42"/>
      <c r="AB32237" s="38"/>
    </row>
    <row r="32238">
      <c r="P32238" s="42"/>
      <c r="AB32238" s="38"/>
    </row>
    <row r="32239">
      <c r="P32239" s="42"/>
      <c r="AB32239" s="38"/>
    </row>
    <row r="32240">
      <c r="P32240" s="42"/>
      <c r="AB32240" s="38"/>
    </row>
    <row r="32241">
      <c r="P32241" s="42"/>
      <c r="AB32241" s="38"/>
    </row>
    <row r="32242">
      <c r="P32242" s="42"/>
      <c r="AB32242" s="38"/>
    </row>
    <row r="32243">
      <c r="P32243" s="42"/>
      <c r="AB32243" s="38"/>
    </row>
    <row r="32244">
      <c r="P32244" s="42"/>
      <c r="AB32244" s="38"/>
    </row>
    <row r="32245">
      <c r="P32245" s="42"/>
      <c r="AB32245" s="38"/>
    </row>
    <row r="32246">
      <c r="P32246" s="42"/>
      <c r="AB32246" s="38"/>
    </row>
    <row r="32247">
      <c r="P32247" s="42"/>
      <c r="AB32247" s="38"/>
    </row>
    <row r="32248">
      <c r="P32248" s="42"/>
      <c r="AB32248" s="38"/>
    </row>
    <row r="32249">
      <c r="P32249" s="42"/>
      <c r="AB32249" s="38"/>
    </row>
    <row r="32250">
      <c r="P32250" s="42"/>
      <c r="AB32250" s="38"/>
    </row>
    <row r="32251">
      <c r="P32251" s="42"/>
      <c r="AB32251" s="38"/>
    </row>
    <row r="32252">
      <c r="P32252" s="42"/>
      <c r="AB32252" s="38"/>
    </row>
    <row r="32253">
      <c r="P32253" s="42"/>
      <c r="AB32253" s="38"/>
    </row>
    <row r="32254">
      <c r="P32254" s="42"/>
      <c r="AB32254" s="38"/>
    </row>
    <row r="32255">
      <c r="P32255" s="42"/>
      <c r="AB32255" s="38"/>
    </row>
    <row r="32256">
      <c r="P32256" s="42"/>
      <c r="AB32256" s="38"/>
    </row>
    <row r="32257">
      <c r="P32257" s="42"/>
      <c r="AB32257" s="38"/>
    </row>
    <row r="32258">
      <c r="P32258" s="42"/>
      <c r="AB32258" s="38"/>
    </row>
    <row r="32259">
      <c r="P32259" s="42"/>
      <c r="AB32259" s="38"/>
    </row>
    <row r="32260">
      <c r="P32260" s="42"/>
      <c r="AB32260" s="38"/>
    </row>
    <row r="32261">
      <c r="P32261" s="42"/>
      <c r="AB32261" s="38"/>
    </row>
    <row r="32262">
      <c r="P32262" s="42"/>
      <c r="AB32262" s="38"/>
    </row>
    <row r="32263">
      <c r="P32263" s="42"/>
      <c r="AB32263" s="38"/>
    </row>
    <row r="32264">
      <c r="P32264" s="42"/>
      <c r="AB32264" s="38"/>
    </row>
    <row r="32265">
      <c r="P32265" s="42"/>
      <c r="AB32265" s="38"/>
    </row>
    <row r="32266">
      <c r="P32266" s="42"/>
      <c r="AB32266" s="38"/>
    </row>
    <row r="32267">
      <c r="P32267" s="42"/>
      <c r="AB32267" s="38"/>
    </row>
    <row r="32268">
      <c r="P32268" s="42"/>
      <c r="AB32268" s="38"/>
    </row>
    <row r="32269">
      <c r="P32269" s="42"/>
      <c r="AB32269" s="38"/>
    </row>
    <row r="32270">
      <c r="P32270" s="42"/>
      <c r="AB32270" s="38"/>
    </row>
    <row r="32271">
      <c r="P32271" s="42"/>
      <c r="AB32271" s="38"/>
    </row>
    <row r="32272">
      <c r="P32272" s="42"/>
      <c r="AB32272" s="38"/>
    </row>
    <row r="32273">
      <c r="P32273" s="42"/>
      <c r="AB32273" s="38"/>
    </row>
    <row r="32274">
      <c r="P32274" s="42"/>
      <c r="AB32274" s="38"/>
    </row>
    <row r="32275">
      <c r="P32275" s="42"/>
      <c r="AB32275" s="38"/>
    </row>
    <row r="32276">
      <c r="P32276" s="42"/>
      <c r="AB32276" s="38"/>
    </row>
    <row r="32277">
      <c r="P32277" s="42"/>
      <c r="AB32277" s="38"/>
    </row>
    <row r="32278">
      <c r="P32278" s="42"/>
      <c r="AB32278" s="38"/>
    </row>
    <row r="32279">
      <c r="P32279" s="42"/>
      <c r="AB32279" s="38"/>
    </row>
    <row r="32280">
      <c r="P32280" s="42"/>
      <c r="AB32280" s="38"/>
    </row>
    <row r="32281">
      <c r="P32281" s="42"/>
      <c r="AB32281" s="38"/>
    </row>
    <row r="32282">
      <c r="P32282" s="42"/>
      <c r="AB32282" s="38"/>
    </row>
    <row r="32283">
      <c r="P32283" s="42"/>
      <c r="AB32283" s="38"/>
    </row>
    <row r="32284">
      <c r="P32284" s="42"/>
      <c r="AB32284" s="38"/>
    </row>
    <row r="32285">
      <c r="P32285" s="42"/>
      <c r="AB32285" s="38"/>
    </row>
    <row r="32286">
      <c r="P32286" s="42"/>
      <c r="AB32286" s="38"/>
    </row>
    <row r="32287">
      <c r="P32287" s="42"/>
      <c r="AB32287" s="38"/>
    </row>
    <row r="32288">
      <c r="P32288" s="42"/>
      <c r="AB32288" s="38"/>
    </row>
    <row r="32289">
      <c r="P32289" s="42"/>
      <c r="AB32289" s="38"/>
    </row>
    <row r="32290">
      <c r="P32290" s="42"/>
      <c r="AB32290" s="38"/>
    </row>
    <row r="32291">
      <c r="P32291" s="42"/>
      <c r="AB32291" s="38"/>
    </row>
    <row r="32292">
      <c r="P32292" s="42"/>
      <c r="AB32292" s="38"/>
    </row>
    <row r="32293">
      <c r="P32293" s="42"/>
      <c r="AB32293" s="38"/>
    </row>
    <row r="32294">
      <c r="P32294" s="42"/>
      <c r="AB32294" s="38"/>
    </row>
    <row r="32295">
      <c r="P32295" s="42"/>
      <c r="AB32295" s="38"/>
    </row>
    <row r="32296">
      <c r="P32296" s="42"/>
      <c r="AB32296" s="38"/>
    </row>
    <row r="32297">
      <c r="P32297" s="42"/>
      <c r="AB32297" s="38"/>
    </row>
    <row r="32298">
      <c r="P32298" s="42"/>
      <c r="AB32298" s="38"/>
    </row>
    <row r="32299">
      <c r="P32299" s="42"/>
      <c r="AB32299" s="38"/>
    </row>
    <row r="32300">
      <c r="P32300" s="42"/>
      <c r="AB32300" s="38"/>
    </row>
    <row r="32301">
      <c r="P32301" s="42"/>
      <c r="AB32301" s="38"/>
    </row>
    <row r="32302">
      <c r="P32302" s="42"/>
      <c r="AB32302" s="38"/>
    </row>
    <row r="32303">
      <c r="P32303" s="42"/>
      <c r="AB32303" s="38"/>
    </row>
    <row r="32304">
      <c r="P32304" s="42"/>
      <c r="AB32304" s="38"/>
    </row>
    <row r="32305">
      <c r="P32305" s="42"/>
      <c r="AB32305" s="38"/>
    </row>
    <row r="32306">
      <c r="P32306" s="42"/>
      <c r="AB32306" s="38"/>
    </row>
    <row r="32307">
      <c r="P32307" s="42"/>
      <c r="AB32307" s="38"/>
    </row>
    <row r="32308">
      <c r="P32308" s="42"/>
      <c r="AB32308" s="38"/>
    </row>
    <row r="32309">
      <c r="P32309" s="42"/>
      <c r="AB32309" s="38"/>
    </row>
    <row r="32310">
      <c r="P32310" s="42"/>
      <c r="AB32310" s="38"/>
    </row>
    <row r="32311">
      <c r="P32311" s="42"/>
      <c r="AB32311" s="38"/>
    </row>
    <row r="32312">
      <c r="P32312" s="42"/>
      <c r="AB32312" s="38"/>
    </row>
    <row r="32313">
      <c r="P32313" s="42"/>
      <c r="AB32313" s="38"/>
    </row>
    <row r="32314">
      <c r="P32314" s="42"/>
      <c r="AB32314" s="38"/>
    </row>
    <row r="32315">
      <c r="P32315" s="42"/>
      <c r="AB32315" s="38"/>
    </row>
    <row r="32316">
      <c r="P32316" s="42"/>
      <c r="AB32316" s="38"/>
    </row>
    <row r="32317">
      <c r="P32317" s="42"/>
      <c r="AB32317" s="38"/>
    </row>
    <row r="32318">
      <c r="P32318" s="42"/>
      <c r="AB32318" s="38"/>
    </row>
    <row r="32319">
      <c r="P32319" s="42"/>
      <c r="AB32319" s="38"/>
    </row>
    <row r="32320">
      <c r="P32320" s="42"/>
      <c r="AB32320" s="38"/>
    </row>
    <row r="32321">
      <c r="P32321" s="42"/>
      <c r="AB32321" s="38"/>
    </row>
    <row r="32322">
      <c r="P32322" s="42"/>
      <c r="AB32322" s="38"/>
    </row>
    <row r="32323">
      <c r="P32323" s="42"/>
      <c r="AB32323" s="38"/>
    </row>
    <row r="32324">
      <c r="P32324" s="42"/>
      <c r="AB32324" s="38"/>
    </row>
    <row r="32325">
      <c r="P32325" s="42"/>
      <c r="AB32325" s="38"/>
    </row>
    <row r="32326">
      <c r="P32326" s="42"/>
      <c r="AB32326" s="38"/>
    </row>
    <row r="32327">
      <c r="P32327" s="42"/>
      <c r="AB32327" s="38"/>
    </row>
    <row r="32328">
      <c r="P32328" s="42"/>
      <c r="AB32328" s="38"/>
    </row>
    <row r="32329">
      <c r="P32329" s="42"/>
      <c r="AB32329" s="38"/>
    </row>
    <row r="32330">
      <c r="P32330" s="42"/>
      <c r="AB32330" s="38"/>
    </row>
    <row r="32331">
      <c r="P32331" s="42"/>
      <c r="AB32331" s="38"/>
    </row>
    <row r="32332">
      <c r="P32332" s="42"/>
      <c r="AB32332" s="38"/>
    </row>
    <row r="32333">
      <c r="P32333" s="42"/>
      <c r="AB32333" s="38"/>
    </row>
    <row r="32334">
      <c r="P32334" s="42"/>
      <c r="AB32334" s="38"/>
    </row>
    <row r="32335">
      <c r="P32335" s="42"/>
      <c r="AB32335" s="38"/>
    </row>
    <row r="32336">
      <c r="P32336" s="42"/>
      <c r="AB32336" s="38"/>
    </row>
    <row r="32337">
      <c r="P32337" s="42"/>
      <c r="AB32337" s="38"/>
    </row>
    <row r="32338">
      <c r="P32338" s="42"/>
      <c r="AB32338" s="38"/>
    </row>
    <row r="32339">
      <c r="P32339" s="42"/>
      <c r="AB32339" s="38"/>
    </row>
    <row r="32340">
      <c r="P32340" s="42"/>
      <c r="AB32340" s="38"/>
    </row>
    <row r="32341">
      <c r="P32341" s="42"/>
      <c r="AB32341" s="38"/>
    </row>
    <row r="32342">
      <c r="P32342" s="42"/>
      <c r="AB32342" s="38"/>
    </row>
    <row r="32343">
      <c r="P32343" s="42"/>
      <c r="AB32343" s="38"/>
    </row>
    <row r="32344">
      <c r="P32344" s="42"/>
      <c r="AB32344" s="38"/>
    </row>
    <row r="32345">
      <c r="P32345" s="42"/>
      <c r="AB32345" s="38"/>
    </row>
    <row r="32346">
      <c r="P32346" s="42"/>
      <c r="AB32346" s="38"/>
    </row>
    <row r="32347">
      <c r="P32347" s="42"/>
      <c r="AB32347" s="38"/>
    </row>
    <row r="32348">
      <c r="P32348" s="42"/>
      <c r="AB32348" s="38"/>
    </row>
    <row r="32349">
      <c r="P32349" s="42"/>
      <c r="AB32349" s="38"/>
    </row>
    <row r="32350">
      <c r="P32350" s="42"/>
      <c r="AB32350" s="38"/>
    </row>
    <row r="32351">
      <c r="P32351" s="42"/>
      <c r="AB32351" s="38"/>
    </row>
    <row r="32352">
      <c r="P32352" s="42"/>
      <c r="AB32352" s="38"/>
    </row>
    <row r="32353">
      <c r="P32353" s="42"/>
      <c r="AB32353" s="38"/>
    </row>
    <row r="32354">
      <c r="P32354" s="42"/>
      <c r="AB32354" s="38"/>
    </row>
    <row r="32355">
      <c r="P32355" s="42"/>
      <c r="AB32355" s="38"/>
    </row>
    <row r="32356">
      <c r="P32356" s="42"/>
      <c r="AB32356" s="38"/>
    </row>
    <row r="32357">
      <c r="P32357" s="42"/>
      <c r="AB32357" s="38"/>
    </row>
    <row r="32358">
      <c r="P32358" s="42"/>
      <c r="AB32358" s="38"/>
    </row>
    <row r="32359">
      <c r="P32359" s="42"/>
      <c r="AB32359" s="38"/>
    </row>
    <row r="32360">
      <c r="P32360" s="42"/>
      <c r="AB32360" s="38"/>
    </row>
    <row r="32361">
      <c r="P32361" s="42"/>
      <c r="AB32361" s="38"/>
    </row>
    <row r="32362">
      <c r="P32362" s="42"/>
      <c r="AB32362" s="38"/>
    </row>
    <row r="32363">
      <c r="P32363" s="42"/>
      <c r="AB32363" s="38"/>
    </row>
    <row r="32364">
      <c r="P32364" s="42"/>
      <c r="AB32364" s="38"/>
    </row>
    <row r="32365">
      <c r="P32365" s="42"/>
      <c r="AB32365" s="38"/>
    </row>
    <row r="32366">
      <c r="P32366" s="42"/>
      <c r="AB32366" s="38"/>
    </row>
    <row r="32367">
      <c r="P32367" s="42"/>
      <c r="AB32367" s="38"/>
    </row>
    <row r="32368">
      <c r="P32368" s="42"/>
      <c r="AB32368" s="38"/>
    </row>
    <row r="32369">
      <c r="P32369" s="42"/>
      <c r="AB32369" s="38"/>
    </row>
    <row r="32370">
      <c r="P32370" s="42"/>
      <c r="AB32370" s="38"/>
    </row>
    <row r="32371">
      <c r="P32371" s="42"/>
      <c r="AB32371" s="38"/>
    </row>
    <row r="32372">
      <c r="P32372" s="42"/>
      <c r="AB32372" s="38"/>
    </row>
    <row r="32373">
      <c r="P32373" s="42"/>
      <c r="AB32373" s="38"/>
    </row>
    <row r="32374">
      <c r="P32374" s="42"/>
      <c r="AB32374" s="38"/>
    </row>
    <row r="32375">
      <c r="P32375" s="42"/>
      <c r="AB32375" s="38"/>
    </row>
    <row r="32376">
      <c r="P32376" s="42"/>
      <c r="AB32376" s="38"/>
    </row>
    <row r="32377">
      <c r="P32377" s="42"/>
      <c r="AB32377" s="38"/>
    </row>
    <row r="32378">
      <c r="P32378" s="42"/>
      <c r="AB32378" s="38"/>
    </row>
    <row r="32379">
      <c r="P32379" s="42"/>
      <c r="AB32379" s="38"/>
    </row>
    <row r="32380">
      <c r="P32380" s="42"/>
      <c r="AB32380" s="38"/>
    </row>
    <row r="32381">
      <c r="P32381" s="42"/>
      <c r="AB32381" s="38"/>
    </row>
    <row r="32382">
      <c r="P32382" s="42"/>
      <c r="AB32382" s="38"/>
    </row>
    <row r="32383">
      <c r="P32383" s="42"/>
      <c r="AB32383" s="38"/>
    </row>
    <row r="32384">
      <c r="P32384" s="42"/>
      <c r="AB32384" s="38"/>
    </row>
    <row r="32385">
      <c r="P32385" s="42"/>
      <c r="AB32385" s="38"/>
    </row>
    <row r="32386">
      <c r="P32386" s="42"/>
      <c r="AB32386" s="38"/>
    </row>
    <row r="32387">
      <c r="P32387" s="42"/>
      <c r="AB32387" s="38"/>
    </row>
    <row r="32388">
      <c r="P32388" s="42"/>
      <c r="AB32388" s="38"/>
    </row>
    <row r="32389">
      <c r="P32389" s="42"/>
      <c r="AB32389" s="38"/>
    </row>
    <row r="32390">
      <c r="P32390" s="42"/>
      <c r="AB32390" s="38"/>
    </row>
    <row r="32391">
      <c r="P32391" s="42"/>
      <c r="AB32391" s="38"/>
    </row>
    <row r="32392">
      <c r="P32392" s="42"/>
      <c r="AB32392" s="38"/>
    </row>
    <row r="32393">
      <c r="P32393" s="42"/>
      <c r="AB32393" s="38"/>
    </row>
    <row r="32394">
      <c r="P32394" s="42"/>
      <c r="AB32394" s="38"/>
    </row>
    <row r="32395">
      <c r="P32395" s="42"/>
      <c r="AB32395" s="38"/>
    </row>
    <row r="32396">
      <c r="P32396" s="42"/>
      <c r="AB32396" s="38"/>
    </row>
    <row r="32397">
      <c r="P32397" s="42"/>
      <c r="AB32397" s="38"/>
    </row>
    <row r="32398">
      <c r="P32398" s="42"/>
      <c r="AB32398" s="38"/>
    </row>
    <row r="32399">
      <c r="P32399" s="42"/>
      <c r="AB32399" s="38"/>
    </row>
    <row r="32400">
      <c r="P32400" s="42"/>
      <c r="AB32400" s="38"/>
    </row>
    <row r="32401">
      <c r="P32401" s="42"/>
      <c r="AB32401" s="38"/>
    </row>
    <row r="32402">
      <c r="P32402" s="42"/>
      <c r="AB32402" s="38"/>
    </row>
    <row r="32403">
      <c r="P32403" s="42"/>
      <c r="AB32403" s="38"/>
    </row>
    <row r="32404">
      <c r="P32404" s="42"/>
      <c r="AB32404" s="38"/>
    </row>
    <row r="32405">
      <c r="P32405" s="42"/>
      <c r="AB32405" s="38"/>
    </row>
    <row r="32406">
      <c r="P32406" s="42"/>
      <c r="AB32406" s="38"/>
    </row>
    <row r="32407">
      <c r="P32407" s="42"/>
      <c r="AB32407" s="38"/>
    </row>
    <row r="32408">
      <c r="P32408" s="42"/>
      <c r="AB32408" s="38"/>
    </row>
    <row r="32409">
      <c r="P32409" s="42"/>
      <c r="AB32409" s="38"/>
    </row>
    <row r="32410">
      <c r="P32410" s="42"/>
      <c r="AB32410" s="38"/>
    </row>
    <row r="32411">
      <c r="P32411" s="42"/>
      <c r="AB32411" s="38"/>
    </row>
    <row r="32412">
      <c r="P32412" s="42"/>
      <c r="AB32412" s="38"/>
    </row>
    <row r="32413">
      <c r="P32413" s="42"/>
      <c r="AB32413" s="38"/>
    </row>
    <row r="32414">
      <c r="P32414" s="42"/>
      <c r="AB32414" s="38"/>
    </row>
    <row r="32415">
      <c r="P32415" s="42"/>
      <c r="AB32415" s="38"/>
    </row>
    <row r="32416">
      <c r="P32416" s="42"/>
      <c r="AB32416" s="38"/>
    </row>
    <row r="32417">
      <c r="P32417" s="42"/>
      <c r="AB32417" s="38"/>
    </row>
    <row r="32418">
      <c r="P32418" s="42"/>
      <c r="AB32418" s="38"/>
    </row>
    <row r="32419">
      <c r="P32419" s="42"/>
      <c r="AB32419" s="38"/>
    </row>
    <row r="32420">
      <c r="P32420" s="42"/>
      <c r="AB32420" s="38"/>
    </row>
    <row r="32421">
      <c r="P32421" s="42"/>
      <c r="AB32421" s="38"/>
    </row>
    <row r="32422">
      <c r="P32422" s="42"/>
      <c r="AB32422" s="38"/>
    </row>
    <row r="32423">
      <c r="P32423" s="42"/>
      <c r="AB32423" s="38"/>
    </row>
    <row r="32424">
      <c r="P32424" s="42"/>
      <c r="AB32424" s="38"/>
    </row>
    <row r="32425">
      <c r="P32425" s="42"/>
      <c r="AB32425" s="38"/>
    </row>
    <row r="32426">
      <c r="P32426" s="42"/>
      <c r="AB32426" s="38"/>
    </row>
    <row r="32427">
      <c r="P32427" s="42"/>
      <c r="AB32427" s="38"/>
    </row>
    <row r="32428">
      <c r="P32428" s="42"/>
      <c r="AB32428" s="38"/>
    </row>
    <row r="32429">
      <c r="P32429" s="42"/>
      <c r="AB32429" s="38"/>
    </row>
    <row r="32430">
      <c r="P32430" s="42"/>
      <c r="AB32430" s="38"/>
    </row>
    <row r="32431">
      <c r="P32431" s="42"/>
      <c r="AB32431" s="38"/>
    </row>
    <row r="32432">
      <c r="P32432" s="42"/>
      <c r="AB32432" s="38"/>
    </row>
    <row r="32433">
      <c r="P32433" s="42"/>
      <c r="AB32433" s="38"/>
    </row>
    <row r="32434">
      <c r="P32434" s="42"/>
      <c r="AB32434" s="38"/>
    </row>
    <row r="32435">
      <c r="P32435" s="42"/>
      <c r="AB32435" s="38"/>
    </row>
    <row r="32436">
      <c r="P32436" s="42"/>
      <c r="AB32436" s="38"/>
    </row>
    <row r="32437">
      <c r="P32437" s="42"/>
      <c r="AB32437" s="38"/>
    </row>
    <row r="32438">
      <c r="P32438" s="42"/>
      <c r="AB32438" s="38"/>
    </row>
    <row r="32439">
      <c r="P32439" s="42"/>
      <c r="AB32439" s="38"/>
    </row>
    <row r="32440">
      <c r="P32440" s="42"/>
      <c r="AB32440" s="38"/>
    </row>
    <row r="32441">
      <c r="P32441" s="42"/>
      <c r="AB32441" s="38"/>
    </row>
    <row r="32442">
      <c r="P32442" s="42"/>
      <c r="AB32442" s="38"/>
    </row>
    <row r="32443">
      <c r="P32443" s="42"/>
      <c r="AB32443" s="38"/>
    </row>
    <row r="32444">
      <c r="P32444" s="42"/>
      <c r="AB32444" s="38"/>
    </row>
    <row r="32445">
      <c r="P32445" s="42"/>
      <c r="AB32445" s="38"/>
    </row>
    <row r="32446">
      <c r="P32446" s="42"/>
      <c r="AB32446" s="38"/>
    </row>
    <row r="32447">
      <c r="P32447" s="42"/>
      <c r="AB32447" s="38"/>
    </row>
    <row r="32448">
      <c r="P32448" s="42"/>
      <c r="AB32448" s="38"/>
    </row>
    <row r="32449">
      <c r="P32449" s="42"/>
      <c r="AB32449" s="38"/>
    </row>
    <row r="32450">
      <c r="P32450" s="42"/>
      <c r="AB32450" s="38"/>
    </row>
    <row r="32451">
      <c r="P32451" s="42"/>
      <c r="AB32451" s="38"/>
    </row>
    <row r="32452">
      <c r="P32452" s="42"/>
      <c r="AB32452" s="38"/>
    </row>
    <row r="32453">
      <c r="P32453" s="42"/>
      <c r="AB32453" s="38"/>
    </row>
    <row r="32454">
      <c r="P32454" s="42"/>
      <c r="AB32454" s="38"/>
    </row>
    <row r="32455">
      <c r="P32455" s="42"/>
      <c r="AB32455" s="38"/>
    </row>
    <row r="32456">
      <c r="P32456" s="42"/>
      <c r="AB32456" s="38"/>
    </row>
    <row r="32457">
      <c r="P32457" s="42"/>
      <c r="AB32457" s="38"/>
    </row>
    <row r="32458">
      <c r="P32458" s="42"/>
      <c r="AB32458" s="38"/>
    </row>
    <row r="32459">
      <c r="P32459" s="42"/>
      <c r="AB32459" s="38"/>
    </row>
    <row r="32460">
      <c r="P32460" s="42"/>
      <c r="AB32460" s="38"/>
    </row>
    <row r="32461">
      <c r="P32461" s="42"/>
      <c r="AB32461" s="38"/>
    </row>
    <row r="32462">
      <c r="P32462" s="42"/>
      <c r="AB32462" s="38"/>
    </row>
    <row r="32463">
      <c r="P32463" s="42"/>
      <c r="AB32463" s="38"/>
    </row>
    <row r="32464">
      <c r="P32464" s="42"/>
      <c r="AB32464" s="38"/>
    </row>
    <row r="32465">
      <c r="P32465" s="42"/>
      <c r="AB32465" s="38"/>
    </row>
    <row r="32466">
      <c r="P32466" s="42"/>
      <c r="AB32466" s="38"/>
    </row>
    <row r="32467">
      <c r="P32467" s="42"/>
      <c r="AB32467" s="38"/>
    </row>
    <row r="32468">
      <c r="P32468" s="42"/>
      <c r="AB32468" s="38"/>
    </row>
    <row r="32469">
      <c r="P32469" s="42"/>
      <c r="AB32469" s="38"/>
    </row>
    <row r="32470">
      <c r="P32470" s="42"/>
      <c r="AB32470" s="38"/>
    </row>
    <row r="32471">
      <c r="P32471" s="42"/>
      <c r="AB32471" s="38"/>
    </row>
    <row r="32472">
      <c r="P32472" s="42"/>
      <c r="AB32472" s="38"/>
    </row>
    <row r="32473">
      <c r="P32473" s="42"/>
      <c r="AB32473" s="38"/>
    </row>
    <row r="32474">
      <c r="P32474" s="42"/>
      <c r="AB32474" s="38"/>
    </row>
    <row r="32475">
      <c r="P32475" s="42"/>
      <c r="AB32475" s="38"/>
    </row>
    <row r="32476">
      <c r="P32476" s="42"/>
      <c r="AB32476" s="38"/>
    </row>
    <row r="32477">
      <c r="P32477" s="42"/>
      <c r="AB32477" s="38"/>
    </row>
    <row r="32478">
      <c r="P32478" s="42"/>
      <c r="AB32478" s="38"/>
    </row>
    <row r="32479">
      <c r="P32479" s="42"/>
      <c r="AB32479" s="38"/>
    </row>
    <row r="32480">
      <c r="P32480" s="42"/>
      <c r="AB32480" s="38"/>
    </row>
    <row r="32481">
      <c r="P32481" s="42"/>
      <c r="AB32481" s="38"/>
    </row>
    <row r="32482">
      <c r="P32482" s="42"/>
      <c r="AB32482" s="38"/>
    </row>
    <row r="32483">
      <c r="P32483" s="42"/>
      <c r="AB32483" s="38"/>
    </row>
    <row r="32484">
      <c r="P32484" s="42"/>
      <c r="AB32484" s="38"/>
    </row>
    <row r="32485">
      <c r="P32485" s="42"/>
      <c r="AB32485" s="38"/>
    </row>
    <row r="32486">
      <c r="P32486" s="42"/>
      <c r="AB32486" s="38"/>
    </row>
    <row r="32487">
      <c r="P32487" s="42"/>
      <c r="AB32487" s="38"/>
    </row>
    <row r="32488">
      <c r="P32488" s="42"/>
      <c r="AB32488" s="38"/>
    </row>
    <row r="32489">
      <c r="P32489" s="42"/>
      <c r="AB32489" s="38"/>
    </row>
    <row r="32490">
      <c r="P32490" s="42"/>
      <c r="AB32490" s="38"/>
    </row>
    <row r="32491">
      <c r="P32491" s="42"/>
      <c r="AB32491" s="38"/>
    </row>
    <row r="32492">
      <c r="P32492" s="42"/>
      <c r="AB32492" s="38"/>
    </row>
    <row r="32493">
      <c r="P32493" s="42"/>
      <c r="AB32493" s="38"/>
    </row>
    <row r="32494">
      <c r="P32494" s="42"/>
      <c r="AB32494" s="38"/>
    </row>
    <row r="32495">
      <c r="P32495" s="42"/>
      <c r="AB32495" s="38"/>
    </row>
    <row r="32496">
      <c r="P32496" s="42"/>
      <c r="AB32496" s="38"/>
    </row>
    <row r="32497">
      <c r="P32497" s="42"/>
      <c r="AB32497" s="38"/>
    </row>
    <row r="32498">
      <c r="P32498" s="42"/>
      <c r="AB32498" s="38"/>
    </row>
    <row r="32499">
      <c r="P32499" s="42"/>
      <c r="AB32499" s="38"/>
    </row>
    <row r="32500">
      <c r="P32500" s="42"/>
      <c r="AB32500" s="38"/>
    </row>
    <row r="32501">
      <c r="P32501" s="42"/>
      <c r="AB32501" s="38"/>
    </row>
    <row r="32502">
      <c r="P32502" s="42"/>
      <c r="AB32502" s="38"/>
    </row>
    <row r="32503">
      <c r="P32503" s="42"/>
      <c r="AB32503" s="38"/>
    </row>
    <row r="32504">
      <c r="P32504" s="42"/>
      <c r="AB32504" s="38"/>
    </row>
    <row r="32505">
      <c r="P32505" s="42"/>
      <c r="AB32505" s="38"/>
    </row>
    <row r="32506">
      <c r="P32506" s="42"/>
      <c r="AB32506" s="38"/>
    </row>
    <row r="32507">
      <c r="P32507" s="42"/>
      <c r="AB32507" s="38"/>
    </row>
    <row r="32508">
      <c r="P32508" s="42"/>
      <c r="AB32508" s="38"/>
    </row>
    <row r="32509">
      <c r="P32509" s="42"/>
      <c r="AB32509" s="38"/>
    </row>
    <row r="32510">
      <c r="P32510" s="42"/>
      <c r="AB32510" s="38"/>
    </row>
    <row r="32511">
      <c r="P32511" s="42"/>
      <c r="AB32511" s="38"/>
    </row>
    <row r="32512">
      <c r="P32512" s="42"/>
      <c r="AB32512" s="38"/>
    </row>
    <row r="32513">
      <c r="P32513" s="42"/>
      <c r="AB32513" s="38"/>
    </row>
    <row r="32514">
      <c r="P32514" s="42"/>
      <c r="AB32514" s="38"/>
    </row>
    <row r="32515">
      <c r="P32515" s="42"/>
      <c r="AB32515" s="38"/>
    </row>
    <row r="32516">
      <c r="P32516" s="42"/>
      <c r="AB32516" s="38"/>
    </row>
    <row r="32517">
      <c r="P32517" s="42"/>
      <c r="AB32517" s="38"/>
    </row>
    <row r="32518">
      <c r="P32518" s="42"/>
      <c r="AB32518" s="38"/>
    </row>
    <row r="32519">
      <c r="P32519" s="42"/>
      <c r="AB32519" s="38"/>
    </row>
    <row r="32520">
      <c r="P32520" s="42"/>
      <c r="AB32520" s="38"/>
    </row>
    <row r="32521">
      <c r="P32521" s="42"/>
      <c r="AB32521" s="38"/>
    </row>
    <row r="32522">
      <c r="P32522" s="42"/>
      <c r="AB32522" s="38"/>
    </row>
    <row r="32523">
      <c r="P32523" s="42"/>
      <c r="AB32523" s="38"/>
    </row>
    <row r="32524">
      <c r="P32524" s="42"/>
      <c r="AB32524" s="38"/>
    </row>
    <row r="32525">
      <c r="P32525" s="42"/>
      <c r="AB32525" s="38"/>
    </row>
    <row r="32526">
      <c r="P32526" s="42"/>
      <c r="AB32526" s="38"/>
    </row>
    <row r="32527">
      <c r="P32527" s="42"/>
      <c r="AB32527" s="38"/>
    </row>
    <row r="32528">
      <c r="P32528" s="42"/>
      <c r="AB32528" s="38"/>
    </row>
    <row r="32529">
      <c r="P32529" s="42"/>
      <c r="AB32529" s="38"/>
    </row>
    <row r="32530">
      <c r="P32530" s="42"/>
      <c r="AB32530" s="38"/>
    </row>
    <row r="32531">
      <c r="P32531" s="42"/>
      <c r="AB32531" s="38"/>
    </row>
    <row r="32532">
      <c r="P32532" s="42"/>
      <c r="AB32532" s="38"/>
    </row>
    <row r="32533">
      <c r="P32533" s="42"/>
      <c r="AB32533" s="38"/>
    </row>
    <row r="32534">
      <c r="P32534" s="42"/>
      <c r="AB32534" s="38"/>
    </row>
    <row r="32535">
      <c r="P32535" s="42"/>
      <c r="AB32535" s="38"/>
    </row>
    <row r="32536">
      <c r="P32536" s="42"/>
      <c r="AB32536" s="38"/>
    </row>
    <row r="32537">
      <c r="P32537" s="42"/>
      <c r="AB32537" s="38"/>
    </row>
    <row r="32538">
      <c r="P32538" s="42"/>
      <c r="AB32538" s="38"/>
    </row>
    <row r="32539">
      <c r="P32539" s="42"/>
      <c r="AB32539" s="38"/>
    </row>
    <row r="32540">
      <c r="P32540" s="42"/>
      <c r="AB32540" s="38"/>
    </row>
    <row r="32541">
      <c r="P32541" s="42"/>
      <c r="AB32541" s="38"/>
    </row>
    <row r="32542">
      <c r="P32542" s="42"/>
      <c r="AB32542" s="38"/>
    </row>
    <row r="32543">
      <c r="P32543" s="42"/>
      <c r="AB32543" s="38"/>
    </row>
    <row r="32544">
      <c r="P32544" s="42"/>
      <c r="AB32544" s="38"/>
    </row>
    <row r="32545">
      <c r="P32545" s="42"/>
      <c r="AB32545" s="38"/>
    </row>
    <row r="32546">
      <c r="P32546" s="42"/>
      <c r="AB32546" s="38"/>
    </row>
    <row r="32547">
      <c r="P32547" s="42"/>
      <c r="AB32547" s="38"/>
    </row>
    <row r="32548">
      <c r="P32548" s="42"/>
      <c r="AB32548" s="38"/>
    </row>
    <row r="32549">
      <c r="P32549" s="42"/>
      <c r="AB32549" s="38"/>
    </row>
    <row r="32550">
      <c r="P32550" s="42"/>
      <c r="AB32550" s="38"/>
    </row>
    <row r="32551">
      <c r="P32551" s="42"/>
      <c r="AB32551" s="38"/>
    </row>
    <row r="32552">
      <c r="P32552" s="42"/>
      <c r="AB32552" s="38"/>
    </row>
    <row r="32553">
      <c r="P32553" s="42"/>
      <c r="AB32553" s="38"/>
    </row>
    <row r="32554">
      <c r="P32554" s="42"/>
      <c r="AB32554" s="38"/>
    </row>
    <row r="32555">
      <c r="P32555" s="42"/>
      <c r="AB32555" s="38"/>
    </row>
    <row r="32556">
      <c r="P32556" s="42"/>
      <c r="AB32556" s="38"/>
    </row>
    <row r="32557">
      <c r="P32557" s="42"/>
      <c r="AB32557" s="38"/>
    </row>
    <row r="32558">
      <c r="P32558" s="42"/>
      <c r="AB32558" s="38"/>
    </row>
    <row r="32559">
      <c r="P32559" s="42"/>
      <c r="AB32559" s="38"/>
    </row>
    <row r="32560">
      <c r="P32560" s="42"/>
      <c r="AB32560" s="38"/>
    </row>
    <row r="32561">
      <c r="P32561" s="42"/>
      <c r="AB32561" s="38"/>
    </row>
    <row r="32562">
      <c r="P32562" s="42"/>
      <c r="AB32562" s="38"/>
    </row>
    <row r="32563">
      <c r="P32563" s="42"/>
      <c r="AB32563" s="38"/>
    </row>
    <row r="32564">
      <c r="P32564" s="42"/>
      <c r="AB32564" s="38"/>
    </row>
    <row r="32565">
      <c r="P32565" s="42"/>
      <c r="AB32565" s="38"/>
    </row>
    <row r="32566">
      <c r="P32566" s="42"/>
      <c r="AB32566" s="38"/>
    </row>
    <row r="32567">
      <c r="P32567" s="42"/>
      <c r="AB32567" s="38"/>
    </row>
    <row r="32568">
      <c r="P32568" s="42"/>
      <c r="AB32568" s="38"/>
    </row>
    <row r="32569">
      <c r="P32569" s="42"/>
      <c r="AB32569" s="38"/>
    </row>
    <row r="32570">
      <c r="P32570" s="42"/>
      <c r="AB32570" s="38"/>
    </row>
    <row r="32571">
      <c r="P32571" s="42"/>
      <c r="AB32571" s="38"/>
    </row>
    <row r="32572">
      <c r="P32572" s="42"/>
      <c r="AB32572" s="38"/>
    </row>
    <row r="32573">
      <c r="P32573" s="42"/>
      <c r="AB32573" s="38"/>
    </row>
    <row r="32574">
      <c r="P32574" s="42"/>
      <c r="AB32574" s="38"/>
    </row>
    <row r="32575">
      <c r="P32575" s="42"/>
      <c r="AB32575" s="38"/>
    </row>
    <row r="32576">
      <c r="P32576" s="42"/>
      <c r="AB32576" s="38"/>
    </row>
    <row r="32577">
      <c r="P32577" s="42"/>
      <c r="AB32577" s="38"/>
    </row>
    <row r="32578">
      <c r="P32578" s="42"/>
      <c r="AB32578" s="38"/>
    </row>
    <row r="32579">
      <c r="P32579" s="42"/>
      <c r="AB32579" s="38"/>
    </row>
    <row r="32580">
      <c r="P32580" s="42"/>
      <c r="AB32580" s="38"/>
    </row>
    <row r="32581">
      <c r="P32581" s="42"/>
      <c r="AB32581" s="38"/>
    </row>
    <row r="32582">
      <c r="P32582" s="42"/>
      <c r="AB32582" s="38"/>
    </row>
    <row r="32583">
      <c r="P32583" s="42"/>
      <c r="AB32583" s="38"/>
    </row>
    <row r="32584">
      <c r="P32584" s="42"/>
      <c r="AB32584" s="38"/>
    </row>
    <row r="32585">
      <c r="P32585" s="42"/>
      <c r="AB32585" s="38"/>
    </row>
    <row r="32586">
      <c r="P32586" s="42"/>
      <c r="AB32586" s="38"/>
    </row>
    <row r="32587">
      <c r="P32587" s="42"/>
      <c r="AB32587" s="38"/>
    </row>
    <row r="32588">
      <c r="P32588" s="42"/>
      <c r="AB32588" s="38"/>
    </row>
    <row r="32589">
      <c r="P32589" s="42"/>
      <c r="AB32589" s="38"/>
    </row>
    <row r="32590">
      <c r="P32590" s="42"/>
      <c r="AB32590" s="38"/>
    </row>
    <row r="32591">
      <c r="P32591" s="42"/>
      <c r="AB32591" s="38"/>
    </row>
    <row r="32592">
      <c r="P32592" s="42"/>
      <c r="AB32592" s="38"/>
    </row>
    <row r="32593">
      <c r="P32593" s="42"/>
      <c r="AB32593" s="38"/>
    </row>
    <row r="32594">
      <c r="P32594" s="42"/>
      <c r="AB32594" s="38"/>
    </row>
    <row r="32595">
      <c r="P32595" s="42"/>
      <c r="AB32595" s="38"/>
    </row>
    <row r="32596">
      <c r="P32596" s="42"/>
      <c r="AB32596" s="38"/>
    </row>
    <row r="32597">
      <c r="P32597" s="42"/>
      <c r="AB32597" s="38"/>
    </row>
    <row r="32598">
      <c r="P32598" s="42"/>
      <c r="AB32598" s="38"/>
    </row>
    <row r="32599">
      <c r="P32599" s="42"/>
      <c r="AB32599" s="38"/>
    </row>
    <row r="32600">
      <c r="P32600" s="42"/>
      <c r="AB32600" s="38"/>
    </row>
    <row r="32601">
      <c r="P32601" s="42"/>
      <c r="AB32601" s="38"/>
    </row>
    <row r="32602">
      <c r="P32602" s="42"/>
      <c r="AB32602" s="38"/>
    </row>
    <row r="32603">
      <c r="P32603" s="42"/>
      <c r="AB32603" s="38"/>
    </row>
    <row r="32604">
      <c r="P32604" s="42"/>
      <c r="AB32604" s="38"/>
    </row>
    <row r="32605">
      <c r="P32605" s="42"/>
      <c r="AB32605" s="38"/>
    </row>
    <row r="32606">
      <c r="P32606" s="42"/>
      <c r="AB32606" s="38"/>
    </row>
    <row r="32607">
      <c r="P32607" s="42"/>
      <c r="AB32607" s="38"/>
    </row>
    <row r="32608">
      <c r="P32608" s="42"/>
      <c r="AB32608" s="38"/>
    </row>
    <row r="32609">
      <c r="P32609" s="42"/>
      <c r="AB32609" s="38"/>
    </row>
    <row r="32610">
      <c r="P32610" s="42"/>
      <c r="AB32610" s="38"/>
    </row>
    <row r="32611">
      <c r="P32611" s="42"/>
      <c r="AB32611" s="38"/>
    </row>
    <row r="32612">
      <c r="P32612" s="42"/>
      <c r="AB32612" s="38"/>
    </row>
    <row r="32613">
      <c r="P32613" s="42"/>
      <c r="AB32613" s="38"/>
    </row>
    <row r="32614">
      <c r="P32614" s="42"/>
      <c r="AB32614" s="38"/>
    </row>
    <row r="32615">
      <c r="P32615" s="42"/>
      <c r="AB32615" s="38"/>
    </row>
    <row r="32616">
      <c r="P32616" s="42"/>
      <c r="AB32616" s="38"/>
    </row>
    <row r="32617">
      <c r="P32617" s="42"/>
      <c r="AB32617" s="38"/>
    </row>
    <row r="32618">
      <c r="P32618" s="42"/>
      <c r="AB32618" s="38"/>
    </row>
    <row r="32619">
      <c r="P32619" s="42"/>
      <c r="AB32619" s="38"/>
    </row>
    <row r="32620">
      <c r="P32620" s="42"/>
      <c r="AB32620" s="38"/>
    </row>
    <row r="32621">
      <c r="P32621" s="42"/>
      <c r="AB32621" s="38"/>
    </row>
    <row r="32622">
      <c r="P32622" s="42"/>
      <c r="AB32622" s="38"/>
    </row>
    <row r="32623">
      <c r="P32623" s="42"/>
      <c r="AB32623" s="38"/>
    </row>
    <row r="32624">
      <c r="P32624" s="42"/>
      <c r="AB32624" s="38"/>
    </row>
    <row r="32625">
      <c r="P32625" s="42"/>
      <c r="AB32625" s="38"/>
    </row>
    <row r="32626">
      <c r="P32626" s="42"/>
      <c r="AB32626" s="38"/>
    </row>
    <row r="32627">
      <c r="P32627" s="42"/>
      <c r="AB32627" s="38"/>
    </row>
    <row r="32628">
      <c r="P32628" s="42"/>
      <c r="AB32628" s="38"/>
    </row>
    <row r="32629">
      <c r="P32629" s="42"/>
      <c r="AB32629" s="38"/>
    </row>
    <row r="32630">
      <c r="P32630" s="42"/>
      <c r="AB32630" s="38"/>
    </row>
    <row r="32631">
      <c r="P32631" s="42"/>
      <c r="AB32631" s="38"/>
    </row>
    <row r="32632">
      <c r="P32632" s="42"/>
      <c r="AB32632" s="38"/>
    </row>
    <row r="32633">
      <c r="P32633" s="42"/>
      <c r="AB32633" s="38"/>
    </row>
    <row r="32634">
      <c r="P32634" s="42"/>
      <c r="AB32634" s="38"/>
    </row>
    <row r="32635">
      <c r="P32635" s="42"/>
      <c r="AB32635" s="38"/>
    </row>
    <row r="32636">
      <c r="P32636" s="42"/>
      <c r="AB32636" s="38"/>
    </row>
    <row r="32637">
      <c r="P32637" s="42"/>
      <c r="AB32637" s="38"/>
    </row>
    <row r="32638">
      <c r="P32638" s="42"/>
      <c r="AB32638" s="38"/>
    </row>
    <row r="32639">
      <c r="P32639" s="42"/>
      <c r="AB32639" s="38"/>
    </row>
    <row r="32640">
      <c r="P32640" s="42"/>
      <c r="AB32640" s="38"/>
    </row>
    <row r="32641">
      <c r="P32641" s="42"/>
      <c r="AB32641" s="38"/>
    </row>
    <row r="32642">
      <c r="P32642" s="42"/>
      <c r="AB32642" s="38"/>
    </row>
    <row r="32643">
      <c r="P32643" s="42"/>
      <c r="AB32643" s="38"/>
    </row>
    <row r="32644">
      <c r="P32644" s="42"/>
      <c r="AB32644" s="38"/>
    </row>
    <row r="32645">
      <c r="P32645" s="42"/>
      <c r="AB32645" s="38"/>
    </row>
    <row r="32646">
      <c r="P32646" s="42"/>
      <c r="AB32646" s="38"/>
    </row>
    <row r="32647">
      <c r="P32647" s="42"/>
      <c r="AB32647" s="38"/>
    </row>
    <row r="32648">
      <c r="P32648" s="42"/>
      <c r="AB32648" s="38"/>
    </row>
    <row r="32649">
      <c r="P32649" s="42"/>
      <c r="AB32649" s="38"/>
    </row>
    <row r="32650">
      <c r="P32650" s="42"/>
      <c r="AB32650" s="38"/>
    </row>
    <row r="32651">
      <c r="P32651" s="42"/>
      <c r="AB32651" s="38"/>
    </row>
    <row r="32652">
      <c r="P32652" s="42"/>
      <c r="AB32652" s="38"/>
    </row>
    <row r="32653">
      <c r="P32653" s="42"/>
      <c r="AB32653" s="38"/>
    </row>
    <row r="32654">
      <c r="P32654" s="42"/>
      <c r="AB32654" s="38"/>
    </row>
    <row r="32655">
      <c r="P32655" s="42"/>
      <c r="AB32655" s="38"/>
    </row>
    <row r="32656">
      <c r="P32656" s="42"/>
      <c r="AB32656" s="38"/>
    </row>
    <row r="32657">
      <c r="P32657" s="42"/>
      <c r="AB32657" s="38"/>
    </row>
    <row r="32658">
      <c r="P32658" s="42"/>
      <c r="AB32658" s="38"/>
    </row>
    <row r="32659">
      <c r="P32659" s="42"/>
      <c r="AB32659" s="38"/>
    </row>
    <row r="32660">
      <c r="P32660" s="42"/>
      <c r="AB32660" s="38"/>
    </row>
    <row r="32661">
      <c r="P32661" s="42"/>
      <c r="AB32661" s="38"/>
    </row>
    <row r="32662">
      <c r="P32662" s="42"/>
      <c r="AB32662" s="38"/>
    </row>
    <row r="32663">
      <c r="P32663" s="42"/>
      <c r="AB32663" s="38"/>
    </row>
    <row r="32664">
      <c r="P32664" s="42"/>
      <c r="AB32664" s="38"/>
    </row>
    <row r="32665">
      <c r="P32665" s="42"/>
      <c r="AB32665" s="38"/>
    </row>
    <row r="32666">
      <c r="P32666" s="42"/>
      <c r="AB32666" s="38"/>
    </row>
    <row r="32667">
      <c r="P32667" s="42"/>
      <c r="AB32667" s="38"/>
    </row>
    <row r="32668">
      <c r="P32668" s="42"/>
      <c r="AB32668" s="38"/>
    </row>
    <row r="32669">
      <c r="P32669" s="42"/>
      <c r="AB32669" s="38"/>
    </row>
    <row r="32670">
      <c r="P32670" s="42"/>
      <c r="AB32670" s="38"/>
    </row>
    <row r="32671">
      <c r="P32671" s="42"/>
      <c r="AB32671" s="38"/>
    </row>
    <row r="32672">
      <c r="P32672" s="42"/>
      <c r="AB32672" s="38"/>
    </row>
    <row r="32673">
      <c r="P32673" s="42"/>
      <c r="AB32673" s="38"/>
    </row>
    <row r="32674">
      <c r="P32674" s="42"/>
      <c r="AB32674" s="38"/>
    </row>
    <row r="32675">
      <c r="P32675" s="42"/>
      <c r="AB32675" s="38"/>
    </row>
    <row r="32676">
      <c r="P32676" s="42"/>
      <c r="AB32676" s="38"/>
    </row>
    <row r="32677">
      <c r="P32677" s="42"/>
      <c r="AB32677" s="38"/>
    </row>
    <row r="32678">
      <c r="P32678" s="42"/>
      <c r="AB32678" s="38"/>
    </row>
    <row r="32679">
      <c r="P32679" s="42"/>
      <c r="AB32679" s="38"/>
    </row>
    <row r="32680">
      <c r="P32680" s="42"/>
      <c r="AB32680" s="38"/>
    </row>
    <row r="32681">
      <c r="P32681" s="42"/>
      <c r="AB32681" s="38"/>
    </row>
    <row r="32682">
      <c r="P32682" s="42"/>
      <c r="AB32682" s="38"/>
    </row>
    <row r="32683">
      <c r="P32683" s="42"/>
      <c r="AB32683" s="38"/>
    </row>
    <row r="32684">
      <c r="P32684" s="42"/>
      <c r="AB32684" s="38"/>
    </row>
    <row r="32685">
      <c r="P32685" s="42"/>
      <c r="AB32685" s="38"/>
    </row>
    <row r="32686">
      <c r="P32686" s="42"/>
      <c r="AB32686" s="38"/>
    </row>
    <row r="32687">
      <c r="P32687" s="42"/>
      <c r="AB32687" s="38"/>
    </row>
    <row r="32688">
      <c r="P32688" s="42"/>
      <c r="AB32688" s="38"/>
    </row>
    <row r="32689">
      <c r="P32689" s="42"/>
      <c r="AB32689" s="38"/>
    </row>
    <row r="32690">
      <c r="P32690" s="42"/>
      <c r="AB32690" s="38"/>
    </row>
    <row r="32691">
      <c r="P32691" s="42"/>
      <c r="AB32691" s="38"/>
    </row>
    <row r="32692">
      <c r="P32692" s="42"/>
      <c r="AB32692" s="38"/>
    </row>
    <row r="32693">
      <c r="P32693" s="42"/>
      <c r="AB32693" s="38"/>
    </row>
    <row r="32694">
      <c r="P32694" s="42"/>
      <c r="AB32694" s="38"/>
    </row>
    <row r="32695">
      <c r="P32695" s="42"/>
      <c r="AB32695" s="38"/>
    </row>
    <row r="32696">
      <c r="P32696" s="42"/>
      <c r="AB32696" s="38"/>
    </row>
    <row r="32697">
      <c r="P32697" s="42"/>
      <c r="AB32697" s="38"/>
    </row>
    <row r="32698">
      <c r="P32698" s="42"/>
      <c r="AB32698" s="38"/>
    </row>
    <row r="32699">
      <c r="P32699" s="42"/>
      <c r="AB32699" s="38"/>
    </row>
    <row r="32700">
      <c r="P32700" s="42"/>
      <c r="AB32700" s="38"/>
    </row>
    <row r="32701">
      <c r="P32701" s="42"/>
      <c r="AB32701" s="38"/>
    </row>
    <row r="32702">
      <c r="P32702" s="42"/>
      <c r="AB32702" s="38"/>
    </row>
    <row r="32703">
      <c r="P32703" s="42"/>
      <c r="AB32703" s="38"/>
    </row>
    <row r="32704">
      <c r="P32704" s="42"/>
      <c r="AB32704" s="38"/>
    </row>
    <row r="32705">
      <c r="P32705" s="42"/>
      <c r="AB32705" s="38"/>
    </row>
    <row r="32706">
      <c r="P32706" s="42"/>
      <c r="AB32706" s="38"/>
    </row>
    <row r="32707">
      <c r="P32707" s="42"/>
      <c r="AB32707" s="38"/>
    </row>
    <row r="32708">
      <c r="P32708" s="42"/>
      <c r="AB32708" s="38"/>
    </row>
    <row r="32709">
      <c r="P32709" s="42"/>
      <c r="AB32709" s="38"/>
    </row>
    <row r="32710">
      <c r="P32710" s="42"/>
      <c r="AB32710" s="38"/>
    </row>
    <row r="32711">
      <c r="P32711" s="42"/>
      <c r="AB32711" s="38"/>
    </row>
    <row r="32712">
      <c r="P32712" s="42"/>
      <c r="AB32712" s="38"/>
    </row>
    <row r="32713">
      <c r="P32713" s="42"/>
      <c r="AB32713" s="38"/>
    </row>
    <row r="32714">
      <c r="P32714" s="42"/>
      <c r="AB32714" s="38"/>
    </row>
    <row r="32715">
      <c r="P32715" s="42"/>
      <c r="AB32715" s="38"/>
    </row>
    <row r="32716">
      <c r="P32716" s="42"/>
      <c r="AB32716" s="38"/>
    </row>
    <row r="32717">
      <c r="P32717" s="42"/>
      <c r="AB32717" s="38"/>
    </row>
    <row r="32718">
      <c r="P32718" s="42"/>
      <c r="AB32718" s="38"/>
    </row>
    <row r="32719">
      <c r="P32719" s="42"/>
      <c r="AB32719" s="38"/>
    </row>
    <row r="32720">
      <c r="P32720" s="42"/>
      <c r="AB32720" s="38"/>
    </row>
    <row r="32721">
      <c r="P32721" s="42"/>
      <c r="AB32721" s="38"/>
    </row>
    <row r="32722">
      <c r="P32722" s="42"/>
      <c r="AB32722" s="38"/>
    </row>
    <row r="32723">
      <c r="P32723" s="42"/>
      <c r="AB32723" s="38"/>
    </row>
    <row r="32724">
      <c r="P32724" s="42"/>
      <c r="AB32724" s="38"/>
    </row>
    <row r="32725">
      <c r="P32725" s="42"/>
      <c r="AB32725" s="38"/>
    </row>
    <row r="32726">
      <c r="P32726" s="42"/>
      <c r="AB32726" s="38"/>
    </row>
    <row r="32727">
      <c r="P32727" s="42"/>
      <c r="AB32727" s="38"/>
    </row>
    <row r="32728">
      <c r="P32728" s="42"/>
      <c r="AB32728" s="38"/>
    </row>
    <row r="32729">
      <c r="P32729" s="42"/>
      <c r="AB32729" s="38"/>
    </row>
    <row r="32730">
      <c r="P32730" s="42"/>
      <c r="AB32730" s="38"/>
    </row>
    <row r="32731">
      <c r="P32731" s="42"/>
      <c r="AB32731" s="38"/>
    </row>
    <row r="32732">
      <c r="P32732" s="42"/>
      <c r="AB32732" s="38"/>
    </row>
    <row r="32733">
      <c r="P32733" s="42"/>
      <c r="AB32733" s="38"/>
    </row>
    <row r="32734">
      <c r="P32734" s="42"/>
      <c r="AB32734" s="38"/>
    </row>
    <row r="32735">
      <c r="P32735" s="42"/>
      <c r="AB32735" s="38"/>
    </row>
    <row r="32736">
      <c r="P32736" s="42"/>
      <c r="AB32736" s="38"/>
    </row>
    <row r="32737">
      <c r="P32737" s="42"/>
      <c r="AB32737" s="38"/>
    </row>
    <row r="32738">
      <c r="P32738" s="42"/>
      <c r="AB32738" s="38"/>
    </row>
    <row r="32739">
      <c r="P32739" s="42"/>
      <c r="AB32739" s="38"/>
    </row>
    <row r="32740">
      <c r="P32740" s="42"/>
      <c r="AB32740" s="38"/>
    </row>
    <row r="32741">
      <c r="P32741" s="42"/>
      <c r="AB32741" s="38"/>
    </row>
    <row r="32742">
      <c r="P32742" s="42"/>
      <c r="AB32742" s="38"/>
    </row>
    <row r="32743">
      <c r="P32743" s="42"/>
      <c r="AB32743" s="38"/>
    </row>
    <row r="32744">
      <c r="P32744" s="42"/>
      <c r="AB32744" s="38"/>
    </row>
    <row r="32745">
      <c r="P32745" s="42"/>
      <c r="AB32745" s="38"/>
    </row>
    <row r="32746">
      <c r="P32746" s="42"/>
      <c r="AB32746" s="38"/>
    </row>
    <row r="32747">
      <c r="P32747" s="42"/>
      <c r="AB32747" s="38"/>
    </row>
    <row r="32748">
      <c r="P32748" s="42"/>
      <c r="AB32748" s="38"/>
    </row>
    <row r="32749">
      <c r="P32749" s="42"/>
      <c r="AB32749" s="38"/>
    </row>
    <row r="32750">
      <c r="P32750" s="42"/>
      <c r="AB32750" s="38"/>
    </row>
    <row r="32751">
      <c r="P32751" s="42"/>
      <c r="AB32751" s="38"/>
    </row>
    <row r="32752">
      <c r="P32752" s="42"/>
      <c r="AB32752" s="38"/>
    </row>
    <row r="32753">
      <c r="P32753" s="42"/>
      <c r="AB32753" s="38"/>
    </row>
    <row r="32754">
      <c r="P32754" s="42"/>
      <c r="AB32754" s="38"/>
    </row>
    <row r="32755">
      <c r="P32755" s="42"/>
      <c r="AB32755" s="38"/>
    </row>
    <row r="32756">
      <c r="P32756" s="42"/>
      <c r="AB32756" s="38"/>
    </row>
    <row r="32757">
      <c r="P32757" s="42"/>
      <c r="AB32757" s="38"/>
    </row>
    <row r="32758">
      <c r="P32758" s="42"/>
      <c r="AB32758" s="38"/>
    </row>
    <row r="32759">
      <c r="P32759" s="42"/>
      <c r="AB32759" s="38"/>
    </row>
    <row r="32760">
      <c r="P32760" s="42"/>
      <c r="AB32760" s="38"/>
    </row>
    <row r="32761">
      <c r="P32761" s="42"/>
      <c r="AB32761" s="38"/>
    </row>
    <row r="32762">
      <c r="P32762" s="42"/>
      <c r="AB32762" s="38"/>
    </row>
    <row r="32763">
      <c r="P32763" s="42"/>
      <c r="AB32763" s="38"/>
    </row>
    <row r="32764">
      <c r="P32764" s="42"/>
      <c r="AB32764" s="38"/>
    </row>
    <row r="32765">
      <c r="P32765" s="42"/>
      <c r="AB32765" s="38"/>
    </row>
    <row r="32766">
      <c r="P32766" s="42"/>
      <c r="AB32766" s="38"/>
    </row>
    <row r="32767">
      <c r="P32767" s="42"/>
      <c r="AB32767" s="38"/>
    </row>
    <row r="32768">
      <c r="P32768" s="42"/>
      <c r="AB32768" s="38"/>
    </row>
    <row r="32769">
      <c r="P32769" s="42"/>
      <c r="AB32769" s="38"/>
    </row>
    <row r="32770">
      <c r="P32770" s="42"/>
      <c r="AB32770" s="38"/>
    </row>
    <row r="32771">
      <c r="P32771" s="42"/>
      <c r="AB32771" s="38"/>
    </row>
    <row r="32772">
      <c r="P32772" s="42"/>
      <c r="AB32772" s="38"/>
    </row>
    <row r="32773">
      <c r="P32773" s="42"/>
      <c r="AB32773" s="38"/>
    </row>
    <row r="32774">
      <c r="P32774" s="42"/>
      <c r="AB32774" s="38"/>
    </row>
    <row r="32775">
      <c r="P32775" s="42"/>
      <c r="AB32775" s="38"/>
    </row>
    <row r="32776">
      <c r="P32776" s="42"/>
      <c r="AB32776" s="38"/>
    </row>
    <row r="32777">
      <c r="P32777" s="42"/>
      <c r="AB32777" s="38"/>
    </row>
    <row r="32778">
      <c r="P32778" s="42"/>
      <c r="AB32778" s="38"/>
    </row>
    <row r="32779">
      <c r="P32779" s="42"/>
      <c r="AB32779" s="38"/>
    </row>
    <row r="32780">
      <c r="P32780" s="42"/>
      <c r="AB32780" s="38"/>
    </row>
    <row r="32781">
      <c r="P32781" s="42"/>
      <c r="AB32781" s="38"/>
    </row>
    <row r="32782">
      <c r="P32782" s="42"/>
      <c r="AB32782" s="38"/>
    </row>
    <row r="32783">
      <c r="P32783" s="42"/>
      <c r="AB32783" s="38"/>
    </row>
    <row r="32784">
      <c r="P32784" s="42"/>
      <c r="AB32784" s="38"/>
    </row>
    <row r="32785">
      <c r="P32785" s="42"/>
      <c r="AB32785" s="38"/>
    </row>
    <row r="32786">
      <c r="P32786" s="42"/>
      <c r="AB32786" s="38"/>
    </row>
    <row r="32787">
      <c r="P32787" s="42"/>
      <c r="AB32787" s="38"/>
    </row>
    <row r="32788">
      <c r="P32788" s="42"/>
      <c r="AB32788" s="38"/>
    </row>
    <row r="32789">
      <c r="P32789" s="42"/>
      <c r="AB32789" s="38"/>
    </row>
    <row r="32790">
      <c r="P32790" s="42"/>
      <c r="AB32790" s="38"/>
    </row>
    <row r="32791">
      <c r="P32791" s="42"/>
      <c r="AB32791" s="38"/>
    </row>
    <row r="32792">
      <c r="P32792" s="42"/>
      <c r="AB32792" s="38"/>
    </row>
    <row r="32793">
      <c r="P32793" s="42"/>
      <c r="AB32793" s="38"/>
    </row>
    <row r="32794">
      <c r="P32794" s="42"/>
      <c r="AB32794" s="38"/>
    </row>
    <row r="32795">
      <c r="P32795" s="42"/>
      <c r="AB32795" s="38"/>
    </row>
    <row r="32796">
      <c r="P32796" s="42"/>
      <c r="AB32796" s="38"/>
    </row>
    <row r="32797">
      <c r="P32797" s="42"/>
      <c r="AB32797" s="38"/>
    </row>
    <row r="32798">
      <c r="P32798" s="42"/>
      <c r="AB32798" s="38"/>
    </row>
    <row r="32799">
      <c r="P32799" s="42"/>
      <c r="AB32799" s="38"/>
    </row>
    <row r="32800">
      <c r="P32800" s="42"/>
      <c r="AB32800" s="38"/>
    </row>
    <row r="32801">
      <c r="P32801" s="42"/>
      <c r="AB32801" s="38"/>
    </row>
    <row r="32802">
      <c r="P32802" s="42"/>
      <c r="AB32802" s="38"/>
    </row>
    <row r="32803">
      <c r="P32803" s="42"/>
      <c r="AB32803" s="38"/>
    </row>
    <row r="32804">
      <c r="P32804" s="42"/>
      <c r="AB32804" s="38"/>
    </row>
    <row r="32805">
      <c r="P32805" s="42"/>
      <c r="AB32805" s="38"/>
    </row>
    <row r="32806">
      <c r="P32806" s="42"/>
      <c r="AB32806" s="38"/>
    </row>
    <row r="32807">
      <c r="P32807" s="42"/>
      <c r="AB32807" s="38"/>
    </row>
    <row r="32808">
      <c r="P32808" s="42"/>
      <c r="AB32808" s="38"/>
    </row>
    <row r="32809">
      <c r="P32809" s="42"/>
      <c r="AB32809" s="38"/>
    </row>
    <row r="32810">
      <c r="P32810" s="42"/>
      <c r="AB32810" s="38"/>
    </row>
    <row r="32811">
      <c r="P32811" s="42"/>
      <c r="AB32811" s="38"/>
    </row>
    <row r="32812">
      <c r="P32812" s="42"/>
      <c r="AB32812" s="38"/>
    </row>
    <row r="32813">
      <c r="P32813" s="42"/>
      <c r="AB32813" s="38"/>
    </row>
    <row r="32814">
      <c r="P32814" s="42"/>
      <c r="AB32814" s="38"/>
    </row>
    <row r="32815">
      <c r="P32815" s="42"/>
      <c r="AB32815" s="38"/>
    </row>
    <row r="32816">
      <c r="P32816" s="42"/>
      <c r="AB32816" s="38"/>
    </row>
    <row r="32817">
      <c r="P32817" s="42"/>
      <c r="AB32817" s="38"/>
    </row>
    <row r="32818">
      <c r="P32818" s="42"/>
      <c r="AB32818" s="38"/>
    </row>
    <row r="32819">
      <c r="P32819" s="42"/>
      <c r="AB32819" s="38"/>
    </row>
    <row r="32820">
      <c r="P32820" s="42"/>
      <c r="AB32820" s="38"/>
    </row>
    <row r="32821">
      <c r="P32821" s="42"/>
      <c r="AB32821" s="38"/>
    </row>
    <row r="32822">
      <c r="P32822" s="42"/>
      <c r="AB32822" s="38"/>
    </row>
    <row r="32823">
      <c r="P32823" s="42"/>
      <c r="AB32823" s="38"/>
    </row>
    <row r="32824">
      <c r="P32824" s="42"/>
      <c r="AB32824" s="38"/>
    </row>
    <row r="32825">
      <c r="P32825" s="42"/>
      <c r="AB32825" s="38"/>
    </row>
    <row r="32826">
      <c r="P32826" s="42"/>
      <c r="AB32826" s="38"/>
    </row>
    <row r="32827">
      <c r="P32827" s="42"/>
      <c r="AB32827" s="38"/>
    </row>
    <row r="32828">
      <c r="P32828" s="42"/>
      <c r="AB32828" s="38"/>
    </row>
    <row r="32829">
      <c r="P32829" s="42"/>
      <c r="AB32829" s="38"/>
    </row>
    <row r="32830">
      <c r="P32830" s="42"/>
      <c r="AB32830" s="38"/>
    </row>
    <row r="32831">
      <c r="P32831" s="42"/>
      <c r="AB32831" s="38"/>
    </row>
    <row r="32832">
      <c r="P32832" s="42"/>
      <c r="AB32832" s="38"/>
    </row>
    <row r="32833">
      <c r="P32833" s="42"/>
      <c r="AB32833" s="38"/>
    </row>
    <row r="32834">
      <c r="P32834" s="42"/>
      <c r="AB32834" s="38"/>
    </row>
    <row r="32835">
      <c r="P32835" s="42"/>
      <c r="AB32835" s="38"/>
    </row>
    <row r="32836">
      <c r="P32836" s="42"/>
      <c r="AB32836" s="38"/>
    </row>
    <row r="32837">
      <c r="P32837" s="42"/>
      <c r="AB32837" s="38"/>
    </row>
    <row r="32838">
      <c r="P32838" s="42"/>
      <c r="AB32838" s="38"/>
    </row>
    <row r="32839">
      <c r="P32839" s="42"/>
      <c r="AB32839" s="38"/>
    </row>
    <row r="32840">
      <c r="P32840" s="42"/>
      <c r="AB32840" s="38"/>
    </row>
    <row r="32841">
      <c r="P32841" s="42"/>
      <c r="AB32841" s="38"/>
    </row>
    <row r="32842">
      <c r="P32842" s="42"/>
      <c r="AB32842" s="38"/>
    </row>
    <row r="32843">
      <c r="P32843" s="42"/>
      <c r="AB32843" s="38"/>
    </row>
    <row r="32844">
      <c r="P32844" s="42"/>
      <c r="AB32844" s="38"/>
    </row>
    <row r="32845">
      <c r="P32845" s="42"/>
      <c r="AB32845" s="38"/>
    </row>
    <row r="32846">
      <c r="P32846" s="42"/>
      <c r="AB32846" s="38"/>
    </row>
    <row r="32847">
      <c r="P32847" s="42"/>
      <c r="AB32847" s="38"/>
    </row>
    <row r="32848">
      <c r="P32848" s="42"/>
      <c r="AB32848" s="38"/>
    </row>
    <row r="32849">
      <c r="P32849" s="42"/>
      <c r="AB32849" s="38"/>
    </row>
    <row r="32850">
      <c r="P32850" s="42"/>
      <c r="AB32850" s="38"/>
    </row>
    <row r="32851">
      <c r="P32851" s="42"/>
      <c r="AB32851" s="38"/>
    </row>
    <row r="32852">
      <c r="P32852" s="42"/>
      <c r="AB32852" s="38"/>
    </row>
    <row r="32853">
      <c r="P32853" s="42"/>
      <c r="AB32853" s="38"/>
    </row>
    <row r="32854">
      <c r="P32854" s="42"/>
      <c r="AB32854" s="38"/>
    </row>
    <row r="32855">
      <c r="P32855" s="42"/>
      <c r="AB32855" s="38"/>
    </row>
    <row r="32856">
      <c r="P32856" s="42"/>
      <c r="AB32856" s="38"/>
    </row>
    <row r="32857">
      <c r="P32857" s="42"/>
      <c r="AB32857" s="38"/>
    </row>
    <row r="32858">
      <c r="P32858" s="42"/>
      <c r="AB32858" s="38"/>
    </row>
    <row r="32859">
      <c r="P32859" s="42"/>
      <c r="AB32859" s="38"/>
    </row>
    <row r="32860">
      <c r="P32860" s="42"/>
      <c r="AB32860" s="38"/>
    </row>
    <row r="32861">
      <c r="P32861" s="42"/>
      <c r="AB32861" s="38"/>
    </row>
    <row r="32862">
      <c r="P32862" s="42"/>
      <c r="AB32862" s="38"/>
    </row>
    <row r="32863">
      <c r="P32863" s="42"/>
      <c r="AB32863" s="38"/>
    </row>
    <row r="32864">
      <c r="P32864" s="42"/>
      <c r="AB32864" s="38"/>
    </row>
    <row r="32865">
      <c r="P32865" s="42"/>
      <c r="AB32865" s="38"/>
    </row>
    <row r="32866">
      <c r="P32866" s="42"/>
      <c r="AB32866" s="38"/>
    </row>
    <row r="32867">
      <c r="P32867" s="42"/>
      <c r="AB32867" s="38"/>
    </row>
    <row r="32868">
      <c r="P32868" s="42"/>
      <c r="AB32868" s="38"/>
    </row>
    <row r="32869">
      <c r="P32869" s="42"/>
      <c r="AB32869" s="38"/>
    </row>
    <row r="32870">
      <c r="P32870" s="42"/>
      <c r="AB32870" s="38"/>
    </row>
    <row r="32871">
      <c r="P32871" s="42"/>
      <c r="AB32871" s="38"/>
    </row>
    <row r="32872">
      <c r="P32872" s="42"/>
      <c r="AB32872" s="38"/>
    </row>
    <row r="32873">
      <c r="P32873" s="42"/>
      <c r="AB32873" s="38"/>
    </row>
    <row r="32874">
      <c r="P32874" s="42"/>
      <c r="AB32874" s="38"/>
    </row>
    <row r="32875">
      <c r="P32875" s="42"/>
      <c r="AB32875" s="38"/>
    </row>
    <row r="32876">
      <c r="P32876" s="42"/>
      <c r="AB32876" s="38"/>
    </row>
    <row r="32877">
      <c r="P32877" s="42"/>
      <c r="AB32877" s="38"/>
    </row>
    <row r="32878">
      <c r="P32878" s="42"/>
      <c r="AB32878" s="38"/>
    </row>
    <row r="32879">
      <c r="P32879" s="42"/>
      <c r="AB32879" s="38"/>
    </row>
    <row r="32880">
      <c r="P32880" s="42"/>
      <c r="AB32880" s="38"/>
    </row>
    <row r="32881">
      <c r="P32881" s="42"/>
      <c r="AB32881" s="38"/>
    </row>
    <row r="32882">
      <c r="P32882" s="42"/>
      <c r="AB32882" s="38"/>
    </row>
    <row r="32883">
      <c r="P32883" s="42"/>
      <c r="AB32883" s="38"/>
    </row>
    <row r="32884">
      <c r="P32884" s="42"/>
      <c r="AB32884" s="38"/>
    </row>
    <row r="32885">
      <c r="P32885" s="42"/>
      <c r="AB32885" s="38"/>
    </row>
    <row r="32886">
      <c r="P32886" s="42"/>
      <c r="AB32886" s="38"/>
    </row>
    <row r="32887">
      <c r="P32887" s="42"/>
      <c r="AB32887" s="38"/>
    </row>
    <row r="32888">
      <c r="P32888" s="42"/>
      <c r="AB32888" s="38"/>
    </row>
    <row r="32889">
      <c r="P32889" s="42"/>
      <c r="AB32889" s="38"/>
    </row>
    <row r="32890">
      <c r="P32890" s="42"/>
      <c r="AB32890" s="38"/>
    </row>
    <row r="32891">
      <c r="P32891" s="42"/>
      <c r="AB32891" s="38"/>
    </row>
    <row r="32892">
      <c r="P32892" s="42"/>
      <c r="AB32892" s="38"/>
    </row>
    <row r="32893">
      <c r="P32893" s="42"/>
      <c r="AB32893" s="38"/>
    </row>
    <row r="32894">
      <c r="P32894" s="42"/>
      <c r="AB32894" s="38"/>
    </row>
    <row r="32895">
      <c r="P32895" s="42"/>
      <c r="AB32895" s="38"/>
    </row>
    <row r="32896">
      <c r="P32896" s="42"/>
      <c r="AB32896" s="38"/>
    </row>
    <row r="32897">
      <c r="P32897" s="42"/>
      <c r="AB32897" s="38"/>
    </row>
    <row r="32898">
      <c r="P32898" s="42"/>
      <c r="AB32898" s="38"/>
    </row>
    <row r="32899">
      <c r="P32899" s="42"/>
      <c r="AB32899" s="38"/>
    </row>
    <row r="32900">
      <c r="P32900" s="42"/>
      <c r="AB32900" s="38"/>
    </row>
    <row r="32901">
      <c r="P32901" s="42"/>
      <c r="AB32901" s="38"/>
    </row>
    <row r="32902">
      <c r="P32902" s="42"/>
      <c r="AB32902" s="38"/>
    </row>
    <row r="32903">
      <c r="P32903" s="42"/>
      <c r="AB32903" s="38"/>
    </row>
    <row r="32904">
      <c r="P32904" s="42"/>
      <c r="AB32904" s="38"/>
    </row>
    <row r="32905">
      <c r="P32905" s="42"/>
      <c r="AB32905" s="38"/>
    </row>
    <row r="32906">
      <c r="P32906" s="42"/>
      <c r="AB32906" s="38"/>
    </row>
    <row r="32907">
      <c r="P32907" s="42"/>
      <c r="AB32907" s="38"/>
    </row>
    <row r="32908">
      <c r="P32908" s="42"/>
      <c r="AB32908" s="38"/>
    </row>
    <row r="32909">
      <c r="P32909" s="42"/>
      <c r="AB32909" s="38"/>
    </row>
    <row r="32910">
      <c r="P32910" s="42"/>
      <c r="AB32910" s="38"/>
    </row>
    <row r="32911">
      <c r="P32911" s="42"/>
      <c r="AB32911" s="38"/>
    </row>
    <row r="32912">
      <c r="P32912" s="42"/>
      <c r="AB32912" s="38"/>
    </row>
    <row r="32913">
      <c r="P32913" s="42"/>
      <c r="AB32913" s="38"/>
    </row>
    <row r="32914">
      <c r="P32914" s="42"/>
      <c r="AB32914" s="38"/>
    </row>
    <row r="32915">
      <c r="P32915" s="42"/>
      <c r="AB32915" s="38"/>
    </row>
    <row r="32916">
      <c r="P32916" s="42"/>
      <c r="AB32916" s="38"/>
    </row>
    <row r="32917">
      <c r="P32917" s="42"/>
      <c r="AB32917" s="38"/>
    </row>
    <row r="32918">
      <c r="P32918" s="42"/>
      <c r="AB32918" s="38"/>
    </row>
    <row r="32919">
      <c r="P32919" s="42"/>
      <c r="AB32919" s="38"/>
    </row>
    <row r="32920">
      <c r="P32920" s="42"/>
      <c r="AB32920" s="38"/>
    </row>
    <row r="32921">
      <c r="P32921" s="42"/>
      <c r="AB32921" s="38"/>
    </row>
    <row r="32922">
      <c r="P32922" s="42"/>
      <c r="AB32922" s="38"/>
    </row>
    <row r="32923">
      <c r="P32923" s="42"/>
      <c r="AB32923" s="38"/>
    </row>
    <row r="32924">
      <c r="P32924" s="42"/>
      <c r="AB32924" s="38"/>
    </row>
    <row r="32925">
      <c r="P32925" s="42"/>
      <c r="AB32925" s="38"/>
    </row>
    <row r="32926">
      <c r="P32926" s="42"/>
      <c r="AB32926" s="38"/>
    </row>
    <row r="32927">
      <c r="P32927" s="42"/>
      <c r="AB32927" s="38"/>
    </row>
    <row r="32928">
      <c r="P32928" s="42"/>
      <c r="AB32928" s="38"/>
    </row>
    <row r="32929">
      <c r="P32929" s="42"/>
      <c r="AB32929" s="38"/>
    </row>
    <row r="32930">
      <c r="P32930" s="42"/>
      <c r="AB32930" s="38"/>
    </row>
    <row r="32931">
      <c r="P32931" s="42"/>
      <c r="AB32931" s="38"/>
    </row>
    <row r="32932">
      <c r="P32932" s="42"/>
      <c r="AB32932" s="38"/>
    </row>
    <row r="32933">
      <c r="P32933" s="42"/>
      <c r="AB32933" s="38"/>
    </row>
    <row r="32934">
      <c r="P32934" s="42"/>
      <c r="AB32934" s="38"/>
    </row>
    <row r="32935">
      <c r="P32935" s="42"/>
      <c r="AB32935" s="38"/>
    </row>
    <row r="32936">
      <c r="P32936" s="42"/>
      <c r="AB32936" s="38"/>
    </row>
    <row r="32937">
      <c r="P32937" s="42"/>
      <c r="AB32937" s="38"/>
    </row>
    <row r="32938">
      <c r="P32938" s="42"/>
      <c r="AB32938" s="38"/>
    </row>
    <row r="32939">
      <c r="P32939" s="42"/>
      <c r="AB32939" s="38"/>
    </row>
    <row r="32940">
      <c r="P32940" s="42"/>
      <c r="AB32940" s="38"/>
    </row>
    <row r="32941">
      <c r="P32941" s="42"/>
      <c r="AB32941" s="38"/>
    </row>
    <row r="32942">
      <c r="P32942" s="42"/>
      <c r="AB32942" s="38"/>
    </row>
    <row r="32943">
      <c r="P32943" s="42"/>
      <c r="AB32943" s="38"/>
    </row>
    <row r="32944">
      <c r="P32944" s="42"/>
      <c r="AB32944" s="38"/>
    </row>
    <row r="32945">
      <c r="P32945" s="42"/>
      <c r="AB32945" s="38"/>
    </row>
    <row r="32946">
      <c r="P32946" s="42"/>
      <c r="AB32946" s="38"/>
    </row>
    <row r="32947">
      <c r="P32947" s="42"/>
      <c r="AB32947" s="38"/>
    </row>
    <row r="32948">
      <c r="P32948" s="42"/>
      <c r="AB32948" s="38"/>
    </row>
    <row r="32949">
      <c r="P32949" s="42"/>
      <c r="AB32949" s="38"/>
    </row>
    <row r="32950">
      <c r="P32950" s="42"/>
      <c r="AB32950" s="38"/>
    </row>
    <row r="32951">
      <c r="P32951" s="42"/>
      <c r="AB32951" s="38"/>
    </row>
    <row r="32952">
      <c r="P32952" s="42"/>
      <c r="AB32952" s="38"/>
    </row>
    <row r="32953">
      <c r="P32953" s="42"/>
      <c r="AB32953" s="38"/>
    </row>
    <row r="32954">
      <c r="P32954" s="42"/>
      <c r="AB32954" s="38"/>
    </row>
    <row r="32955">
      <c r="P32955" s="42"/>
      <c r="AB32955" s="38"/>
    </row>
    <row r="32956">
      <c r="P32956" s="42"/>
      <c r="AB32956" s="38"/>
    </row>
    <row r="32957">
      <c r="P32957" s="42"/>
      <c r="AB32957" s="38"/>
    </row>
    <row r="32958">
      <c r="P32958" s="42"/>
      <c r="AB32958" s="38"/>
    </row>
    <row r="32959">
      <c r="P32959" s="42"/>
      <c r="AB32959" s="38"/>
    </row>
    <row r="32960">
      <c r="P32960" s="42"/>
      <c r="AB32960" s="38"/>
    </row>
    <row r="32961">
      <c r="P32961" s="42"/>
      <c r="AB32961" s="38"/>
    </row>
    <row r="32962">
      <c r="P32962" s="42"/>
      <c r="AB32962" s="38"/>
    </row>
    <row r="32963">
      <c r="P32963" s="42"/>
      <c r="AB32963" s="38"/>
    </row>
    <row r="32964">
      <c r="P32964" s="42"/>
      <c r="AB32964" s="38"/>
    </row>
    <row r="32965">
      <c r="P32965" s="42"/>
      <c r="AB32965" s="38"/>
    </row>
    <row r="32966">
      <c r="P32966" s="42"/>
      <c r="AB32966" s="38"/>
    </row>
    <row r="32967">
      <c r="P32967" s="42"/>
      <c r="AB32967" s="38"/>
    </row>
    <row r="32968">
      <c r="P32968" s="42"/>
      <c r="AB32968" s="38"/>
    </row>
    <row r="32969">
      <c r="P32969" s="42"/>
      <c r="AB32969" s="38"/>
    </row>
    <row r="32970">
      <c r="P32970" s="42"/>
      <c r="AB32970" s="38"/>
    </row>
    <row r="32971">
      <c r="P32971" s="42"/>
      <c r="AB32971" s="38"/>
    </row>
    <row r="32972">
      <c r="P32972" s="42"/>
      <c r="AB32972" s="38"/>
    </row>
    <row r="32973">
      <c r="P32973" s="42"/>
      <c r="AB32973" s="38"/>
    </row>
    <row r="32974">
      <c r="P32974" s="42"/>
      <c r="AB32974" s="38"/>
    </row>
    <row r="32975">
      <c r="P32975" s="42"/>
      <c r="AB32975" s="38"/>
    </row>
    <row r="32976">
      <c r="P32976" s="42"/>
      <c r="AB32976" s="38"/>
    </row>
    <row r="32977">
      <c r="P32977" s="42"/>
      <c r="AB32977" s="38"/>
    </row>
    <row r="32978">
      <c r="P32978" s="42"/>
      <c r="AB32978" s="38"/>
    </row>
    <row r="32979">
      <c r="P32979" s="42"/>
      <c r="AB32979" s="38"/>
    </row>
    <row r="32980">
      <c r="P32980" s="42"/>
      <c r="AB32980" s="38"/>
    </row>
    <row r="32981">
      <c r="P32981" s="42"/>
      <c r="AB32981" s="38"/>
    </row>
    <row r="32982">
      <c r="P32982" s="42"/>
      <c r="AB32982" s="38"/>
    </row>
    <row r="32983">
      <c r="P32983" s="42"/>
      <c r="AB32983" s="38"/>
    </row>
    <row r="32984">
      <c r="P32984" s="42"/>
      <c r="AB32984" s="38"/>
    </row>
    <row r="32985">
      <c r="P32985" s="42"/>
      <c r="AB32985" s="38"/>
    </row>
    <row r="32986">
      <c r="P32986" s="42"/>
      <c r="AB32986" s="38"/>
    </row>
    <row r="32987">
      <c r="P32987" s="42"/>
      <c r="AB32987" s="38"/>
    </row>
    <row r="32988">
      <c r="P32988" s="42"/>
      <c r="AB32988" s="38"/>
    </row>
    <row r="32989">
      <c r="P32989" s="42"/>
      <c r="AB32989" s="38"/>
    </row>
    <row r="32990">
      <c r="P32990" s="42"/>
      <c r="AB32990" s="38"/>
    </row>
    <row r="32991">
      <c r="P32991" s="42"/>
      <c r="AB32991" s="38"/>
    </row>
    <row r="32992">
      <c r="P32992" s="42"/>
      <c r="AB32992" s="38"/>
    </row>
    <row r="32993">
      <c r="P32993" s="42"/>
      <c r="AB32993" s="38"/>
    </row>
    <row r="32994">
      <c r="P32994" s="42"/>
      <c r="AB32994" s="38"/>
    </row>
    <row r="32995">
      <c r="P32995" s="42"/>
      <c r="AB32995" s="38"/>
    </row>
    <row r="32996">
      <c r="P32996" s="42"/>
      <c r="AB32996" s="38"/>
    </row>
    <row r="32997">
      <c r="P32997" s="42"/>
      <c r="AB32997" s="38"/>
    </row>
    <row r="32998">
      <c r="P32998" s="42"/>
      <c r="AB32998" s="38"/>
    </row>
    <row r="32999">
      <c r="P32999" s="42"/>
      <c r="AB32999" s="38"/>
    </row>
    <row r="33000">
      <c r="P33000" s="42"/>
      <c r="AB33000" s="38"/>
    </row>
    <row r="33001">
      <c r="P33001" s="42"/>
      <c r="AB33001" s="38"/>
    </row>
    <row r="33002">
      <c r="P33002" s="42"/>
      <c r="AB33002" s="38"/>
    </row>
    <row r="33003">
      <c r="P33003" s="42"/>
      <c r="AB33003" s="38"/>
    </row>
    <row r="33004">
      <c r="P33004" s="42"/>
      <c r="AB33004" s="38"/>
    </row>
    <row r="33005">
      <c r="P33005" s="42"/>
      <c r="AB33005" s="38"/>
    </row>
    <row r="33006">
      <c r="P33006" s="42"/>
      <c r="AB33006" s="38"/>
    </row>
    <row r="33007">
      <c r="P33007" s="42"/>
      <c r="AB33007" s="38"/>
    </row>
    <row r="33008">
      <c r="P33008" s="42"/>
      <c r="AB33008" s="38"/>
    </row>
    <row r="33009">
      <c r="P33009" s="42"/>
      <c r="AB33009" s="38"/>
    </row>
    <row r="33010">
      <c r="P33010" s="42"/>
      <c r="AB33010" s="38"/>
    </row>
    <row r="33011">
      <c r="P33011" s="42"/>
      <c r="AB33011" s="38"/>
    </row>
    <row r="33012">
      <c r="P33012" s="42"/>
      <c r="AB33012" s="38"/>
    </row>
    <row r="33013">
      <c r="P33013" s="42"/>
      <c r="AB33013" s="38"/>
    </row>
    <row r="33014">
      <c r="P33014" s="42"/>
      <c r="AB33014" s="38"/>
    </row>
    <row r="33015">
      <c r="P33015" s="42"/>
      <c r="AB33015" s="38"/>
    </row>
    <row r="33016">
      <c r="P33016" s="42"/>
      <c r="AB33016" s="38"/>
    </row>
    <row r="33017">
      <c r="P33017" s="42"/>
      <c r="AB33017" s="38"/>
    </row>
    <row r="33018">
      <c r="P33018" s="42"/>
      <c r="AB33018" s="38"/>
    </row>
    <row r="33019">
      <c r="P33019" s="42"/>
      <c r="AB33019" s="38"/>
    </row>
    <row r="33020">
      <c r="P33020" s="42"/>
      <c r="AB33020" s="38"/>
    </row>
    <row r="33021">
      <c r="P33021" s="42"/>
      <c r="AB33021" s="38"/>
    </row>
    <row r="33022">
      <c r="P33022" s="42"/>
      <c r="AB33022" s="38"/>
    </row>
    <row r="33023">
      <c r="P33023" s="42"/>
      <c r="AB33023" s="38"/>
    </row>
    <row r="33024">
      <c r="P33024" s="42"/>
      <c r="AB33024" s="38"/>
    </row>
    <row r="33025">
      <c r="P33025" s="42"/>
      <c r="AB33025" s="38"/>
    </row>
    <row r="33026">
      <c r="P33026" s="42"/>
      <c r="AB33026" s="38"/>
    </row>
    <row r="33027">
      <c r="P33027" s="42"/>
      <c r="AB33027" s="38"/>
    </row>
    <row r="33028">
      <c r="P33028" s="42"/>
      <c r="AB33028" s="38"/>
    </row>
    <row r="33029">
      <c r="P33029" s="42"/>
      <c r="AB33029" s="38"/>
    </row>
    <row r="33030">
      <c r="P33030" s="42"/>
      <c r="AB33030" s="38"/>
    </row>
    <row r="33031">
      <c r="P33031" s="42"/>
      <c r="AB33031" s="38"/>
    </row>
    <row r="33032">
      <c r="P33032" s="42"/>
      <c r="AB33032" s="38"/>
    </row>
    <row r="33033">
      <c r="P33033" s="42"/>
      <c r="AB33033" s="38"/>
    </row>
    <row r="33034">
      <c r="P33034" s="42"/>
      <c r="AB33034" s="38"/>
    </row>
    <row r="33035">
      <c r="P33035" s="42"/>
      <c r="AB33035" s="38"/>
    </row>
    <row r="33036">
      <c r="P33036" s="42"/>
      <c r="AB33036" s="38"/>
    </row>
    <row r="33037">
      <c r="P33037" s="42"/>
      <c r="AB33037" s="38"/>
    </row>
    <row r="33038">
      <c r="P33038" s="42"/>
      <c r="AB33038" s="38"/>
    </row>
    <row r="33039">
      <c r="P33039" s="42"/>
      <c r="AB33039" s="38"/>
    </row>
    <row r="33040">
      <c r="P33040" s="42"/>
      <c r="AB33040" s="38"/>
    </row>
    <row r="33041">
      <c r="P33041" s="42"/>
      <c r="AB33041" s="38"/>
    </row>
    <row r="33042">
      <c r="P33042" s="42"/>
      <c r="AB33042" s="38"/>
    </row>
    <row r="33043">
      <c r="P33043" s="42"/>
      <c r="AB33043" s="38"/>
    </row>
    <row r="33044">
      <c r="P33044" s="42"/>
      <c r="AB33044" s="38"/>
    </row>
    <row r="33045">
      <c r="P33045" s="42"/>
      <c r="AB33045" s="38"/>
    </row>
    <row r="33046">
      <c r="P33046" s="42"/>
      <c r="AB33046" s="38"/>
    </row>
    <row r="33047">
      <c r="P33047" s="42"/>
      <c r="AB33047" s="38"/>
    </row>
    <row r="33048">
      <c r="P33048" s="42"/>
      <c r="AB33048" s="38"/>
    </row>
    <row r="33049">
      <c r="P33049" s="42"/>
      <c r="AB33049" s="38"/>
    </row>
    <row r="33050">
      <c r="P33050" s="42"/>
      <c r="AB33050" s="38"/>
    </row>
    <row r="33051">
      <c r="P33051" s="42"/>
      <c r="AB33051" s="38"/>
    </row>
    <row r="33052">
      <c r="P33052" s="42"/>
      <c r="AB33052" s="38"/>
    </row>
    <row r="33053">
      <c r="P33053" s="42"/>
      <c r="AB33053" s="38"/>
    </row>
    <row r="33054">
      <c r="P33054" s="42"/>
      <c r="AB33054" s="38"/>
    </row>
    <row r="33055">
      <c r="P33055" s="42"/>
      <c r="AB33055" s="38"/>
    </row>
    <row r="33056">
      <c r="P33056" s="42"/>
      <c r="AB33056" s="38"/>
    </row>
    <row r="33057">
      <c r="P33057" s="42"/>
      <c r="AB33057" s="38"/>
    </row>
    <row r="33058">
      <c r="P33058" s="42"/>
      <c r="AB33058" s="38"/>
    </row>
    <row r="33059">
      <c r="P33059" s="42"/>
      <c r="AB33059" s="38"/>
    </row>
    <row r="33060">
      <c r="P33060" s="42"/>
      <c r="AB33060" s="38"/>
    </row>
    <row r="33061">
      <c r="P33061" s="42"/>
      <c r="AB33061" s="38"/>
    </row>
    <row r="33062">
      <c r="P33062" s="42"/>
      <c r="AB33062" s="38"/>
    </row>
    <row r="33063">
      <c r="P33063" s="42"/>
      <c r="AB33063" s="38"/>
    </row>
    <row r="33064">
      <c r="P33064" s="42"/>
      <c r="AB33064" s="38"/>
    </row>
    <row r="33065">
      <c r="P33065" s="42"/>
      <c r="AB33065" s="38"/>
    </row>
    <row r="33066">
      <c r="P33066" s="42"/>
      <c r="AB33066" s="38"/>
    </row>
    <row r="33067">
      <c r="P33067" s="42"/>
      <c r="AB33067" s="38"/>
    </row>
    <row r="33068">
      <c r="P33068" s="42"/>
      <c r="AB33068" s="38"/>
    </row>
    <row r="33069">
      <c r="P33069" s="42"/>
      <c r="AB33069" s="38"/>
    </row>
    <row r="33070">
      <c r="P33070" s="42"/>
      <c r="AB33070" s="38"/>
    </row>
    <row r="33071">
      <c r="P33071" s="42"/>
      <c r="AB33071" s="38"/>
    </row>
    <row r="33072">
      <c r="P33072" s="42"/>
      <c r="AB33072" s="38"/>
    </row>
    <row r="33073">
      <c r="P33073" s="42"/>
      <c r="AB33073" s="38"/>
    </row>
    <row r="33074">
      <c r="P33074" s="42"/>
      <c r="AB33074" s="38"/>
    </row>
    <row r="33075">
      <c r="P33075" s="42"/>
      <c r="AB33075" s="38"/>
    </row>
    <row r="33076">
      <c r="P33076" s="42"/>
      <c r="AB33076" s="38"/>
    </row>
    <row r="33077">
      <c r="P33077" s="42"/>
      <c r="AB33077" s="38"/>
    </row>
    <row r="33078">
      <c r="P33078" s="42"/>
      <c r="AB33078" s="38"/>
    </row>
    <row r="33079">
      <c r="P33079" s="42"/>
      <c r="AB33079" s="38"/>
    </row>
    <row r="33080">
      <c r="P33080" s="42"/>
      <c r="AB33080" s="38"/>
    </row>
    <row r="33081">
      <c r="P33081" s="42"/>
      <c r="AB33081" s="38"/>
    </row>
    <row r="33082">
      <c r="P33082" s="42"/>
      <c r="AB33082" s="38"/>
    </row>
    <row r="33083">
      <c r="P33083" s="42"/>
      <c r="AB33083" s="38"/>
    </row>
    <row r="33084">
      <c r="P33084" s="42"/>
      <c r="AB33084" s="38"/>
    </row>
    <row r="33085">
      <c r="P33085" s="42"/>
      <c r="AB33085" s="38"/>
    </row>
    <row r="33086">
      <c r="P33086" s="42"/>
      <c r="AB33086" s="38"/>
    </row>
    <row r="33087">
      <c r="P33087" s="42"/>
      <c r="AB33087" s="38"/>
    </row>
    <row r="33088">
      <c r="P33088" s="42"/>
      <c r="AB33088" s="38"/>
    </row>
    <row r="33089">
      <c r="P33089" s="42"/>
      <c r="AB33089" s="38"/>
    </row>
    <row r="33090">
      <c r="P33090" s="42"/>
      <c r="AB33090" s="38"/>
    </row>
    <row r="33091">
      <c r="P33091" s="42"/>
      <c r="AB33091" s="38"/>
    </row>
    <row r="33092">
      <c r="P33092" s="42"/>
      <c r="AB33092" s="38"/>
    </row>
    <row r="33093">
      <c r="P33093" s="42"/>
      <c r="AB33093" s="38"/>
    </row>
    <row r="33094">
      <c r="P33094" s="42"/>
      <c r="AB33094" s="38"/>
    </row>
    <row r="33095">
      <c r="P33095" s="42"/>
      <c r="AB33095" s="38"/>
    </row>
    <row r="33096">
      <c r="P33096" s="42"/>
      <c r="AB33096" s="38"/>
    </row>
    <row r="33097">
      <c r="P33097" s="42"/>
      <c r="AB33097" s="38"/>
    </row>
    <row r="33098">
      <c r="P33098" s="42"/>
      <c r="AB33098" s="38"/>
    </row>
    <row r="33099">
      <c r="P33099" s="42"/>
      <c r="AB33099" s="38"/>
    </row>
    <row r="33100">
      <c r="P33100" s="42"/>
      <c r="AB33100" s="38"/>
    </row>
    <row r="33101">
      <c r="P33101" s="42"/>
      <c r="AB33101" s="38"/>
    </row>
    <row r="33102">
      <c r="P33102" s="42"/>
      <c r="AB33102" s="38"/>
    </row>
    <row r="33103">
      <c r="P33103" s="42"/>
      <c r="AB33103" s="38"/>
    </row>
    <row r="33104">
      <c r="P33104" s="42"/>
      <c r="AB33104" s="38"/>
    </row>
    <row r="33105">
      <c r="P33105" s="42"/>
      <c r="AB33105" s="38"/>
    </row>
    <row r="33106">
      <c r="P33106" s="42"/>
      <c r="AB33106" s="38"/>
    </row>
    <row r="33107">
      <c r="P33107" s="42"/>
      <c r="AB33107" s="38"/>
    </row>
    <row r="33108">
      <c r="P33108" s="42"/>
      <c r="AB33108" s="38"/>
    </row>
    <row r="33109">
      <c r="P33109" s="42"/>
      <c r="AB33109" s="38"/>
    </row>
    <row r="33110">
      <c r="P33110" s="42"/>
      <c r="AB33110" s="38"/>
    </row>
    <row r="33111">
      <c r="P33111" s="42"/>
      <c r="AB33111" s="38"/>
    </row>
    <row r="33112">
      <c r="P33112" s="42"/>
      <c r="AB33112" s="38"/>
    </row>
    <row r="33113">
      <c r="P33113" s="42"/>
      <c r="AB33113" s="38"/>
    </row>
    <row r="33114">
      <c r="P33114" s="42"/>
      <c r="AB33114" s="38"/>
    </row>
    <row r="33115">
      <c r="P33115" s="42"/>
      <c r="AB33115" s="38"/>
    </row>
    <row r="33116">
      <c r="P33116" s="42"/>
      <c r="AB33116" s="38"/>
    </row>
    <row r="33117">
      <c r="P33117" s="42"/>
      <c r="AB33117" s="38"/>
    </row>
    <row r="33118">
      <c r="P33118" s="42"/>
      <c r="AB33118" s="38"/>
    </row>
    <row r="33119">
      <c r="P33119" s="42"/>
      <c r="AB33119" s="38"/>
    </row>
    <row r="33120">
      <c r="P33120" s="42"/>
      <c r="AB33120" s="38"/>
    </row>
    <row r="33121">
      <c r="P33121" s="42"/>
      <c r="AB33121" s="38"/>
    </row>
    <row r="33122">
      <c r="P33122" s="42"/>
      <c r="AB33122" s="38"/>
    </row>
    <row r="33123">
      <c r="P33123" s="42"/>
      <c r="AB33123" s="38"/>
    </row>
    <row r="33124">
      <c r="P33124" s="42"/>
      <c r="AB33124" s="38"/>
    </row>
    <row r="33125">
      <c r="P33125" s="42"/>
      <c r="AB33125" s="38"/>
    </row>
    <row r="33126">
      <c r="P33126" s="42"/>
      <c r="AB33126" s="38"/>
    </row>
    <row r="33127">
      <c r="P33127" s="42"/>
      <c r="AB33127" s="38"/>
    </row>
    <row r="33128">
      <c r="P33128" s="42"/>
      <c r="AB33128" s="38"/>
    </row>
    <row r="33129">
      <c r="P33129" s="42"/>
      <c r="AB33129" s="38"/>
    </row>
    <row r="33130">
      <c r="P33130" s="42"/>
      <c r="AB33130" s="38"/>
    </row>
    <row r="33131">
      <c r="P33131" s="42"/>
      <c r="AB33131" s="38"/>
    </row>
    <row r="33132">
      <c r="P33132" s="42"/>
      <c r="AB33132" s="38"/>
    </row>
    <row r="33133">
      <c r="P33133" s="42"/>
      <c r="AB33133" s="38"/>
    </row>
    <row r="33134">
      <c r="P33134" s="42"/>
      <c r="AB33134" s="38"/>
    </row>
    <row r="33135">
      <c r="P33135" s="42"/>
      <c r="AB33135" s="38"/>
    </row>
    <row r="33136">
      <c r="P33136" s="42"/>
      <c r="AB33136" s="38"/>
    </row>
    <row r="33137">
      <c r="P33137" s="42"/>
      <c r="AB33137" s="38"/>
    </row>
    <row r="33138">
      <c r="P33138" s="42"/>
      <c r="AB33138" s="38"/>
    </row>
    <row r="33139">
      <c r="P33139" s="42"/>
      <c r="AB33139" s="38"/>
    </row>
    <row r="33140">
      <c r="P33140" s="42"/>
      <c r="AB33140" s="38"/>
    </row>
    <row r="33141">
      <c r="P33141" s="42"/>
      <c r="AB33141" s="38"/>
    </row>
    <row r="33142">
      <c r="P33142" s="42"/>
      <c r="AB33142" s="38"/>
    </row>
    <row r="33143">
      <c r="P33143" s="42"/>
      <c r="AB33143" s="38"/>
    </row>
    <row r="33144">
      <c r="P33144" s="42"/>
      <c r="AB33144" s="38"/>
    </row>
    <row r="33145">
      <c r="P33145" s="42"/>
      <c r="AB33145" s="38"/>
    </row>
    <row r="33146">
      <c r="P33146" s="42"/>
      <c r="AB33146" s="38"/>
    </row>
    <row r="33147">
      <c r="P33147" s="42"/>
      <c r="AB33147" s="38"/>
    </row>
    <row r="33148">
      <c r="P33148" s="42"/>
      <c r="AB33148" s="38"/>
    </row>
    <row r="33149">
      <c r="P33149" s="42"/>
      <c r="AB33149" s="38"/>
    </row>
    <row r="33150">
      <c r="P33150" s="42"/>
      <c r="AB33150" s="38"/>
    </row>
    <row r="33151">
      <c r="P33151" s="42"/>
      <c r="AB33151" s="38"/>
    </row>
    <row r="33152">
      <c r="P33152" s="42"/>
      <c r="AB33152" s="38"/>
    </row>
    <row r="33153">
      <c r="P33153" s="42"/>
      <c r="AB33153" s="38"/>
    </row>
    <row r="33154">
      <c r="P33154" s="42"/>
      <c r="AB33154" s="38"/>
    </row>
    <row r="33155">
      <c r="P33155" s="42"/>
      <c r="AB33155" s="38"/>
    </row>
    <row r="33156">
      <c r="P33156" s="42"/>
      <c r="AB33156" s="38"/>
    </row>
    <row r="33157">
      <c r="P33157" s="42"/>
      <c r="AB33157" s="38"/>
    </row>
    <row r="33158">
      <c r="P33158" s="42"/>
      <c r="AB33158" s="38"/>
    </row>
    <row r="33159">
      <c r="P33159" s="42"/>
      <c r="AB33159" s="38"/>
    </row>
    <row r="33160">
      <c r="P33160" s="42"/>
      <c r="AB33160" s="38"/>
    </row>
    <row r="33161">
      <c r="P33161" s="42"/>
      <c r="AB33161" s="38"/>
    </row>
    <row r="33162">
      <c r="P33162" s="42"/>
      <c r="AB33162" s="38"/>
    </row>
    <row r="33163">
      <c r="P33163" s="42"/>
      <c r="AB33163" s="38"/>
    </row>
    <row r="33164">
      <c r="P33164" s="42"/>
      <c r="AB33164" s="38"/>
    </row>
    <row r="33165">
      <c r="P33165" s="42"/>
      <c r="AB33165" s="38"/>
    </row>
    <row r="33166">
      <c r="P33166" s="42"/>
      <c r="AB33166" s="38"/>
    </row>
    <row r="33167">
      <c r="P33167" s="42"/>
      <c r="AB33167" s="38"/>
    </row>
    <row r="33168">
      <c r="P33168" s="42"/>
      <c r="AB33168" s="38"/>
    </row>
    <row r="33169">
      <c r="P33169" s="42"/>
      <c r="AB33169" s="38"/>
    </row>
    <row r="33170">
      <c r="P33170" s="42"/>
      <c r="AB33170" s="38"/>
    </row>
    <row r="33171">
      <c r="P33171" s="42"/>
      <c r="AB33171" s="38"/>
    </row>
    <row r="33172">
      <c r="P33172" s="42"/>
      <c r="AB33172" s="38"/>
    </row>
    <row r="33173">
      <c r="P33173" s="42"/>
      <c r="AB33173" s="38"/>
    </row>
    <row r="33174">
      <c r="P33174" s="42"/>
      <c r="AB33174" s="38"/>
    </row>
    <row r="33175">
      <c r="P33175" s="42"/>
      <c r="AB33175" s="38"/>
    </row>
    <row r="33176">
      <c r="P33176" s="42"/>
      <c r="AB33176" s="38"/>
    </row>
    <row r="33177">
      <c r="P33177" s="42"/>
      <c r="AB33177" s="38"/>
    </row>
    <row r="33178">
      <c r="P33178" s="42"/>
      <c r="AB33178" s="38"/>
    </row>
    <row r="33179">
      <c r="P33179" s="42"/>
      <c r="AB33179" s="38"/>
    </row>
    <row r="33180">
      <c r="P33180" s="42"/>
      <c r="AB33180" s="38"/>
    </row>
    <row r="33181">
      <c r="P33181" s="42"/>
      <c r="AB33181" s="38"/>
    </row>
    <row r="33182">
      <c r="P33182" s="42"/>
      <c r="AB33182" s="38"/>
    </row>
    <row r="33183">
      <c r="P33183" s="42"/>
      <c r="AB33183" s="38"/>
    </row>
    <row r="33184">
      <c r="P33184" s="42"/>
      <c r="AB33184" s="38"/>
    </row>
    <row r="33185">
      <c r="P33185" s="42"/>
      <c r="AB33185" s="38"/>
    </row>
    <row r="33186">
      <c r="P33186" s="42"/>
      <c r="AB33186" s="38"/>
    </row>
    <row r="33187">
      <c r="P33187" s="42"/>
      <c r="AB33187" s="38"/>
    </row>
    <row r="33188">
      <c r="P33188" s="42"/>
      <c r="AB33188" s="38"/>
    </row>
    <row r="33189">
      <c r="P33189" s="42"/>
      <c r="AB33189" s="38"/>
    </row>
    <row r="33190">
      <c r="P33190" s="42"/>
      <c r="AB33190" s="38"/>
    </row>
    <row r="33191">
      <c r="P33191" s="42"/>
      <c r="AB33191" s="38"/>
    </row>
    <row r="33192">
      <c r="P33192" s="42"/>
      <c r="AB33192" s="38"/>
    </row>
    <row r="33193">
      <c r="P33193" s="42"/>
      <c r="AB33193" s="38"/>
    </row>
    <row r="33194">
      <c r="P33194" s="42"/>
      <c r="AB33194" s="38"/>
    </row>
    <row r="33195">
      <c r="P33195" s="42"/>
      <c r="AB33195" s="38"/>
    </row>
    <row r="33196">
      <c r="P33196" s="42"/>
      <c r="AB33196" s="38"/>
    </row>
    <row r="33197">
      <c r="P33197" s="42"/>
      <c r="AB33197" s="38"/>
    </row>
    <row r="33198">
      <c r="P33198" s="42"/>
      <c r="AB33198" s="38"/>
    </row>
    <row r="33199">
      <c r="P33199" s="42"/>
      <c r="AB33199" s="38"/>
    </row>
    <row r="33200">
      <c r="P33200" s="42"/>
      <c r="AB33200" s="38"/>
    </row>
    <row r="33201">
      <c r="P33201" s="42"/>
      <c r="AB33201" s="38"/>
    </row>
    <row r="33202">
      <c r="P33202" s="42"/>
      <c r="AB33202" s="38"/>
    </row>
    <row r="33203">
      <c r="P33203" s="42"/>
      <c r="AB33203" s="38"/>
    </row>
    <row r="33204">
      <c r="P33204" s="42"/>
      <c r="AB33204" s="38"/>
    </row>
    <row r="33205">
      <c r="P33205" s="42"/>
      <c r="AB33205" s="38"/>
    </row>
    <row r="33206">
      <c r="P33206" s="42"/>
      <c r="AB33206" s="38"/>
    </row>
    <row r="33207">
      <c r="P33207" s="42"/>
      <c r="AB33207" s="38"/>
    </row>
    <row r="33208">
      <c r="P33208" s="42"/>
      <c r="AB33208" s="38"/>
    </row>
    <row r="33209">
      <c r="P33209" s="42"/>
      <c r="AB33209" s="38"/>
    </row>
    <row r="33210">
      <c r="P33210" s="42"/>
      <c r="AB33210" s="38"/>
    </row>
    <row r="33211">
      <c r="P33211" s="42"/>
      <c r="AB33211" s="38"/>
    </row>
    <row r="33212">
      <c r="P33212" s="42"/>
      <c r="AB33212" s="38"/>
    </row>
    <row r="33213">
      <c r="P33213" s="42"/>
      <c r="AB33213" s="38"/>
    </row>
    <row r="33214">
      <c r="P33214" s="42"/>
      <c r="AB33214" s="38"/>
    </row>
    <row r="33215">
      <c r="P33215" s="42"/>
      <c r="AB33215" s="38"/>
    </row>
    <row r="33216">
      <c r="P33216" s="42"/>
      <c r="AB33216" s="38"/>
    </row>
    <row r="33217">
      <c r="P33217" s="42"/>
      <c r="AB33217" s="38"/>
    </row>
    <row r="33218">
      <c r="P33218" s="42"/>
      <c r="AB33218" s="38"/>
    </row>
    <row r="33219">
      <c r="P33219" s="42"/>
      <c r="AB33219" s="38"/>
    </row>
    <row r="33220">
      <c r="P33220" s="42"/>
      <c r="AB33220" s="38"/>
    </row>
    <row r="33221">
      <c r="P33221" s="42"/>
      <c r="AB33221" s="38"/>
    </row>
    <row r="33222">
      <c r="P33222" s="42"/>
      <c r="AB33222" s="38"/>
    </row>
    <row r="33223">
      <c r="P33223" s="42"/>
      <c r="AB33223" s="38"/>
    </row>
    <row r="33224">
      <c r="P33224" s="42"/>
      <c r="AB33224" s="38"/>
    </row>
    <row r="33225">
      <c r="P33225" s="42"/>
      <c r="AB33225" s="38"/>
    </row>
    <row r="33226">
      <c r="P33226" s="42"/>
      <c r="AB33226" s="38"/>
    </row>
    <row r="33227">
      <c r="P33227" s="42"/>
      <c r="AB33227" s="38"/>
    </row>
    <row r="33228">
      <c r="P33228" s="42"/>
      <c r="AB33228" s="38"/>
    </row>
    <row r="33229">
      <c r="P33229" s="42"/>
      <c r="AB33229" s="38"/>
    </row>
    <row r="33230">
      <c r="P33230" s="42"/>
      <c r="AB33230" s="38"/>
    </row>
    <row r="33231">
      <c r="P33231" s="42"/>
      <c r="AB33231" s="38"/>
    </row>
    <row r="33232">
      <c r="P33232" s="42"/>
      <c r="AB33232" s="38"/>
    </row>
    <row r="33233">
      <c r="P33233" s="42"/>
      <c r="AB33233" s="38"/>
    </row>
    <row r="33234">
      <c r="P33234" s="42"/>
      <c r="AB33234" s="38"/>
    </row>
    <row r="33235">
      <c r="P33235" s="42"/>
      <c r="AB33235" s="38"/>
    </row>
    <row r="33236">
      <c r="P33236" s="42"/>
      <c r="AB33236" s="38"/>
    </row>
    <row r="33237">
      <c r="P33237" s="42"/>
      <c r="AB33237" s="38"/>
    </row>
    <row r="33238">
      <c r="P33238" s="42"/>
      <c r="AB33238" s="38"/>
    </row>
    <row r="33239">
      <c r="P33239" s="42"/>
      <c r="AB33239" s="38"/>
    </row>
    <row r="33240">
      <c r="P33240" s="42"/>
      <c r="AB33240" s="38"/>
    </row>
    <row r="33241">
      <c r="P33241" s="42"/>
      <c r="AB33241" s="38"/>
    </row>
    <row r="33242">
      <c r="P33242" s="42"/>
      <c r="AB33242" s="38"/>
    </row>
    <row r="33243">
      <c r="P33243" s="42"/>
      <c r="AB33243" s="38"/>
    </row>
    <row r="33244">
      <c r="P33244" s="42"/>
      <c r="AB33244" s="38"/>
    </row>
    <row r="33245">
      <c r="P33245" s="42"/>
      <c r="AB33245" s="38"/>
    </row>
    <row r="33246">
      <c r="P33246" s="42"/>
      <c r="AB33246" s="38"/>
    </row>
    <row r="33247">
      <c r="P33247" s="42"/>
      <c r="AB33247" s="38"/>
    </row>
    <row r="33248">
      <c r="P33248" s="42"/>
      <c r="AB33248" s="38"/>
    </row>
    <row r="33249">
      <c r="P33249" s="42"/>
      <c r="AB33249" s="38"/>
    </row>
    <row r="33250">
      <c r="P33250" s="42"/>
      <c r="AB33250" s="38"/>
    </row>
    <row r="33251">
      <c r="P33251" s="42"/>
      <c r="AB33251" s="38"/>
    </row>
    <row r="33252">
      <c r="P33252" s="42"/>
      <c r="AB33252" s="38"/>
    </row>
    <row r="33253">
      <c r="P33253" s="42"/>
      <c r="AB33253" s="38"/>
    </row>
    <row r="33254">
      <c r="P33254" s="42"/>
      <c r="AB33254" s="38"/>
    </row>
    <row r="33255">
      <c r="P33255" s="42"/>
      <c r="AB33255" s="38"/>
    </row>
    <row r="33256">
      <c r="P33256" s="42"/>
      <c r="AB33256" s="38"/>
    </row>
    <row r="33257">
      <c r="P33257" s="42"/>
      <c r="AB33257" s="38"/>
    </row>
    <row r="33258">
      <c r="P33258" s="42"/>
      <c r="AB33258" s="38"/>
    </row>
    <row r="33259">
      <c r="P33259" s="42"/>
      <c r="AB33259" s="38"/>
    </row>
    <row r="33260">
      <c r="P33260" s="42"/>
      <c r="AB33260" s="38"/>
    </row>
    <row r="33261">
      <c r="P33261" s="42"/>
      <c r="AB33261" s="38"/>
    </row>
    <row r="33262">
      <c r="P33262" s="42"/>
      <c r="AB33262" s="38"/>
    </row>
    <row r="33263">
      <c r="P33263" s="42"/>
      <c r="AB33263" s="38"/>
    </row>
    <row r="33264">
      <c r="P33264" s="42"/>
      <c r="AB33264" s="38"/>
    </row>
    <row r="33265">
      <c r="P33265" s="42"/>
      <c r="AB33265" s="38"/>
    </row>
    <row r="33266">
      <c r="P33266" s="42"/>
      <c r="AB33266" s="38"/>
    </row>
    <row r="33267">
      <c r="P33267" s="42"/>
      <c r="AB33267" s="38"/>
    </row>
    <row r="33268">
      <c r="P33268" s="42"/>
      <c r="AB33268" s="38"/>
    </row>
    <row r="33269">
      <c r="P33269" s="42"/>
      <c r="AB33269" s="38"/>
    </row>
    <row r="33270">
      <c r="P33270" s="42"/>
      <c r="AB33270" s="38"/>
    </row>
    <row r="33271">
      <c r="P33271" s="42"/>
      <c r="AB33271" s="38"/>
    </row>
    <row r="33272">
      <c r="P33272" s="42"/>
      <c r="AB33272" s="38"/>
    </row>
    <row r="33273">
      <c r="P33273" s="42"/>
      <c r="AB33273" s="38"/>
    </row>
    <row r="33274">
      <c r="P33274" s="42"/>
      <c r="AB33274" s="38"/>
    </row>
    <row r="33275">
      <c r="P33275" s="42"/>
      <c r="AB33275" s="38"/>
    </row>
    <row r="33276">
      <c r="P33276" s="42"/>
      <c r="AB33276" s="38"/>
    </row>
    <row r="33277">
      <c r="P33277" s="42"/>
      <c r="AB33277" s="38"/>
    </row>
    <row r="33278">
      <c r="P33278" s="42"/>
      <c r="AB33278" s="38"/>
    </row>
    <row r="33279">
      <c r="P33279" s="42"/>
      <c r="AB33279" s="38"/>
    </row>
    <row r="33280">
      <c r="P33280" s="42"/>
      <c r="AB33280" s="38"/>
    </row>
    <row r="33281">
      <c r="P33281" s="42"/>
      <c r="AB33281" s="38"/>
    </row>
    <row r="33282">
      <c r="P33282" s="42"/>
      <c r="AB33282" s="38"/>
    </row>
    <row r="33283">
      <c r="P33283" s="42"/>
      <c r="AB33283" s="38"/>
    </row>
    <row r="33284">
      <c r="P33284" s="42"/>
      <c r="AB33284" s="38"/>
    </row>
    <row r="33285">
      <c r="P33285" s="42"/>
      <c r="AB33285" s="38"/>
    </row>
    <row r="33286">
      <c r="P33286" s="42"/>
      <c r="AB33286" s="38"/>
    </row>
    <row r="33287">
      <c r="P33287" s="42"/>
      <c r="AB33287" s="38"/>
    </row>
    <row r="33288">
      <c r="P33288" s="42"/>
      <c r="AB33288" s="38"/>
    </row>
    <row r="33289">
      <c r="P33289" s="42"/>
      <c r="AB33289" s="38"/>
    </row>
    <row r="33290">
      <c r="P33290" s="42"/>
      <c r="AB33290" s="38"/>
    </row>
    <row r="33291">
      <c r="P33291" s="42"/>
      <c r="AB33291" s="38"/>
    </row>
    <row r="33292">
      <c r="P33292" s="42"/>
      <c r="AB33292" s="38"/>
    </row>
    <row r="33293">
      <c r="P33293" s="42"/>
      <c r="AB33293" s="38"/>
    </row>
    <row r="33294">
      <c r="P33294" s="42"/>
      <c r="AB33294" s="38"/>
    </row>
    <row r="33295">
      <c r="P33295" s="42"/>
      <c r="AB33295" s="38"/>
    </row>
    <row r="33296">
      <c r="P33296" s="42"/>
      <c r="AB33296" s="38"/>
    </row>
    <row r="33297">
      <c r="P33297" s="42"/>
      <c r="AB33297" s="38"/>
    </row>
    <row r="33298">
      <c r="P33298" s="42"/>
      <c r="AB33298" s="38"/>
    </row>
    <row r="33299">
      <c r="P33299" s="42"/>
      <c r="AB33299" s="38"/>
    </row>
    <row r="33300">
      <c r="P33300" s="42"/>
      <c r="AB33300" s="38"/>
    </row>
    <row r="33301">
      <c r="P33301" s="42"/>
      <c r="AB33301" s="38"/>
    </row>
    <row r="33302">
      <c r="P33302" s="42"/>
      <c r="AB33302" s="38"/>
    </row>
    <row r="33303">
      <c r="P33303" s="42"/>
      <c r="AB33303" s="38"/>
    </row>
    <row r="33304">
      <c r="P33304" s="42"/>
      <c r="AB33304" s="38"/>
    </row>
    <row r="33305">
      <c r="P33305" s="42"/>
      <c r="AB33305" s="38"/>
    </row>
    <row r="33306">
      <c r="P33306" s="42"/>
      <c r="AB33306" s="38"/>
    </row>
    <row r="33307">
      <c r="P33307" s="42"/>
      <c r="AB33307" s="38"/>
    </row>
    <row r="33308">
      <c r="P33308" s="42"/>
      <c r="AB33308" s="38"/>
    </row>
    <row r="33309">
      <c r="P33309" s="42"/>
      <c r="AB33309" s="38"/>
    </row>
    <row r="33310">
      <c r="P33310" s="42"/>
      <c r="AB33310" s="38"/>
    </row>
    <row r="33311">
      <c r="P33311" s="42"/>
      <c r="AB33311" s="38"/>
    </row>
    <row r="33312">
      <c r="P33312" s="42"/>
      <c r="AB33312" s="38"/>
    </row>
    <row r="33313">
      <c r="P33313" s="42"/>
      <c r="AB33313" s="38"/>
    </row>
    <row r="33314">
      <c r="P33314" s="42"/>
      <c r="AB33314" s="38"/>
    </row>
    <row r="33315">
      <c r="P33315" s="42"/>
      <c r="AB33315" s="38"/>
    </row>
    <row r="33316">
      <c r="P33316" s="42"/>
      <c r="AB33316" s="38"/>
    </row>
    <row r="33317">
      <c r="P33317" s="42"/>
      <c r="AB33317" s="38"/>
    </row>
    <row r="33318">
      <c r="P33318" s="42"/>
      <c r="AB33318" s="38"/>
    </row>
    <row r="33319">
      <c r="P33319" s="42"/>
      <c r="AB33319" s="38"/>
    </row>
    <row r="33320">
      <c r="P33320" s="42"/>
      <c r="AB33320" s="38"/>
    </row>
    <row r="33321">
      <c r="P33321" s="42"/>
      <c r="AB33321" s="38"/>
    </row>
    <row r="33322">
      <c r="P33322" s="42"/>
      <c r="AB33322" s="38"/>
    </row>
    <row r="33323">
      <c r="P33323" s="42"/>
      <c r="AB33323" s="38"/>
    </row>
    <row r="33324">
      <c r="P33324" s="42"/>
      <c r="AB33324" s="38"/>
    </row>
    <row r="33325">
      <c r="P33325" s="42"/>
      <c r="AB33325" s="38"/>
    </row>
    <row r="33326">
      <c r="P33326" s="42"/>
      <c r="AB33326" s="38"/>
    </row>
    <row r="33327">
      <c r="P33327" s="42"/>
      <c r="AB33327" s="38"/>
    </row>
    <row r="33328">
      <c r="P33328" s="42"/>
      <c r="AB33328" s="38"/>
    </row>
    <row r="33329">
      <c r="P33329" s="42"/>
      <c r="AB33329" s="38"/>
    </row>
    <row r="33330">
      <c r="P33330" s="42"/>
      <c r="AB33330" s="38"/>
    </row>
    <row r="33331">
      <c r="P33331" s="42"/>
      <c r="AB33331" s="38"/>
    </row>
    <row r="33332">
      <c r="P33332" s="42"/>
      <c r="AB33332" s="38"/>
    </row>
    <row r="33333">
      <c r="P33333" s="42"/>
      <c r="AB33333" s="38"/>
    </row>
    <row r="33334">
      <c r="P33334" s="42"/>
      <c r="AB33334" s="38"/>
    </row>
    <row r="33335">
      <c r="P33335" s="42"/>
      <c r="AB33335" s="38"/>
    </row>
    <row r="33336">
      <c r="P33336" s="42"/>
      <c r="AB33336" s="38"/>
    </row>
    <row r="33337">
      <c r="P33337" s="42"/>
      <c r="AB33337" s="38"/>
    </row>
    <row r="33338">
      <c r="P33338" s="42"/>
      <c r="AB33338" s="38"/>
    </row>
    <row r="33339">
      <c r="P33339" s="42"/>
      <c r="AB33339" s="38"/>
    </row>
    <row r="33340">
      <c r="P33340" s="42"/>
      <c r="AB33340" s="38"/>
    </row>
    <row r="33341">
      <c r="P33341" s="42"/>
      <c r="AB33341" s="38"/>
    </row>
    <row r="33342">
      <c r="P33342" s="42"/>
      <c r="AB33342" s="38"/>
    </row>
    <row r="33343">
      <c r="P33343" s="42"/>
      <c r="AB33343" s="38"/>
    </row>
    <row r="33344">
      <c r="P33344" s="42"/>
      <c r="AB33344" s="38"/>
    </row>
    <row r="33345">
      <c r="P33345" s="42"/>
      <c r="AB33345" s="38"/>
    </row>
    <row r="33346">
      <c r="P33346" s="42"/>
      <c r="AB33346" s="38"/>
    </row>
    <row r="33347">
      <c r="P33347" s="42"/>
      <c r="AB33347" s="38"/>
    </row>
    <row r="33348">
      <c r="P33348" s="42"/>
      <c r="AB33348" s="38"/>
    </row>
    <row r="33349">
      <c r="P33349" s="42"/>
      <c r="AB33349" s="38"/>
    </row>
    <row r="33350">
      <c r="P33350" s="42"/>
      <c r="AB33350" s="38"/>
    </row>
    <row r="33351">
      <c r="P33351" s="42"/>
      <c r="AB33351" s="38"/>
    </row>
    <row r="33352">
      <c r="P33352" s="42"/>
      <c r="AB33352" s="38"/>
    </row>
    <row r="33353">
      <c r="P33353" s="42"/>
      <c r="AB33353" s="38"/>
    </row>
    <row r="33354">
      <c r="P33354" s="42"/>
      <c r="AB33354" s="38"/>
    </row>
    <row r="33355">
      <c r="P33355" s="42"/>
      <c r="AB33355" s="38"/>
    </row>
    <row r="33356">
      <c r="P33356" s="42"/>
      <c r="AB33356" s="38"/>
    </row>
    <row r="33357">
      <c r="P33357" s="42"/>
      <c r="AB33357" s="38"/>
    </row>
    <row r="33358">
      <c r="P33358" s="42"/>
      <c r="AB33358" s="38"/>
    </row>
    <row r="33359">
      <c r="P33359" s="42"/>
      <c r="AB33359" s="38"/>
    </row>
    <row r="33360">
      <c r="P33360" s="42"/>
      <c r="AB33360" s="38"/>
    </row>
    <row r="33361">
      <c r="P33361" s="42"/>
      <c r="AB33361" s="38"/>
    </row>
    <row r="33362">
      <c r="P33362" s="42"/>
      <c r="AB33362" s="38"/>
    </row>
    <row r="33363">
      <c r="P33363" s="42"/>
      <c r="AB33363" s="38"/>
    </row>
    <row r="33364">
      <c r="P33364" s="42"/>
      <c r="AB33364" s="38"/>
    </row>
    <row r="33365">
      <c r="P33365" s="42"/>
      <c r="AB33365" s="38"/>
    </row>
    <row r="33366">
      <c r="P33366" s="42"/>
      <c r="AB33366" s="38"/>
    </row>
    <row r="33367">
      <c r="P33367" s="42"/>
      <c r="AB33367" s="38"/>
    </row>
    <row r="33368">
      <c r="P33368" s="42"/>
      <c r="AB33368" s="38"/>
    </row>
    <row r="33369">
      <c r="P33369" s="42"/>
      <c r="AB33369" s="38"/>
    </row>
    <row r="33370">
      <c r="P33370" s="42"/>
      <c r="AB33370" s="38"/>
    </row>
    <row r="33371">
      <c r="P33371" s="42"/>
      <c r="AB33371" s="38"/>
    </row>
    <row r="33372">
      <c r="P33372" s="42"/>
      <c r="AB33372" s="38"/>
    </row>
    <row r="33373">
      <c r="P33373" s="42"/>
      <c r="AB33373" s="38"/>
    </row>
    <row r="33374">
      <c r="P33374" s="42"/>
      <c r="AB33374" s="38"/>
    </row>
    <row r="33375">
      <c r="P33375" s="42"/>
      <c r="AB33375" s="38"/>
    </row>
    <row r="33376">
      <c r="P33376" s="42"/>
      <c r="AB33376" s="38"/>
    </row>
    <row r="33377">
      <c r="P33377" s="42"/>
      <c r="AB33377" s="38"/>
    </row>
    <row r="33378">
      <c r="P33378" s="42"/>
      <c r="AB33378" s="38"/>
    </row>
    <row r="33379">
      <c r="P33379" s="42"/>
      <c r="AB33379" s="38"/>
    </row>
    <row r="33380">
      <c r="P33380" s="42"/>
      <c r="AB33380" s="38"/>
    </row>
    <row r="33381">
      <c r="P33381" s="42"/>
      <c r="AB33381" s="38"/>
    </row>
    <row r="33382">
      <c r="P33382" s="42"/>
      <c r="AB33382" s="38"/>
    </row>
    <row r="33383">
      <c r="P33383" s="42"/>
      <c r="AB33383" s="38"/>
    </row>
    <row r="33384">
      <c r="P33384" s="42"/>
      <c r="AB33384" s="38"/>
    </row>
    <row r="33385">
      <c r="P33385" s="42"/>
      <c r="AB33385" s="38"/>
    </row>
    <row r="33386">
      <c r="P33386" s="42"/>
      <c r="AB33386" s="38"/>
    </row>
    <row r="33387">
      <c r="P33387" s="42"/>
      <c r="AB33387" s="38"/>
    </row>
    <row r="33388">
      <c r="P33388" s="42"/>
      <c r="AB33388" s="38"/>
    </row>
    <row r="33389">
      <c r="P33389" s="42"/>
      <c r="AB33389" s="38"/>
    </row>
    <row r="33390">
      <c r="P33390" s="42"/>
      <c r="AB33390" s="38"/>
    </row>
    <row r="33391">
      <c r="P33391" s="42"/>
      <c r="AB33391" s="38"/>
    </row>
    <row r="33392">
      <c r="P33392" s="42"/>
      <c r="AB33392" s="38"/>
    </row>
    <row r="33393">
      <c r="P33393" s="42"/>
      <c r="AB33393" s="38"/>
    </row>
    <row r="33394">
      <c r="P33394" s="42"/>
      <c r="AB33394" s="38"/>
    </row>
    <row r="33395">
      <c r="P33395" s="42"/>
      <c r="AB33395" s="38"/>
    </row>
    <row r="33396">
      <c r="P33396" s="42"/>
      <c r="AB33396" s="38"/>
    </row>
    <row r="33397">
      <c r="P33397" s="42"/>
      <c r="AB33397" s="38"/>
    </row>
    <row r="33398">
      <c r="P33398" s="42"/>
      <c r="AB33398" s="38"/>
    </row>
    <row r="33399">
      <c r="P33399" s="42"/>
      <c r="AB33399" s="38"/>
    </row>
    <row r="33400">
      <c r="P33400" s="42"/>
      <c r="AB33400" s="38"/>
    </row>
    <row r="33401">
      <c r="P33401" s="42"/>
      <c r="AB33401" s="38"/>
    </row>
    <row r="33402">
      <c r="P33402" s="42"/>
      <c r="AB33402" s="38"/>
    </row>
    <row r="33403">
      <c r="P33403" s="42"/>
      <c r="AB33403" s="38"/>
    </row>
    <row r="33404">
      <c r="P33404" s="42"/>
      <c r="AB33404" s="38"/>
    </row>
    <row r="33405">
      <c r="P33405" s="42"/>
      <c r="AB33405" s="38"/>
    </row>
    <row r="33406">
      <c r="P33406" s="42"/>
      <c r="AB33406" s="38"/>
    </row>
    <row r="33407">
      <c r="P33407" s="42"/>
      <c r="AB33407" s="38"/>
    </row>
    <row r="33408">
      <c r="P33408" s="42"/>
      <c r="AB33408" s="38"/>
    </row>
    <row r="33409">
      <c r="P33409" s="42"/>
      <c r="AB33409" s="38"/>
    </row>
    <row r="33410">
      <c r="P33410" s="42"/>
      <c r="AB33410" s="38"/>
    </row>
    <row r="33411">
      <c r="P33411" s="42"/>
      <c r="AB33411" s="38"/>
    </row>
    <row r="33412">
      <c r="P33412" s="42"/>
      <c r="AB33412" s="38"/>
    </row>
    <row r="33413">
      <c r="P33413" s="42"/>
      <c r="AB33413" s="38"/>
    </row>
    <row r="33414">
      <c r="P33414" s="42"/>
      <c r="AB33414" s="38"/>
    </row>
    <row r="33415">
      <c r="P33415" s="42"/>
      <c r="AB33415" s="38"/>
    </row>
    <row r="33416">
      <c r="P33416" s="42"/>
      <c r="AB33416" s="38"/>
    </row>
    <row r="33417">
      <c r="P33417" s="42"/>
      <c r="AB33417" s="38"/>
    </row>
    <row r="33418">
      <c r="P33418" s="42"/>
      <c r="AB33418" s="38"/>
    </row>
    <row r="33419">
      <c r="P33419" s="42"/>
      <c r="AB33419" s="38"/>
    </row>
    <row r="33420">
      <c r="P33420" s="42"/>
      <c r="AB33420" s="38"/>
    </row>
    <row r="33421">
      <c r="P33421" s="42"/>
      <c r="AB33421" s="38"/>
    </row>
    <row r="33422">
      <c r="P33422" s="42"/>
      <c r="AB33422" s="38"/>
    </row>
    <row r="33423">
      <c r="P33423" s="42"/>
      <c r="AB33423" s="38"/>
    </row>
    <row r="33424">
      <c r="P33424" s="42"/>
      <c r="AB33424" s="38"/>
    </row>
    <row r="33425">
      <c r="P33425" s="42"/>
      <c r="AB33425" s="38"/>
    </row>
    <row r="33426">
      <c r="P33426" s="42"/>
      <c r="AB33426" s="38"/>
    </row>
    <row r="33427">
      <c r="P33427" s="42"/>
      <c r="AB33427" s="38"/>
    </row>
    <row r="33428">
      <c r="P33428" s="42"/>
      <c r="AB33428" s="38"/>
    </row>
    <row r="33429">
      <c r="P33429" s="42"/>
      <c r="AB33429" s="38"/>
    </row>
    <row r="33430">
      <c r="P33430" s="42"/>
      <c r="AB33430" s="38"/>
    </row>
    <row r="33431">
      <c r="P33431" s="42"/>
      <c r="AB33431" s="38"/>
    </row>
    <row r="33432">
      <c r="P33432" s="42"/>
      <c r="AB33432" s="38"/>
    </row>
    <row r="33433">
      <c r="P33433" s="42"/>
      <c r="AB33433" s="38"/>
    </row>
    <row r="33434">
      <c r="P33434" s="42"/>
      <c r="AB33434" s="38"/>
    </row>
    <row r="33435">
      <c r="P33435" s="42"/>
      <c r="AB33435" s="38"/>
    </row>
    <row r="33436">
      <c r="P33436" s="42"/>
      <c r="AB33436" s="38"/>
    </row>
    <row r="33437">
      <c r="P33437" s="42"/>
      <c r="AB33437" s="38"/>
    </row>
    <row r="33438">
      <c r="P33438" s="42"/>
      <c r="AB33438" s="38"/>
    </row>
    <row r="33439">
      <c r="P33439" s="42"/>
      <c r="AB33439" s="38"/>
    </row>
    <row r="33440">
      <c r="P33440" s="42"/>
      <c r="AB33440" s="38"/>
    </row>
    <row r="33441">
      <c r="P33441" s="42"/>
      <c r="AB33441" s="38"/>
    </row>
    <row r="33442">
      <c r="P33442" s="42"/>
      <c r="AB33442" s="38"/>
    </row>
    <row r="33443">
      <c r="P33443" s="42"/>
      <c r="AB33443" s="38"/>
    </row>
    <row r="33444">
      <c r="P33444" s="42"/>
      <c r="AB33444" s="38"/>
    </row>
    <row r="33445">
      <c r="P33445" s="42"/>
      <c r="AB33445" s="38"/>
    </row>
    <row r="33446">
      <c r="P33446" s="42"/>
      <c r="AB33446" s="38"/>
    </row>
    <row r="33447">
      <c r="P33447" s="42"/>
      <c r="AB33447" s="38"/>
    </row>
    <row r="33448">
      <c r="P33448" s="42"/>
      <c r="AB33448" s="38"/>
    </row>
    <row r="33449">
      <c r="P33449" s="42"/>
      <c r="AB33449" s="38"/>
    </row>
    <row r="33450">
      <c r="P33450" s="42"/>
      <c r="AB33450" s="38"/>
    </row>
    <row r="33451">
      <c r="P33451" s="42"/>
      <c r="AB33451" s="38"/>
    </row>
    <row r="33452">
      <c r="P33452" s="42"/>
      <c r="AB33452" s="38"/>
    </row>
    <row r="33453">
      <c r="P33453" s="42"/>
      <c r="AB33453" s="38"/>
    </row>
    <row r="33454">
      <c r="P33454" s="42"/>
      <c r="AB33454" s="38"/>
    </row>
    <row r="33455">
      <c r="P33455" s="42"/>
      <c r="AB33455" s="38"/>
    </row>
    <row r="33456">
      <c r="P33456" s="42"/>
      <c r="AB33456" s="38"/>
    </row>
    <row r="33457">
      <c r="P33457" s="42"/>
      <c r="AB33457" s="38"/>
    </row>
    <row r="33458">
      <c r="P33458" s="42"/>
      <c r="AB33458" s="38"/>
    </row>
    <row r="33459">
      <c r="P33459" s="42"/>
      <c r="AB33459" s="38"/>
    </row>
    <row r="33460">
      <c r="P33460" s="42"/>
      <c r="AB33460" s="38"/>
    </row>
    <row r="33461">
      <c r="P33461" s="42"/>
      <c r="AB33461" s="38"/>
    </row>
    <row r="33462">
      <c r="P33462" s="42"/>
      <c r="AB33462" s="38"/>
    </row>
    <row r="33463">
      <c r="P33463" s="42"/>
      <c r="AB33463" s="38"/>
    </row>
    <row r="33464">
      <c r="P33464" s="42"/>
      <c r="AB33464" s="38"/>
    </row>
    <row r="33465">
      <c r="P33465" s="42"/>
      <c r="AB33465" s="38"/>
    </row>
    <row r="33466">
      <c r="P33466" s="42"/>
      <c r="AB33466" s="38"/>
    </row>
    <row r="33467">
      <c r="P33467" s="42"/>
      <c r="AB33467" s="38"/>
    </row>
    <row r="33468">
      <c r="P33468" s="42"/>
      <c r="AB33468" s="38"/>
    </row>
    <row r="33469">
      <c r="P33469" s="42"/>
      <c r="AB33469" s="38"/>
    </row>
    <row r="33470">
      <c r="P33470" s="42"/>
      <c r="AB33470" s="38"/>
    </row>
    <row r="33471">
      <c r="P33471" s="42"/>
      <c r="AB33471" s="38"/>
    </row>
    <row r="33472">
      <c r="P33472" s="42"/>
      <c r="AB33472" s="38"/>
    </row>
    <row r="33473">
      <c r="P33473" s="42"/>
      <c r="AB33473" s="38"/>
    </row>
    <row r="33474">
      <c r="P33474" s="42"/>
      <c r="AB33474" s="38"/>
    </row>
    <row r="33475">
      <c r="P33475" s="42"/>
      <c r="AB33475" s="38"/>
    </row>
    <row r="33476">
      <c r="P33476" s="42"/>
      <c r="AB33476" s="38"/>
    </row>
    <row r="33477">
      <c r="P33477" s="42"/>
      <c r="AB33477" s="38"/>
    </row>
    <row r="33478">
      <c r="P33478" s="42"/>
      <c r="AB33478" s="38"/>
    </row>
    <row r="33479">
      <c r="P33479" s="42"/>
      <c r="AB33479" s="38"/>
    </row>
    <row r="33480">
      <c r="P33480" s="42"/>
      <c r="AB33480" s="38"/>
    </row>
    <row r="33481">
      <c r="P33481" s="42"/>
      <c r="AB33481" s="38"/>
    </row>
    <row r="33482">
      <c r="P33482" s="42"/>
      <c r="AB33482" s="38"/>
    </row>
    <row r="33483">
      <c r="P33483" s="42"/>
      <c r="AB33483" s="38"/>
    </row>
    <row r="33484">
      <c r="P33484" s="42"/>
      <c r="AB33484" s="38"/>
    </row>
    <row r="33485">
      <c r="P33485" s="42"/>
      <c r="AB33485" s="38"/>
    </row>
    <row r="33486">
      <c r="P33486" s="42"/>
      <c r="AB33486" s="38"/>
    </row>
    <row r="33487">
      <c r="P33487" s="42"/>
      <c r="AB33487" s="38"/>
    </row>
    <row r="33488">
      <c r="P33488" s="42"/>
      <c r="AB33488" s="38"/>
    </row>
    <row r="33489">
      <c r="P33489" s="42"/>
      <c r="AB33489" s="38"/>
    </row>
    <row r="33490">
      <c r="P33490" s="42"/>
      <c r="AB33490" s="38"/>
    </row>
    <row r="33491">
      <c r="P33491" s="42"/>
      <c r="AB33491" s="38"/>
    </row>
    <row r="33492">
      <c r="P33492" s="42"/>
      <c r="AB33492" s="38"/>
    </row>
    <row r="33493">
      <c r="P33493" s="42"/>
      <c r="AB33493" s="38"/>
    </row>
    <row r="33494">
      <c r="P33494" s="42"/>
      <c r="AB33494" s="38"/>
    </row>
    <row r="33495">
      <c r="P33495" s="42"/>
      <c r="AB33495" s="38"/>
    </row>
    <row r="33496">
      <c r="P33496" s="42"/>
      <c r="AB33496" s="38"/>
    </row>
    <row r="33497">
      <c r="P33497" s="42"/>
      <c r="AB33497" s="38"/>
    </row>
    <row r="33498">
      <c r="P33498" s="42"/>
      <c r="AB33498" s="38"/>
    </row>
    <row r="33499">
      <c r="P33499" s="42"/>
      <c r="AB33499" s="38"/>
    </row>
    <row r="33500">
      <c r="P33500" s="42"/>
      <c r="AB33500" s="38"/>
    </row>
    <row r="33501">
      <c r="P33501" s="42"/>
      <c r="AB33501" s="38"/>
    </row>
    <row r="33502">
      <c r="P33502" s="42"/>
      <c r="AB33502" s="38"/>
    </row>
    <row r="33503">
      <c r="P33503" s="42"/>
      <c r="AB33503" s="38"/>
    </row>
    <row r="33504">
      <c r="P33504" s="42"/>
      <c r="AB33504" s="38"/>
    </row>
    <row r="33505">
      <c r="P33505" s="42"/>
      <c r="AB33505" s="38"/>
    </row>
    <row r="33506">
      <c r="P33506" s="42"/>
      <c r="AB33506" s="38"/>
    </row>
    <row r="33507">
      <c r="P33507" s="42"/>
      <c r="AB33507" s="38"/>
    </row>
    <row r="33508">
      <c r="P33508" s="42"/>
      <c r="AB33508" s="38"/>
    </row>
    <row r="33509">
      <c r="P33509" s="42"/>
      <c r="AB33509" s="38"/>
    </row>
    <row r="33510">
      <c r="P33510" s="42"/>
      <c r="AB33510" s="38"/>
    </row>
    <row r="33511">
      <c r="P33511" s="42"/>
      <c r="AB33511" s="38"/>
    </row>
    <row r="33512">
      <c r="P33512" s="42"/>
      <c r="AB33512" s="38"/>
    </row>
    <row r="33513">
      <c r="P33513" s="42"/>
      <c r="AB33513" s="38"/>
    </row>
    <row r="33514">
      <c r="P33514" s="42"/>
      <c r="AB33514" s="38"/>
    </row>
    <row r="33515">
      <c r="P33515" s="42"/>
      <c r="AB33515" s="38"/>
    </row>
    <row r="33516">
      <c r="P33516" s="42"/>
      <c r="AB33516" s="38"/>
    </row>
    <row r="33517">
      <c r="P33517" s="42"/>
      <c r="AB33517" s="38"/>
    </row>
    <row r="33518">
      <c r="P33518" s="42"/>
      <c r="AB33518" s="38"/>
    </row>
    <row r="33519">
      <c r="P33519" s="42"/>
      <c r="AB33519" s="38"/>
    </row>
    <row r="33520">
      <c r="P33520" s="42"/>
      <c r="AB33520" s="38"/>
    </row>
    <row r="33521">
      <c r="P33521" s="42"/>
      <c r="AB33521" s="38"/>
    </row>
    <row r="33522">
      <c r="P33522" s="42"/>
      <c r="AB33522" s="38"/>
    </row>
    <row r="33523">
      <c r="P33523" s="42"/>
      <c r="AB33523" s="38"/>
    </row>
    <row r="33524">
      <c r="P33524" s="42"/>
      <c r="AB33524" s="38"/>
    </row>
    <row r="33525">
      <c r="P33525" s="42"/>
      <c r="AB33525" s="38"/>
    </row>
    <row r="33526">
      <c r="P33526" s="42"/>
      <c r="AB33526" s="38"/>
    </row>
    <row r="33527">
      <c r="P33527" s="42"/>
      <c r="AB33527" s="38"/>
    </row>
    <row r="33528">
      <c r="P33528" s="42"/>
      <c r="AB33528" s="38"/>
    </row>
    <row r="33529">
      <c r="P33529" s="42"/>
      <c r="AB33529" s="38"/>
    </row>
    <row r="33530">
      <c r="P33530" s="42"/>
      <c r="AB33530" s="38"/>
    </row>
    <row r="33531">
      <c r="P33531" s="42"/>
      <c r="AB33531" s="38"/>
    </row>
    <row r="33532">
      <c r="P33532" s="42"/>
      <c r="AB33532" s="38"/>
    </row>
    <row r="33533">
      <c r="P33533" s="42"/>
      <c r="AB33533" s="38"/>
    </row>
    <row r="33534">
      <c r="P33534" s="42"/>
      <c r="AB33534" s="38"/>
    </row>
    <row r="33535">
      <c r="P33535" s="42"/>
      <c r="AB33535" s="38"/>
    </row>
    <row r="33536">
      <c r="P33536" s="42"/>
      <c r="AB33536" s="38"/>
    </row>
    <row r="33537">
      <c r="P33537" s="42"/>
      <c r="AB33537" s="38"/>
    </row>
    <row r="33538">
      <c r="P33538" s="42"/>
      <c r="AB33538" s="38"/>
    </row>
    <row r="33539">
      <c r="P33539" s="42"/>
      <c r="AB33539" s="38"/>
    </row>
    <row r="33540">
      <c r="P33540" s="42"/>
      <c r="AB33540" s="38"/>
    </row>
    <row r="33541">
      <c r="P33541" s="42"/>
      <c r="AB33541" s="38"/>
    </row>
    <row r="33542">
      <c r="P33542" s="42"/>
      <c r="AB33542" s="38"/>
    </row>
    <row r="33543">
      <c r="P33543" s="42"/>
      <c r="AB33543" s="38"/>
    </row>
    <row r="33544">
      <c r="P33544" s="42"/>
      <c r="AB33544" s="38"/>
    </row>
    <row r="33545">
      <c r="P33545" s="42"/>
      <c r="AB33545" s="38"/>
    </row>
    <row r="33546">
      <c r="P33546" s="42"/>
      <c r="AB33546" s="38"/>
    </row>
    <row r="33547">
      <c r="P33547" s="42"/>
      <c r="AB33547" s="38"/>
    </row>
    <row r="33548">
      <c r="P33548" s="42"/>
      <c r="AB33548" s="38"/>
    </row>
    <row r="33549">
      <c r="P33549" s="42"/>
      <c r="AB33549" s="38"/>
    </row>
    <row r="33550">
      <c r="P33550" s="42"/>
      <c r="AB33550" s="38"/>
    </row>
    <row r="33551">
      <c r="P33551" s="42"/>
      <c r="AB33551" s="38"/>
    </row>
    <row r="33552">
      <c r="P33552" s="42"/>
      <c r="AB33552" s="38"/>
    </row>
    <row r="33553">
      <c r="P33553" s="42"/>
      <c r="AB33553" s="38"/>
    </row>
    <row r="33554">
      <c r="P33554" s="42"/>
      <c r="AB33554" s="38"/>
    </row>
    <row r="33555">
      <c r="P33555" s="42"/>
      <c r="AB33555" s="38"/>
    </row>
    <row r="33556">
      <c r="P33556" s="42"/>
      <c r="AB33556" s="38"/>
    </row>
    <row r="33557">
      <c r="P33557" s="42"/>
      <c r="AB33557" s="38"/>
    </row>
    <row r="33558">
      <c r="P33558" s="42"/>
      <c r="AB33558" s="38"/>
    </row>
    <row r="33559">
      <c r="P33559" s="42"/>
      <c r="AB33559" s="38"/>
    </row>
    <row r="33560">
      <c r="P33560" s="42"/>
      <c r="AB33560" s="38"/>
    </row>
    <row r="33561">
      <c r="P33561" s="42"/>
      <c r="AB33561" s="38"/>
    </row>
    <row r="33562">
      <c r="P33562" s="42"/>
      <c r="AB33562" s="38"/>
    </row>
    <row r="33563">
      <c r="P33563" s="42"/>
      <c r="AB33563" s="38"/>
    </row>
    <row r="33564">
      <c r="P33564" s="42"/>
      <c r="AB33564" s="38"/>
    </row>
    <row r="33565">
      <c r="P33565" s="42"/>
      <c r="AB33565" s="38"/>
    </row>
    <row r="33566">
      <c r="P33566" s="42"/>
      <c r="AB33566" s="38"/>
    </row>
    <row r="33567">
      <c r="P33567" s="42"/>
      <c r="AB33567" s="38"/>
    </row>
    <row r="33568">
      <c r="P33568" s="42"/>
      <c r="AB33568" s="38"/>
    </row>
    <row r="33569">
      <c r="P33569" s="42"/>
      <c r="AB33569" s="38"/>
    </row>
    <row r="33570">
      <c r="P33570" s="42"/>
      <c r="AB33570" s="38"/>
    </row>
    <row r="33571">
      <c r="P33571" s="42"/>
      <c r="AB33571" s="38"/>
    </row>
    <row r="33572">
      <c r="P33572" s="42"/>
      <c r="AB33572" s="38"/>
    </row>
    <row r="33573">
      <c r="P33573" s="42"/>
      <c r="AB33573" s="38"/>
    </row>
    <row r="33574">
      <c r="P33574" s="42"/>
      <c r="AB33574" s="38"/>
    </row>
    <row r="33575">
      <c r="P33575" s="42"/>
      <c r="AB33575" s="38"/>
    </row>
    <row r="33576">
      <c r="P33576" s="42"/>
      <c r="AB33576" s="38"/>
    </row>
    <row r="33577">
      <c r="P33577" s="42"/>
      <c r="AB33577" s="38"/>
    </row>
    <row r="33578">
      <c r="P33578" s="42"/>
      <c r="AB33578" s="38"/>
    </row>
    <row r="33579">
      <c r="P33579" s="42"/>
      <c r="AB33579" s="38"/>
    </row>
    <row r="33580">
      <c r="P33580" s="42"/>
      <c r="AB33580" s="38"/>
    </row>
    <row r="33581">
      <c r="P33581" s="42"/>
      <c r="AB33581" s="38"/>
    </row>
    <row r="33582">
      <c r="P33582" s="42"/>
      <c r="AB33582" s="38"/>
    </row>
    <row r="33583">
      <c r="P33583" s="42"/>
      <c r="AB33583" s="38"/>
    </row>
    <row r="33584">
      <c r="P33584" s="42"/>
      <c r="AB33584" s="38"/>
    </row>
    <row r="33585">
      <c r="P33585" s="42"/>
      <c r="AB33585" s="38"/>
    </row>
    <row r="33586">
      <c r="P33586" s="42"/>
      <c r="AB33586" s="38"/>
    </row>
    <row r="33587">
      <c r="P33587" s="42"/>
      <c r="AB33587" s="38"/>
    </row>
    <row r="33588">
      <c r="P33588" s="42"/>
      <c r="AB33588" s="38"/>
    </row>
    <row r="33589">
      <c r="P33589" s="42"/>
      <c r="AB33589" s="38"/>
    </row>
    <row r="33590">
      <c r="P33590" s="42"/>
      <c r="AB33590" s="38"/>
    </row>
    <row r="33591">
      <c r="P33591" s="42"/>
      <c r="AB33591" s="38"/>
    </row>
    <row r="33592">
      <c r="P33592" s="42"/>
      <c r="AB33592" s="38"/>
    </row>
    <row r="33593">
      <c r="P33593" s="42"/>
      <c r="AB33593" s="38"/>
    </row>
    <row r="33594">
      <c r="P33594" s="42"/>
      <c r="AB33594" s="38"/>
    </row>
    <row r="33595">
      <c r="P33595" s="42"/>
      <c r="AB33595" s="38"/>
    </row>
    <row r="33596">
      <c r="P33596" s="42"/>
      <c r="AB33596" s="38"/>
    </row>
    <row r="33597">
      <c r="P33597" s="42"/>
      <c r="AB33597" s="38"/>
    </row>
    <row r="33598">
      <c r="P33598" s="42"/>
      <c r="AB33598" s="38"/>
    </row>
    <row r="33599">
      <c r="P33599" s="42"/>
      <c r="AB33599" s="38"/>
    </row>
    <row r="33600">
      <c r="P33600" s="42"/>
      <c r="AB33600" s="38"/>
    </row>
    <row r="33601">
      <c r="P33601" s="42"/>
      <c r="AB33601" s="38"/>
    </row>
    <row r="33602">
      <c r="P33602" s="42"/>
      <c r="AB33602" s="38"/>
    </row>
    <row r="33603">
      <c r="P33603" s="42"/>
      <c r="AB33603" s="38"/>
    </row>
    <row r="33604">
      <c r="P33604" s="42"/>
      <c r="AB33604" s="38"/>
    </row>
    <row r="33605">
      <c r="P33605" s="42"/>
      <c r="AB33605" s="38"/>
    </row>
    <row r="33606">
      <c r="P33606" s="42"/>
      <c r="AB33606" s="38"/>
    </row>
    <row r="33607">
      <c r="P33607" s="42"/>
      <c r="AB33607" s="38"/>
    </row>
    <row r="33608">
      <c r="P33608" s="42"/>
      <c r="AB33608" s="38"/>
    </row>
    <row r="33609">
      <c r="P33609" s="42"/>
      <c r="AB33609" s="38"/>
    </row>
    <row r="33610">
      <c r="P33610" s="42"/>
      <c r="AB33610" s="38"/>
    </row>
    <row r="33611">
      <c r="P33611" s="42"/>
      <c r="AB33611" s="38"/>
    </row>
    <row r="33612">
      <c r="P33612" s="42"/>
      <c r="AB33612" s="38"/>
    </row>
    <row r="33613">
      <c r="P33613" s="42"/>
      <c r="AB33613" s="38"/>
    </row>
    <row r="33614">
      <c r="P33614" s="42"/>
      <c r="AB33614" s="38"/>
    </row>
    <row r="33615">
      <c r="P33615" s="42"/>
      <c r="AB33615" s="38"/>
    </row>
    <row r="33616">
      <c r="P33616" s="42"/>
      <c r="AB33616" s="38"/>
    </row>
    <row r="33617">
      <c r="P33617" s="42"/>
      <c r="AB33617" s="38"/>
    </row>
    <row r="33618">
      <c r="P33618" s="42"/>
      <c r="AB33618" s="38"/>
    </row>
    <row r="33619">
      <c r="P33619" s="42"/>
      <c r="AB33619" s="38"/>
    </row>
    <row r="33620">
      <c r="P33620" s="42"/>
      <c r="AB33620" s="38"/>
    </row>
    <row r="33621">
      <c r="P33621" s="42"/>
      <c r="AB33621" s="38"/>
    </row>
    <row r="33622">
      <c r="P33622" s="42"/>
      <c r="AB33622" s="38"/>
    </row>
    <row r="33623">
      <c r="P33623" s="42"/>
      <c r="AB33623" s="38"/>
    </row>
    <row r="33624">
      <c r="P33624" s="42"/>
      <c r="AB33624" s="38"/>
    </row>
    <row r="33625">
      <c r="P33625" s="42"/>
      <c r="AB33625" s="38"/>
    </row>
    <row r="33626">
      <c r="P33626" s="42"/>
      <c r="AB33626" s="38"/>
    </row>
    <row r="33627">
      <c r="P33627" s="42"/>
      <c r="AB33627" s="38"/>
    </row>
    <row r="33628">
      <c r="P33628" s="42"/>
      <c r="AB33628" s="38"/>
    </row>
    <row r="33629">
      <c r="P33629" s="42"/>
      <c r="AB33629" s="38"/>
    </row>
    <row r="33630">
      <c r="P33630" s="42"/>
      <c r="AB33630" s="38"/>
    </row>
    <row r="33631">
      <c r="P33631" s="42"/>
      <c r="AB33631" s="38"/>
    </row>
    <row r="33632">
      <c r="P33632" s="42"/>
      <c r="AB33632" s="38"/>
    </row>
    <row r="33633">
      <c r="P33633" s="42"/>
      <c r="AB33633" s="38"/>
    </row>
    <row r="33634">
      <c r="P33634" s="42"/>
      <c r="AB33634" s="38"/>
    </row>
    <row r="33635">
      <c r="P33635" s="42"/>
      <c r="AB33635" s="38"/>
    </row>
    <row r="33636">
      <c r="P33636" s="42"/>
      <c r="AB33636" s="38"/>
    </row>
    <row r="33637">
      <c r="P33637" s="42"/>
      <c r="AB33637" s="38"/>
    </row>
    <row r="33638">
      <c r="P33638" s="42"/>
      <c r="AB33638" s="38"/>
    </row>
    <row r="33639">
      <c r="P33639" s="42"/>
      <c r="AB33639" s="38"/>
    </row>
    <row r="33640">
      <c r="P33640" s="42"/>
      <c r="AB33640" s="38"/>
    </row>
    <row r="33641">
      <c r="P33641" s="42"/>
      <c r="AB33641" s="38"/>
    </row>
    <row r="33642">
      <c r="P33642" s="42"/>
      <c r="AB33642" s="38"/>
    </row>
    <row r="33643">
      <c r="P33643" s="42"/>
      <c r="AB33643" s="38"/>
    </row>
    <row r="33644">
      <c r="P33644" s="42"/>
      <c r="AB33644" s="38"/>
    </row>
    <row r="33645">
      <c r="P33645" s="42"/>
      <c r="AB33645" s="38"/>
    </row>
    <row r="33646">
      <c r="P33646" s="42"/>
      <c r="AB33646" s="38"/>
    </row>
    <row r="33647">
      <c r="P33647" s="42"/>
      <c r="AB33647" s="38"/>
    </row>
    <row r="33648">
      <c r="P33648" s="42"/>
      <c r="AB33648" s="38"/>
    </row>
    <row r="33649">
      <c r="P33649" s="42"/>
      <c r="AB33649" s="38"/>
    </row>
    <row r="33650">
      <c r="P33650" s="42"/>
      <c r="AB33650" s="38"/>
    </row>
    <row r="33651">
      <c r="P33651" s="42"/>
      <c r="AB33651" s="38"/>
    </row>
    <row r="33652">
      <c r="P33652" s="42"/>
      <c r="AB33652" s="38"/>
    </row>
    <row r="33653">
      <c r="P33653" s="42"/>
      <c r="AB33653" s="38"/>
    </row>
    <row r="33654">
      <c r="P33654" s="42"/>
      <c r="AB33654" s="38"/>
    </row>
    <row r="33655">
      <c r="P33655" s="42"/>
      <c r="AB33655" s="38"/>
    </row>
    <row r="33656">
      <c r="P33656" s="42"/>
      <c r="AB33656" s="38"/>
    </row>
    <row r="33657">
      <c r="P33657" s="42"/>
      <c r="AB33657" s="38"/>
    </row>
    <row r="33658">
      <c r="P33658" s="42"/>
      <c r="AB33658" s="38"/>
    </row>
    <row r="33659">
      <c r="P33659" s="42"/>
      <c r="AB33659" s="38"/>
    </row>
    <row r="33660">
      <c r="P33660" s="42"/>
      <c r="AB33660" s="38"/>
    </row>
    <row r="33661">
      <c r="P33661" s="42"/>
      <c r="AB33661" s="38"/>
    </row>
    <row r="33662">
      <c r="P33662" s="42"/>
      <c r="AB33662" s="38"/>
    </row>
    <row r="33663">
      <c r="P33663" s="42"/>
      <c r="AB33663" s="38"/>
    </row>
    <row r="33664">
      <c r="P33664" s="42"/>
      <c r="AB33664" s="38"/>
    </row>
    <row r="33665">
      <c r="P33665" s="42"/>
      <c r="AB33665" s="38"/>
    </row>
    <row r="33666">
      <c r="P33666" s="42"/>
      <c r="AB33666" s="38"/>
    </row>
    <row r="33667">
      <c r="P33667" s="42"/>
      <c r="AB33667" s="38"/>
    </row>
    <row r="33668">
      <c r="P33668" s="42"/>
      <c r="AB33668" s="38"/>
    </row>
    <row r="33669">
      <c r="P33669" s="42"/>
      <c r="AB33669" s="38"/>
    </row>
    <row r="33670">
      <c r="P33670" s="42"/>
      <c r="AB33670" s="38"/>
    </row>
    <row r="33671">
      <c r="P33671" s="42"/>
      <c r="AB33671" s="38"/>
    </row>
    <row r="33672">
      <c r="P33672" s="42"/>
      <c r="AB33672" s="38"/>
    </row>
    <row r="33673">
      <c r="P33673" s="42"/>
      <c r="AB33673" s="38"/>
    </row>
    <row r="33674">
      <c r="P33674" s="42"/>
      <c r="AB33674" s="38"/>
    </row>
    <row r="33675">
      <c r="P33675" s="42"/>
      <c r="AB33675" s="38"/>
    </row>
    <row r="33676">
      <c r="P33676" s="42"/>
      <c r="AB33676" s="38"/>
    </row>
    <row r="33677">
      <c r="P33677" s="42"/>
      <c r="AB33677" s="38"/>
    </row>
    <row r="33678">
      <c r="P33678" s="42"/>
      <c r="AB33678" s="38"/>
    </row>
    <row r="33679">
      <c r="P33679" s="42"/>
      <c r="AB33679" s="38"/>
    </row>
    <row r="33680">
      <c r="P33680" s="42"/>
      <c r="AB33680" s="38"/>
    </row>
    <row r="33681">
      <c r="P33681" s="42"/>
      <c r="AB33681" s="38"/>
    </row>
    <row r="33682">
      <c r="P33682" s="42"/>
      <c r="AB33682" s="38"/>
    </row>
    <row r="33683">
      <c r="P33683" s="42"/>
      <c r="AB33683" s="38"/>
    </row>
    <row r="33684">
      <c r="P33684" s="42"/>
      <c r="AB33684" s="38"/>
    </row>
    <row r="33685">
      <c r="P33685" s="42"/>
      <c r="AB33685" s="38"/>
    </row>
    <row r="33686">
      <c r="P33686" s="42"/>
      <c r="AB33686" s="38"/>
    </row>
    <row r="33687">
      <c r="P33687" s="42"/>
      <c r="AB33687" s="38"/>
    </row>
    <row r="33688">
      <c r="P33688" s="42"/>
      <c r="AB33688" s="38"/>
    </row>
    <row r="33689">
      <c r="P33689" s="42"/>
      <c r="AB33689" s="38"/>
    </row>
    <row r="33690">
      <c r="P33690" s="42"/>
      <c r="AB33690" s="38"/>
    </row>
    <row r="33691">
      <c r="P33691" s="42"/>
      <c r="AB33691" s="38"/>
    </row>
    <row r="33692">
      <c r="P33692" s="42"/>
      <c r="AB33692" s="38"/>
    </row>
    <row r="33693">
      <c r="P33693" s="42"/>
      <c r="AB33693" s="38"/>
    </row>
    <row r="33694">
      <c r="P33694" s="42"/>
      <c r="AB33694" s="38"/>
    </row>
    <row r="33695">
      <c r="P33695" s="42"/>
      <c r="AB33695" s="38"/>
    </row>
    <row r="33696">
      <c r="P33696" s="42"/>
      <c r="AB33696" s="38"/>
    </row>
    <row r="33697">
      <c r="P33697" s="42"/>
      <c r="AB33697" s="38"/>
    </row>
    <row r="33698">
      <c r="P33698" s="42"/>
      <c r="AB33698" s="38"/>
    </row>
    <row r="33699">
      <c r="P33699" s="42"/>
      <c r="AB33699" s="38"/>
    </row>
    <row r="33700">
      <c r="P33700" s="42"/>
      <c r="AB33700" s="38"/>
    </row>
    <row r="33701">
      <c r="P33701" s="42"/>
      <c r="AB33701" s="38"/>
    </row>
    <row r="33702">
      <c r="P33702" s="42"/>
      <c r="AB33702" s="38"/>
    </row>
    <row r="33703">
      <c r="P33703" s="42"/>
      <c r="AB33703" s="38"/>
    </row>
    <row r="33704">
      <c r="P33704" s="42"/>
      <c r="AB33704" s="38"/>
    </row>
    <row r="33705">
      <c r="P33705" s="42"/>
      <c r="AB33705" s="38"/>
    </row>
    <row r="33706">
      <c r="P33706" s="42"/>
      <c r="AB33706" s="38"/>
    </row>
    <row r="33707">
      <c r="P33707" s="42"/>
      <c r="AB33707" s="38"/>
    </row>
    <row r="33708">
      <c r="P33708" s="42"/>
      <c r="AB33708" s="38"/>
    </row>
    <row r="33709">
      <c r="P33709" s="42"/>
      <c r="AB33709" s="38"/>
    </row>
    <row r="33710">
      <c r="P33710" s="42"/>
      <c r="AB33710" s="38"/>
    </row>
    <row r="33711">
      <c r="P33711" s="42"/>
      <c r="AB33711" s="38"/>
    </row>
    <row r="33712">
      <c r="P33712" s="42"/>
      <c r="AB33712" s="38"/>
    </row>
    <row r="33713">
      <c r="P33713" s="42"/>
      <c r="AB33713" s="38"/>
    </row>
    <row r="33714">
      <c r="P33714" s="42"/>
      <c r="AB33714" s="38"/>
    </row>
    <row r="33715">
      <c r="P33715" s="42"/>
      <c r="AB33715" s="38"/>
    </row>
    <row r="33716">
      <c r="P33716" s="42"/>
      <c r="AB33716" s="38"/>
    </row>
    <row r="33717">
      <c r="P33717" s="42"/>
      <c r="AB33717" s="38"/>
    </row>
    <row r="33718">
      <c r="P33718" s="42"/>
      <c r="AB33718" s="38"/>
    </row>
    <row r="33719">
      <c r="P33719" s="42"/>
      <c r="AB33719" s="38"/>
    </row>
    <row r="33720">
      <c r="P33720" s="42"/>
      <c r="AB33720" s="38"/>
    </row>
    <row r="33721">
      <c r="P33721" s="42"/>
      <c r="AB33721" s="38"/>
    </row>
    <row r="33722">
      <c r="P33722" s="42"/>
      <c r="AB33722" s="38"/>
    </row>
    <row r="33723">
      <c r="P33723" s="42"/>
      <c r="AB33723" s="38"/>
    </row>
    <row r="33724">
      <c r="P33724" s="42"/>
      <c r="AB33724" s="38"/>
    </row>
    <row r="33725">
      <c r="P33725" s="42"/>
      <c r="AB33725" s="38"/>
    </row>
    <row r="33726">
      <c r="P33726" s="42"/>
      <c r="AB33726" s="38"/>
    </row>
    <row r="33727">
      <c r="P33727" s="42"/>
      <c r="AB33727" s="38"/>
    </row>
    <row r="33728">
      <c r="P33728" s="42"/>
      <c r="AB33728" s="38"/>
    </row>
    <row r="33729">
      <c r="P33729" s="42"/>
      <c r="AB33729" s="38"/>
    </row>
    <row r="33730">
      <c r="P33730" s="42"/>
      <c r="AB33730" s="38"/>
    </row>
    <row r="33731">
      <c r="P33731" s="42"/>
      <c r="AB33731" s="38"/>
    </row>
    <row r="33732">
      <c r="P33732" s="42"/>
      <c r="AB33732" s="38"/>
    </row>
    <row r="33733">
      <c r="P33733" s="42"/>
      <c r="AB33733" s="38"/>
    </row>
    <row r="33734">
      <c r="P33734" s="42"/>
      <c r="AB33734" s="38"/>
    </row>
    <row r="33735">
      <c r="P33735" s="42"/>
      <c r="AB33735" s="38"/>
    </row>
    <row r="33736">
      <c r="P33736" s="42"/>
      <c r="AB33736" s="38"/>
    </row>
    <row r="33737">
      <c r="P33737" s="42"/>
      <c r="AB33737" s="38"/>
    </row>
    <row r="33738">
      <c r="P33738" s="42"/>
      <c r="AB33738" s="38"/>
    </row>
    <row r="33739">
      <c r="P33739" s="42"/>
      <c r="AB33739" s="38"/>
    </row>
    <row r="33740">
      <c r="P33740" s="42"/>
      <c r="AB33740" s="38"/>
    </row>
    <row r="33741">
      <c r="P33741" s="42"/>
      <c r="AB33741" s="38"/>
    </row>
    <row r="33742">
      <c r="P33742" s="42"/>
      <c r="AB33742" s="38"/>
    </row>
    <row r="33743">
      <c r="P33743" s="42"/>
      <c r="AB33743" s="38"/>
    </row>
    <row r="33744">
      <c r="P33744" s="42"/>
      <c r="AB33744" s="38"/>
    </row>
    <row r="33745">
      <c r="P33745" s="42"/>
      <c r="AB33745" s="38"/>
    </row>
    <row r="33746">
      <c r="P33746" s="42"/>
      <c r="AB33746" s="38"/>
    </row>
    <row r="33747">
      <c r="P33747" s="42"/>
      <c r="AB33747" s="38"/>
    </row>
    <row r="33748">
      <c r="P33748" s="42"/>
      <c r="AB33748" s="38"/>
    </row>
    <row r="33749">
      <c r="P33749" s="42"/>
      <c r="AB33749" s="38"/>
    </row>
    <row r="33750">
      <c r="P33750" s="42"/>
      <c r="AB33750" s="38"/>
    </row>
    <row r="33751">
      <c r="P33751" s="42"/>
      <c r="AB33751" s="38"/>
    </row>
    <row r="33752">
      <c r="P33752" s="42"/>
      <c r="AB33752" s="38"/>
    </row>
    <row r="33753">
      <c r="P33753" s="42"/>
      <c r="AB33753" s="38"/>
    </row>
    <row r="33754">
      <c r="P33754" s="42"/>
      <c r="AB33754" s="38"/>
    </row>
    <row r="33755">
      <c r="P33755" s="42"/>
      <c r="AB33755" s="38"/>
    </row>
    <row r="33756">
      <c r="P33756" s="42"/>
      <c r="AB33756" s="38"/>
    </row>
    <row r="33757">
      <c r="P33757" s="42"/>
      <c r="AB33757" s="38"/>
    </row>
    <row r="33758">
      <c r="P33758" s="42"/>
      <c r="AB33758" s="38"/>
    </row>
    <row r="33759">
      <c r="P33759" s="42"/>
      <c r="AB33759" s="38"/>
    </row>
    <row r="33760">
      <c r="P33760" s="42"/>
      <c r="AB33760" s="38"/>
    </row>
    <row r="33761">
      <c r="P33761" s="42"/>
      <c r="AB33761" s="38"/>
    </row>
    <row r="33762">
      <c r="P33762" s="42"/>
      <c r="AB33762" s="38"/>
    </row>
    <row r="33763">
      <c r="P33763" s="42"/>
      <c r="AB33763" s="38"/>
    </row>
    <row r="33764">
      <c r="P33764" s="42"/>
      <c r="AB33764" s="38"/>
    </row>
    <row r="33765">
      <c r="P33765" s="42"/>
      <c r="AB33765" s="38"/>
    </row>
    <row r="33766">
      <c r="P33766" s="42"/>
      <c r="AB33766" s="38"/>
    </row>
    <row r="33767">
      <c r="P33767" s="42"/>
      <c r="AB33767" s="38"/>
    </row>
    <row r="33768">
      <c r="P33768" s="42"/>
      <c r="AB33768" s="38"/>
    </row>
    <row r="33769">
      <c r="P33769" s="42"/>
      <c r="AB33769" s="38"/>
    </row>
    <row r="33770">
      <c r="P33770" s="42"/>
      <c r="AB33770" s="38"/>
    </row>
    <row r="33771">
      <c r="P33771" s="42"/>
      <c r="AB33771" s="38"/>
    </row>
    <row r="33772">
      <c r="P33772" s="42"/>
      <c r="AB33772" s="38"/>
    </row>
    <row r="33773">
      <c r="P33773" s="42"/>
      <c r="AB33773" s="38"/>
    </row>
    <row r="33774">
      <c r="P33774" s="42"/>
      <c r="AB33774" s="38"/>
    </row>
    <row r="33775">
      <c r="P33775" s="42"/>
      <c r="AB33775" s="38"/>
    </row>
    <row r="33776">
      <c r="P33776" s="42"/>
      <c r="AB33776" s="38"/>
    </row>
    <row r="33777">
      <c r="P33777" s="42"/>
      <c r="AB33777" s="38"/>
    </row>
    <row r="33778">
      <c r="P33778" s="42"/>
      <c r="AB33778" s="38"/>
    </row>
    <row r="33779">
      <c r="P33779" s="42"/>
      <c r="AB33779" s="38"/>
    </row>
    <row r="33780">
      <c r="P33780" s="42"/>
      <c r="AB33780" s="38"/>
    </row>
    <row r="33781">
      <c r="P33781" s="42"/>
      <c r="AB33781" s="38"/>
    </row>
    <row r="33782">
      <c r="P33782" s="42"/>
      <c r="AB33782" s="38"/>
    </row>
    <row r="33783">
      <c r="P33783" s="42"/>
      <c r="AB33783" s="38"/>
    </row>
    <row r="33784">
      <c r="P33784" s="42"/>
      <c r="AB33784" s="38"/>
    </row>
    <row r="33785">
      <c r="P33785" s="42"/>
      <c r="AB33785" s="38"/>
    </row>
    <row r="33786">
      <c r="P33786" s="42"/>
      <c r="AB33786" s="38"/>
    </row>
    <row r="33787">
      <c r="P33787" s="42"/>
      <c r="AB33787" s="38"/>
    </row>
    <row r="33788">
      <c r="P33788" s="42"/>
      <c r="AB33788" s="38"/>
    </row>
    <row r="33789">
      <c r="P33789" s="42"/>
      <c r="AB33789" s="38"/>
    </row>
    <row r="33790">
      <c r="P33790" s="42"/>
      <c r="AB33790" s="38"/>
    </row>
    <row r="33791">
      <c r="P33791" s="42"/>
      <c r="AB33791" s="38"/>
    </row>
    <row r="33792">
      <c r="P33792" s="42"/>
      <c r="AB33792" s="38"/>
    </row>
    <row r="33793">
      <c r="P33793" s="42"/>
      <c r="AB33793" s="38"/>
    </row>
    <row r="33794">
      <c r="P33794" s="42"/>
      <c r="AB33794" s="38"/>
    </row>
    <row r="33795">
      <c r="P33795" s="42"/>
      <c r="AB33795" s="38"/>
    </row>
    <row r="33796">
      <c r="P33796" s="42"/>
      <c r="AB33796" s="38"/>
    </row>
    <row r="33797">
      <c r="P33797" s="42"/>
      <c r="AB33797" s="38"/>
    </row>
    <row r="33798">
      <c r="P33798" s="42"/>
      <c r="AB33798" s="38"/>
    </row>
    <row r="33799">
      <c r="P33799" s="42"/>
      <c r="AB33799" s="38"/>
    </row>
    <row r="33800">
      <c r="P33800" s="42"/>
      <c r="AB33800" s="38"/>
    </row>
    <row r="33801">
      <c r="P33801" s="42"/>
      <c r="AB33801" s="38"/>
    </row>
    <row r="33802">
      <c r="P33802" s="42"/>
      <c r="AB33802" s="38"/>
    </row>
    <row r="33803">
      <c r="P33803" s="42"/>
      <c r="AB33803" s="38"/>
    </row>
    <row r="33804">
      <c r="P33804" s="42"/>
      <c r="AB33804" s="38"/>
    </row>
    <row r="33805">
      <c r="P33805" s="42"/>
      <c r="AB33805" s="38"/>
    </row>
    <row r="33806">
      <c r="P33806" s="42"/>
      <c r="AB33806" s="38"/>
    </row>
    <row r="33807">
      <c r="P33807" s="42"/>
      <c r="AB33807" s="38"/>
    </row>
    <row r="33808">
      <c r="P33808" s="42"/>
      <c r="AB33808" s="38"/>
    </row>
    <row r="33809">
      <c r="P33809" s="42"/>
      <c r="AB33809" s="38"/>
    </row>
    <row r="33810">
      <c r="P33810" s="42"/>
      <c r="AB33810" s="38"/>
    </row>
    <row r="33811">
      <c r="P33811" s="42"/>
      <c r="AB33811" s="38"/>
    </row>
    <row r="33812">
      <c r="P33812" s="42"/>
      <c r="AB33812" s="38"/>
    </row>
    <row r="33813">
      <c r="P33813" s="42"/>
      <c r="AB33813" s="38"/>
    </row>
    <row r="33814">
      <c r="P33814" s="42"/>
      <c r="AB33814" s="38"/>
    </row>
    <row r="33815">
      <c r="P33815" s="42"/>
      <c r="AB33815" s="38"/>
    </row>
    <row r="33816">
      <c r="P33816" s="42"/>
      <c r="AB33816" s="38"/>
    </row>
    <row r="33817">
      <c r="P33817" s="42"/>
      <c r="AB33817" s="38"/>
    </row>
    <row r="33818">
      <c r="P33818" s="42"/>
      <c r="AB33818" s="38"/>
    </row>
    <row r="33819">
      <c r="P33819" s="42"/>
      <c r="AB33819" s="38"/>
    </row>
    <row r="33820">
      <c r="P33820" s="42"/>
      <c r="AB33820" s="38"/>
    </row>
    <row r="33821">
      <c r="P33821" s="42"/>
      <c r="AB33821" s="38"/>
    </row>
    <row r="33822">
      <c r="P33822" s="42"/>
      <c r="AB33822" s="38"/>
    </row>
    <row r="33823">
      <c r="P33823" s="42"/>
      <c r="AB33823" s="38"/>
    </row>
    <row r="33824">
      <c r="P33824" s="42"/>
      <c r="AB33824" s="38"/>
    </row>
    <row r="33825">
      <c r="P33825" s="42"/>
      <c r="AB33825" s="38"/>
    </row>
    <row r="33826">
      <c r="P33826" s="42"/>
      <c r="AB33826" s="38"/>
    </row>
    <row r="33827">
      <c r="P33827" s="42"/>
      <c r="AB33827" s="38"/>
    </row>
    <row r="33828">
      <c r="P33828" s="42"/>
      <c r="AB33828" s="38"/>
    </row>
    <row r="33829">
      <c r="P33829" s="42"/>
      <c r="AB33829" s="38"/>
    </row>
    <row r="33830">
      <c r="P33830" s="42"/>
      <c r="AB33830" s="38"/>
    </row>
    <row r="33831">
      <c r="P33831" s="42"/>
      <c r="AB33831" s="38"/>
    </row>
    <row r="33832">
      <c r="P33832" s="42"/>
      <c r="AB33832" s="38"/>
    </row>
    <row r="33833">
      <c r="P33833" s="42"/>
      <c r="AB33833" s="38"/>
    </row>
    <row r="33834">
      <c r="P33834" s="42"/>
      <c r="AB33834" s="38"/>
    </row>
    <row r="33835">
      <c r="P33835" s="42"/>
      <c r="AB33835" s="38"/>
    </row>
    <row r="33836">
      <c r="P33836" s="42"/>
      <c r="AB33836" s="38"/>
    </row>
    <row r="33837">
      <c r="P33837" s="42"/>
      <c r="AB33837" s="38"/>
    </row>
    <row r="33838">
      <c r="P33838" s="42"/>
      <c r="AB33838" s="38"/>
    </row>
    <row r="33839">
      <c r="P33839" s="42"/>
      <c r="AB33839" s="38"/>
    </row>
    <row r="33840">
      <c r="P33840" s="42"/>
      <c r="AB33840" s="38"/>
    </row>
    <row r="33841">
      <c r="P33841" s="42"/>
      <c r="AB33841" s="38"/>
    </row>
    <row r="33842">
      <c r="P33842" s="42"/>
      <c r="AB33842" s="38"/>
    </row>
    <row r="33843">
      <c r="P33843" s="42"/>
      <c r="AB33843" s="38"/>
    </row>
    <row r="33844">
      <c r="P33844" s="42"/>
      <c r="AB33844" s="38"/>
    </row>
    <row r="33845">
      <c r="P33845" s="42"/>
      <c r="AB33845" s="38"/>
    </row>
    <row r="33846">
      <c r="P33846" s="42"/>
      <c r="AB33846" s="38"/>
    </row>
    <row r="33847">
      <c r="P33847" s="42"/>
      <c r="AB33847" s="38"/>
    </row>
    <row r="33848">
      <c r="P33848" s="42"/>
      <c r="AB33848" s="38"/>
    </row>
    <row r="33849">
      <c r="P33849" s="42"/>
      <c r="AB33849" s="38"/>
    </row>
    <row r="33850">
      <c r="P33850" s="42"/>
      <c r="AB33850" s="38"/>
    </row>
    <row r="33851">
      <c r="P33851" s="42"/>
      <c r="AB33851" s="38"/>
    </row>
    <row r="33852">
      <c r="P33852" s="42"/>
      <c r="AB33852" s="38"/>
    </row>
    <row r="33853">
      <c r="P33853" s="42"/>
      <c r="AB33853" s="38"/>
    </row>
    <row r="33854">
      <c r="P33854" s="42"/>
      <c r="AB33854" s="38"/>
    </row>
    <row r="33855">
      <c r="P33855" s="42"/>
      <c r="AB33855" s="38"/>
    </row>
    <row r="33856">
      <c r="P33856" s="42"/>
      <c r="AB33856" s="38"/>
    </row>
    <row r="33857">
      <c r="P33857" s="42"/>
      <c r="AB33857" s="38"/>
    </row>
    <row r="33858">
      <c r="P33858" s="42"/>
      <c r="AB33858" s="38"/>
    </row>
    <row r="33859">
      <c r="P33859" s="42"/>
      <c r="AB33859" s="38"/>
    </row>
    <row r="33860">
      <c r="P33860" s="42"/>
      <c r="AB33860" s="38"/>
    </row>
    <row r="33861">
      <c r="P33861" s="42"/>
      <c r="AB33861" s="38"/>
    </row>
    <row r="33862">
      <c r="P33862" s="42"/>
      <c r="AB33862" s="38"/>
    </row>
    <row r="33863">
      <c r="P33863" s="42"/>
      <c r="AB33863" s="38"/>
    </row>
    <row r="33864">
      <c r="P33864" s="42"/>
      <c r="AB33864" s="38"/>
    </row>
    <row r="33865">
      <c r="P33865" s="42"/>
      <c r="AB33865" s="38"/>
    </row>
    <row r="33866">
      <c r="P33866" s="42"/>
      <c r="AB33866" s="38"/>
    </row>
    <row r="33867">
      <c r="P33867" s="42"/>
      <c r="AB33867" s="38"/>
    </row>
    <row r="33868">
      <c r="P33868" s="42"/>
      <c r="AB33868" s="38"/>
    </row>
    <row r="33869">
      <c r="P33869" s="42"/>
      <c r="AB33869" s="38"/>
    </row>
    <row r="33870">
      <c r="P33870" s="42"/>
      <c r="AB33870" s="38"/>
    </row>
    <row r="33871">
      <c r="P33871" s="42"/>
      <c r="AB33871" s="38"/>
    </row>
    <row r="33872">
      <c r="P33872" s="42"/>
      <c r="AB33872" s="38"/>
    </row>
    <row r="33873">
      <c r="P33873" s="42"/>
      <c r="AB33873" s="38"/>
    </row>
    <row r="33874">
      <c r="P33874" s="42"/>
      <c r="AB33874" s="38"/>
    </row>
    <row r="33875">
      <c r="P33875" s="42"/>
      <c r="AB33875" s="38"/>
    </row>
    <row r="33876">
      <c r="P33876" s="42"/>
      <c r="AB33876" s="38"/>
    </row>
    <row r="33877">
      <c r="P33877" s="42"/>
      <c r="AB33877" s="38"/>
    </row>
    <row r="33878">
      <c r="P33878" s="42"/>
      <c r="AB33878" s="38"/>
    </row>
    <row r="33879">
      <c r="P33879" s="42"/>
      <c r="AB33879" s="38"/>
    </row>
    <row r="33880">
      <c r="P33880" s="42"/>
      <c r="AB33880" s="38"/>
    </row>
    <row r="33881">
      <c r="P33881" s="42"/>
      <c r="AB33881" s="38"/>
    </row>
    <row r="33882">
      <c r="P33882" s="42"/>
      <c r="AB33882" s="38"/>
    </row>
    <row r="33883">
      <c r="P33883" s="42"/>
      <c r="AB33883" s="38"/>
    </row>
    <row r="33884">
      <c r="P33884" s="42"/>
      <c r="AB33884" s="38"/>
    </row>
    <row r="33885">
      <c r="P33885" s="42"/>
      <c r="AB33885" s="38"/>
    </row>
    <row r="33886">
      <c r="P33886" s="42"/>
      <c r="AB33886" s="38"/>
    </row>
    <row r="33887">
      <c r="P33887" s="42"/>
      <c r="AB33887" s="38"/>
    </row>
    <row r="33888">
      <c r="P33888" s="42"/>
      <c r="AB33888" s="38"/>
    </row>
    <row r="33889">
      <c r="P33889" s="42"/>
      <c r="AB33889" s="38"/>
    </row>
    <row r="33890">
      <c r="P33890" s="42"/>
      <c r="AB33890" s="38"/>
    </row>
    <row r="33891">
      <c r="P33891" s="42"/>
      <c r="AB33891" s="38"/>
    </row>
    <row r="33892">
      <c r="P33892" s="42"/>
      <c r="AB33892" s="38"/>
    </row>
    <row r="33893">
      <c r="P33893" s="42"/>
      <c r="AB33893" s="38"/>
    </row>
    <row r="33894">
      <c r="P33894" s="42"/>
      <c r="AB33894" s="38"/>
    </row>
    <row r="33895">
      <c r="P33895" s="42"/>
      <c r="AB33895" s="38"/>
    </row>
    <row r="33896">
      <c r="P33896" s="42"/>
      <c r="AB33896" s="38"/>
    </row>
    <row r="33897">
      <c r="P33897" s="42"/>
      <c r="AB33897" s="38"/>
    </row>
    <row r="33898">
      <c r="P33898" s="42"/>
      <c r="AB33898" s="38"/>
    </row>
    <row r="33899">
      <c r="P33899" s="42"/>
      <c r="AB33899" s="38"/>
    </row>
    <row r="33900">
      <c r="P33900" s="42"/>
      <c r="AB33900" s="38"/>
    </row>
    <row r="33901">
      <c r="P33901" s="42"/>
      <c r="AB33901" s="38"/>
    </row>
    <row r="33902">
      <c r="P33902" s="42"/>
      <c r="AB33902" s="38"/>
    </row>
    <row r="33903">
      <c r="P33903" s="42"/>
      <c r="AB33903" s="38"/>
    </row>
    <row r="33904">
      <c r="P33904" s="42"/>
      <c r="AB33904" s="38"/>
    </row>
    <row r="33905">
      <c r="P33905" s="42"/>
      <c r="AB33905" s="38"/>
    </row>
    <row r="33906">
      <c r="P33906" s="42"/>
      <c r="AB33906" s="38"/>
    </row>
    <row r="33907">
      <c r="P33907" s="42"/>
      <c r="AB33907" s="38"/>
    </row>
    <row r="33908">
      <c r="P33908" s="42"/>
      <c r="AB33908" s="38"/>
    </row>
    <row r="33909">
      <c r="P33909" s="42"/>
      <c r="AB33909" s="38"/>
    </row>
    <row r="33910">
      <c r="P33910" s="42"/>
      <c r="AB33910" s="38"/>
    </row>
    <row r="33911">
      <c r="P33911" s="42"/>
      <c r="AB33911" s="38"/>
    </row>
    <row r="33912">
      <c r="P33912" s="42"/>
      <c r="AB33912" s="38"/>
    </row>
    <row r="33913">
      <c r="P33913" s="42"/>
      <c r="AB33913" s="38"/>
    </row>
    <row r="33914">
      <c r="P33914" s="42"/>
      <c r="AB33914" s="38"/>
    </row>
    <row r="33915">
      <c r="P33915" s="42"/>
      <c r="AB33915" s="38"/>
    </row>
    <row r="33916">
      <c r="P33916" s="42"/>
      <c r="AB33916" s="38"/>
    </row>
    <row r="33917">
      <c r="P33917" s="42"/>
      <c r="AB33917" s="38"/>
    </row>
    <row r="33918">
      <c r="P33918" s="42"/>
      <c r="AB33918" s="38"/>
    </row>
    <row r="33919">
      <c r="P33919" s="42"/>
      <c r="AB33919" s="38"/>
    </row>
    <row r="33920">
      <c r="P33920" s="42"/>
      <c r="AB33920" s="38"/>
    </row>
    <row r="33921">
      <c r="P33921" s="42"/>
      <c r="AB33921" s="38"/>
    </row>
    <row r="33922">
      <c r="P33922" s="42"/>
      <c r="AB33922" s="38"/>
    </row>
    <row r="33923">
      <c r="P33923" s="42"/>
      <c r="AB33923" s="38"/>
    </row>
    <row r="33924">
      <c r="P33924" s="42"/>
      <c r="AB33924" s="38"/>
    </row>
    <row r="33925">
      <c r="P33925" s="42"/>
      <c r="AB33925" s="38"/>
    </row>
    <row r="33926">
      <c r="P33926" s="42"/>
      <c r="AB33926" s="38"/>
    </row>
    <row r="33927">
      <c r="P33927" s="42"/>
      <c r="AB33927" s="38"/>
    </row>
    <row r="33928">
      <c r="P33928" s="42"/>
      <c r="AB33928" s="38"/>
    </row>
    <row r="33929">
      <c r="P33929" s="42"/>
      <c r="AB33929" s="38"/>
    </row>
    <row r="33930">
      <c r="P33930" s="42"/>
      <c r="AB33930" s="38"/>
    </row>
    <row r="33931">
      <c r="P33931" s="42"/>
      <c r="AB33931" s="38"/>
    </row>
    <row r="33932">
      <c r="P33932" s="42"/>
      <c r="AB33932" s="38"/>
    </row>
    <row r="33933">
      <c r="P33933" s="42"/>
      <c r="AB33933" s="38"/>
    </row>
    <row r="33934">
      <c r="P33934" s="42"/>
      <c r="AB33934" s="38"/>
    </row>
    <row r="33935">
      <c r="P33935" s="42"/>
      <c r="AB33935" s="38"/>
    </row>
    <row r="33936">
      <c r="P33936" s="42"/>
      <c r="AB33936" s="38"/>
    </row>
    <row r="33937">
      <c r="P33937" s="42"/>
      <c r="AB33937" s="38"/>
    </row>
    <row r="33938">
      <c r="P33938" s="42"/>
      <c r="AB33938" s="38"/>
    </row>
    <row r="33939">
      <c r="P33939" s="42"/>
      <c r="AB33939" s="38"/>
    </row>
    <row r="33940">
      <c r="P33940" s="42"/>
      <c r="AB33940" s="38"/>
    </row>
    <row r="33941">
      <c r="P33941" s="42"/>
      <c r="AB33941" s="38"/>
    </row>
    <row r="33942">
      <c r="P33942" s="42"/>
      <c r="AB33942" s="38"/>
    </row>
    <row r="33943">
      <c r="P33943" s="42"/>
      <c r="AB33943" s="38"/>
    </row>
    <row r="33944">
      <c r="P33944" s="42"/>
      <c r="AB33944" s="38"/>
    </row>
    <row r="33945">
      <c r="P33945" s="42"/>
      <c r="AB33945" s="38"/>
    </row>
    <row r="33946">
      <c r="P33946" s="42"/>
      <c r="AB33946" s="38"/>
    </row>
    <row r="33947">
      <c r="P33947" s="42"/>
      <c r="AB33947" s="38"/>
    </row>
    <row r="33948">
      <c r="P33948" s="42"/>
      <c r="AB33948" s="38"/>
    </row>
    <row r="33949">
      <c r="P33949" s="42"/>
      <c r="AB33949" s="38"/>
    </row>
    <row r="33950">
      <c r="P33950" s="42"/>
      <c r="AB33950" s="38"/>
    </row>
    <row r="33951">
      <c r="P33951" s="42"/>
      <c r="AB33951" s="38"/>
    </row>
    <row r="33952">
      <c r="P33952" s="42"/>
      <c r="AB33952" s="38"/>
    </row>
    <row r="33953">
      <c r="P33953" s="42"/>
      <c r="AB33953" s="38"/>
    </row>
    <row r="33954">
      <c r="P33954" s="42"/>
      <c r="AB33954" s="38"/>
    </row>
    <row r="33955">
      <c r="P33955" s="42"/>
      <c r="AB33955" s="38"/>
    </row>
    <row r="33956">
      <c r="P33956" s="42"/>
      <c r="AB33956" s="38"/>
    </row>
    <row r="33957">
      <c r="P33957" s="42"/>
      <c r="AB33957" s="38"/>
    </row>
    <row r="33958">
      <c r="P33958" s="42"/>
      <c r="AB33958" s="38"/>
    </row>
    <row r="33959">
      <c r="P33959" s="42"/>
      <c r="AB33959" s="38"/>
    </row>
    <row r="33960">
      <c r="P33960" s="42"/>
      <c r="AB33960" s="38"/>
    </row>
    <row r="33961">
      <c r="P33961" s="42"/>
      <c r="AB33961" s="38"/>
    </row>
    <row r="33962">
      <c r="P33962" s="42"/>
      <c r="AB33962" s="38"/>
    </row>
    <row r="33963">
      <c r="P33963" s="42"/>
      <c r="AB33963" s="38"/>
    </row>
    <row r="33964">
      <c r="P33964" s="42"/>
      <c r="AB33964" s="38"/>
    </row>
    <row r="33965">
      <c r="P33965" s="42"/>
      <c r="AB33965" s="38"/>
    </row>
    <row r="33966">
      <c r="P33966" s="42"/>
      <c r="AB33966" s="38"/>
    </row>
    <row r="33967">
      <c r="P33967" s="42"/>
      <c r="AB33967" s="38"/>
    </row>
    <row r="33968">
      <c r="P33968" s="42"/>
      <c r="AB33968" s="38"/>
    </row>
    <row r="33969">
      <c r="P33969" s="42"/>
      <c r="AB33969" s="38"/>
    </row>
    <row r="33970">
      <c r="P33970" s="42"/>
      <c r="AB33970" s="38"/>
    </row>
    <row r="33971">
      <c r="P33971" s="42"/>
      <c r="AB33971" s="38"/>
    </row>
    <row r="33972">
      <c r="P33972" s="42"/>
      <c r="AB33972" s="38"/>
    </row>
    <row r="33973">
      <c r="P33973" s="42"/>
      <c r="AB33973" s="38"/>
    </row>
    <row r="33974">
      <c r="P33974" s="42"/>
      <c r="AB33974" s="38"/>
    </row>
    <row r="33975">
      <c r="P33975" s="42"/>
      <c r="AB33975" s="38"/>
    </row>
    <row r="33976">
      <c r="P33976" s="42"/>
      <c r="AB33976" s="38"/>
    </row>
    <row r="33977">
      <c r="P33977" s="42"/>
      <c r="AB33977" s="38"/>
    </row>
    <row r="33978">
      <c r="P33978" s="42"/>
      <c r="AB33978" s="38"/>
    </row>
    <row r="33979">
      <c r="P33979" s="42"/>
      <c r="AB33979" s="38"/>
    </row>
    <row r="33980">
      <c r="P33980" s="42"/>
      <c r="AB33980" s="38"/>
    </row>
    <row r="33981">
      <c r="P33981" s="42"/>
      <c r="AB33981" s="38"/>
    </row>
    <row r="33982">
      <c r="P33982" s="42"/>
      <c r="AB33982" s="38"/>
    </row>
    <row r="33983">
      <c r="P33983" s="42"/>
      <c r="AB33983" s="38"/>
    </row>
    <row r="33984">
      <c r="P33984" s="42"/>
      <c r="AB33984" s="38"/>
    </row>
    <row r="33985">
      <c r="P33985" s="42"/>
      <c r="AB33985" s="38"/>
    </row>
    <row r="33986">
      <c r="P33986" s="42"/>
      <c r="AB33986" s="38"/>
    </row>
    <row r="33987">
      <c r="P33987" s="42"/>
      <c r="AB33987" s="38"/>
    </row>
    <row r="33988">
      <c r="P33988" s="42"/>
      <c r="AB33988" s="38"/>
    </row>
    <row r="33989">
      <c r="P33989" s="42"/>
      <c r="AB33989" s="38"/>
    </row>
    <row r="33990">
      <c r="P33990" s="42"/>
      <c r="AB33990" s="38"/>
    </row>
    <row r="33991">
      <c r="P33991" s="42"/>
      <c r="AB33991" s="38"/>
    </row>
    <row r="33992">
      <c r="P33992" s="42"/>
      <c r="AB33992" s="38"/>
    </row>
    <row r="33993">
      <c r="P33993" s="42"/>
      <c r="AB33993" s="38"/>
    </row>
    <row r="33994">
      <c r="P33994" s="42"/>
      <c r="AB33994" s="38"/>
    </row>
    <row r="33995">
      <c r="P33995" s="42"/>
      <c r="AB33995" s="38"/>
    </row>
    <row r="33996">
      <c r="P33996" s="42"/>
      <c r="AB33996" s="38"/>
    </row>
    <row r="33997">
      <c r="P33997" s="42"/>
      <c r="AB33997" s="38"/>
    </row>
    <row r="33998">
      <c r="P33998" s="42"/>
      <c r="AB33998" s="38"/>
    </row>
    <row r="33999">
      <c r="P33999" s="42"/>
      <c r="AB33999" s="38"/>
    </row>
    <row r="34000">
      <c r="P34000" s="42"/>
      <c r="AB34000" s="38"/>
    </row>
    <row r="34001">
      <c r="P34001" s="42"/>
      <c r="AB34001" s="38"/>
    </row>
    <row r="34002">
      <c r="P34002" s="42"/>
      <c r="AB34002" s="38"/>
    </row>
    <row r="34003">
      <c r="P34003" s="42"/>
      <c r="AB34003" s="38"/>
    </row>
    <row r="34004">
      <c r="P34004" s="42"/>
      <c r="AB34004" s="38"/>
    </row>
    <row r="34005">
      <c r="P34005" s="42"/>
      <c r="AB34005" s="38"/>
    </row>
    <row r="34006">
      <c r="P34006" s="42"/>
      <c r="AB34006" s="38"/>
    </row>
    <row r="34007">
      <c r="P34007" s="42"/>
      <c r="AB34007" s="38"/>
    </row>
    <row r="34008">
      <c r="P34008" s="42"/>
      <c r="AB34008" s="38"/>
    </row>
    <row r="34009">
      <c r="P34009" s="42"/>
      <c r="AB34009" s="38"/>
    </row>
    <row r="34010">
      <c r="P34010" s="42"/>
      <c r="AB34010" s="38"/>
    </row>
    <row r="34011">
      <c r="P34011" s="42"/>
      <c r="AB34011" s="38"/>
    </row>
    <row r="34012">
      <c r="P34012" s="42"/>
      <c r="AB34012" s="38"/>
    </row>
    <row r="34013">
      <c r="P34013" s="42"/>
      <c r="AB34013" s="38"/>
    </row>
    <row r="34014">
      <c r="P34014" s="42"/>
      <c r="AB34014" s="38"/>
    </row>
    <row r="34015">
      <c r="P34015" s="42"/>
      <c r="AB34015" s="38"/>
    </row>
    <row r="34016">
      <c r="P34016" s="42"/>
      <c r="AB34016" s="38"/>
    </row>
    <row r="34017">
      <c r="P34017" s="42"/>
      <c r="AB34017" s="38"/>
    </row>
    <row r="34018">
      <c r="P34018" s="42"/>
      <c r="AB34018" s="38"/>
    </row>
    <row r="34019">
      <c r="P34019" s="42"/>
      <c r="AB34019" s="38"/>
    </row>
    <row r="34020">
      <c r="P34020" s="42"/>
      <c r="AB34020" s="38"/>
    </row>
    <row r="34021">
      <c r="P34021" s="42"/>
      <c r="AB34021" s="38"/>
    </row>
    <row r="34022">
      <c r="P34022" s="42"/>
      <c r="AB34022" s="38"/>
    </row>
    <row r="34023">
      <c r="P34023" s="42"/>
      <c r="AB34023" s="38"/>
    </row>
    <row r="34024">
      <c r="P34024" s="42"/>
      <c r="AB34024" s="38"/>
    </row>
    <row r="34025">
      <c r="P34025" s="42"/>
      <c r="AB34025" s="38"/>
    </row>
    <row r="34026">
      <c r="P34026" s="42"/>
      <c r="AB34026" s="38"/>
    </row>
    <row r="34027">
      <c r="P34027" s="42"/>
      <c r="AB34027" s="38"/>
    </row>
    <row r="34028">
      <c r="P34028" s="42"/>
      <c r="AB34028" s="38"/>
    </row>
    <row r="34029">
      <c r="P34029" s="42"/>
      <c r="AB34029" s="38"/>
    </row>
    <row r="34030">
      <c r="P34030" s="42"/>
      <c r="AB34030" s="38"/>
    </row>
    <row r="34031">
      <c r="P34031" s="42"/>
      <c r="AB34031" s="38"/>
    </row>
    <row r="34032">
      <c r="P34032" s="42"/>
      <c r="AB34032" s="38"/>
    </row>
    <row r="34033">
      <c r="P34033" s="42"/>
      <c r="AB34033" s="38"/>
    </row>
    <row r="34034">
      <c r="P34034" s="42"/>
      <c r="AB34034" s="38"/>
    </row>
    <row r="34035">
      <c r="P34035" s="42"/>
      <c r="AB34035" s="38"/>
    </row>
    <row r="34036">
      <c r="P34036" s="42"/>
      <c r="AB34036" s="38"/>
    </row>
    <row r="34037">
      <c r="P34037" s="42"/>
      <c r="AB34037" s="38"/>
    </row>
    <row r="34038">
      <c r="P34038" s="42"/>
      <c r="AB34038" s="38"/>
    </row>
    <row r="34039">
      <c r="P34039" s="42"/>
      <c r="AB34039" s="38"/>
    </row>
    <row r="34040">
      <c r="P34040" s="42"/>
      <c r="AB34040" s="38"/>
    </row>
    <row r="34041">
      <c r="P34041" s="42"/>
      <c r="AB34041" s="38"/>
    </row>
    <row r="34042">
      <c r="P34042" s="42"/>
      <c r="AB34042" s="38"/>
    </row>
    <row r="34043">
      <c r="P34043" s="42"/>
      <c r="AB34043" s="38"/>
    </row>
    <row r="34044">
      <c r="P34044" s="42"/>
      <c r="AB34044" s="38"/>
    </row>
    <row r="34045">
      <c r="P34045" s="42"/>
      <c r="AB34045" s="38"/>
    </row>
    <row r="34046">
      <c r="P34046" s="42"/>
      <c r="AB34046" s="38"/>
    </row>
    <row r="34047">
      <c r="P34047" s="42"/>
      <c r="AB34047" s="38"/>
    </row>
    <row r="34048">
      <c r="P34048" s="42"/>
      <c r="AB34048" s="38"/>
    </row>
    <row r="34049">
      <c r="P34049" s="42"/>
      <c r="AB34049" s="38"/>
    </row>
    <row r="34050">
      <c r="P34050" s="42"/>
      <c r="AB34050" s="38"/>
    </row>
    <row r="34051">
      <c r="P34051" s="42"/>
      <c r="AB34051" s="38"/>
    </row>
    <row r="34052">
      <c r="P34052" s="42"/>
      <c r="AB34052" s="38"/>
    </row>
    <row r="34053">
      <c r="P34053" s="42"/>
      <c r="AB34053" s="38"/>
    </row>
    <row r="34054">
      <c r="P34054" s="42"/>
      <c r="AB34054" s="38"/>
    </row>
    <row r="34055">
      <c r="P34055" s="42"/>
      <c r="AB34055" s="38"/>
    </row>
    <row r="34056">
      <c r="P34056" s="42"/>
      <c r="AB34056" s="38"/>
    </row>
    <row r="34057">
      <c r="P34057" s="42"/>
      <c r="AB34057" s="38"/>
    </row>
    <row r="34058">
      <c r="P34058" s="42"/>
      <c r="AB34058" s="38"/>
    </row>
    <row r="34059">
      <c r="P34059" s="42"/>
      <c r="AB34059" s="38"/>
    </row>
    <row r="34060">
      <c r="P34060" s="42"/>
      <c r="AB34060" s="38"/>
    </row>
    <row r="34061">
      <c r="P34061" s="42"/>
      <c r="AB34061" s="38"/>
    </row>
    <row r="34062">
      <c r="P34062" s="42"/>
      <c r="AB34062" s="38"/>
    </row>
    <row r="34063">
      <c r="P34063" s="42"/>
      <c r="AB34063" s="38"/>
    </row>
    <row r="34064">
      <c r="P34064" s="42"/>
      <c r="AB34064" s="38"/>
    </row>
    <row r="34065">
      <c r="P34065" s="42"/>
      <c r="AB34065" s="38"/>
    </row>
    <row r="34066">
      <c r="P34066" s="42"/>
      <c r="AB34066" s="38"/>
    </row>
    <row r="34067">
      <c r="P34067" s="42"/>
      <c r="AB34067" s="38"/>
    </row>
    <row r="34068">
      <c r="P34068" s="42"/>
      <c r="AB34068" s="38"/>
    </row>
    <row r="34069">
      <c r="P34069" s="42"/>
      <c r="AB34069" s="38"/>
    </row>
    <row r="34070">
      <c r="P34070" s="42"/>
      <c r="AB34070" s="38"/>
    </row>
    <row r="34071">
      <c r="P34071" s="42"/>
      <c r="AB34071" s="38"/>
    </row>
    <row r="34072">
      <c r="P34072" s="42"/>
      <c r="AB34072" s="38"/>
    </row>
    <row r="34073">
      <c r="P34073" s="42"/>
      <c r="AB34073" s="38"/>
    </row>
    <row r="34074">
      <c r="P34074" s="42"/>
      <c r="AB34074" s="38"/>
    </row>
    <row r="34075">
      <c r="P34075" s="42"/>
      <c r="AB34075" s="38"/>
    </row>
    <row r="34076">
      <c r="P34076" s="42"/>
      <c r="AB34076" s="38"/>
    </row>
    <row r="34077">
      <c r="P34077" s="42"/>
      <c r="AB34077" s="38"/>
    </row>
    <row r="34078">
      <c r="P34078" s="42"/>
      <c r="AB34078" s="38"/>
    </row>
    <row r="34079">
      <c r="P34079" s="42"/>
      <c r="AB34079" s="38"/>
    </row>
    <row r="34080">
      <c r="P34080" s="42"/>
      <c r="AB34080" s="38"/>
    </row>
    <row r="34081">
      <c r="P34081" s="42"/>
      <c r="AB34081" s="38"/>
    </row>
    <row r="34082">
      <c r="P34082" s="42"/>
      <c r="AB34082" s="38"/>
    </row>
    <row r="34083">
      <c r="P34083" s="42"/>
      <c r="AB34083" s="38"/>
    </row>
    <row r="34084">
      <c r="P34084" s="42"/>
      <c r="AB34084" s="38"/>
    </row>
    <row r="34085">
      <c r="P34085" s="42"/>
      <c r="AB34085" s="38"/>
    </row>
    <row r="34086">
      <c r="P34086" s="42"/>
      <c r="AB34086" s="38"/>
    </row>
    <row r="34087">
      <c r="P34087" s="42"/>
      <c r="AB34087" s="38"/>
    </row>
    <row r="34088">
      <c r="P34088" s="42"/>
      <c r="AB34088" s="38"/>
    </row>
    <row r="34089">
      <c r="P34089" s="42"/>
      <c r="AB34089" s="38"/>
    </row>
    <row r="34090">
      <c r="P34090" s="42"/>
      <c r="AB34090" s="38"/>
    </row>
    <row r="34091">
      <c r="P34091" s="42"/>
      <c r="AB34091" s="38"/>
    </row>
    <row r="34092">
      <c r="P34092" s="42"/>
      <c r="AB34092" s="38"/>
    </row>
    <row r="34093">
      <c r="P34093" s="42"/>
      <c r="AB34093" s="38"/>
    </row>
    <row r="34094">
      <c r="P34094" s="42"/>
      <c r="AB34094" s="38"/>
    </row>
    <row r="34095">
      <c r="P34095" s="42"/>
      <c r="AB34095" s="38"/>
    </row>
    <row r="34096">
      <c r="P34096" s="42"/>
      <c r="AB34096" s="38"/>
    </row>
    <row r="34097">
      <c r="P34097" s="42"/>
      <c r="AB34097" s="38"/>
    </row>
    <row r="34098">
      <c r="P34098" s="42"/>
      <c r="AB34098" s="38"/>
    </row>
    <row r="34099">
      <c r="P34099" s="42"/>
      <c r="AB34099" s="38"/>
    </row>
    <row r="34100">
      <c r="P34100" s="42"/>
      <c r="AB34100" s="38"/>
    </row>
    <row r="34101">
      <c r="P34101" s="42"/>
      <c r="AB34101" s="38"/>
    </row>
    <row r="34102">
      <c r="P34102" s="42"/>
      <c r="AB34102" s="38"/>
    </row>
    <row r="34103">
      <c r="P34103" s="42"/>
      <c r="AB34103" s="38"/>
    </row>
    <row r="34104">
      <c r="P34104" s="42"/>
      <c r="AB34104" s="38"/>
    </row>
    <row r="34105">
      <c r="P34105" s="42"/>
      <c r="AB34105" s="38"/>
    </row>
    <row r="34106">
      <c r="P34106" s="42"/>
      <c r="AB34106" s="38"/>
    </row>
    <row r="34107">
      <c r="P34107" s="42"/>
      <c r="AB34107" s="38"/>
    </row>
    <row r="34108">
      <c r="P34108" s="42"/>
      <c r="AB34108" s="38"/>
    </row>
    <row r="34109">
      <c r="P34109" s="42"/>
      <c r="AB34109" s="38"/>
    </row>
    <row r="34110">
      <c r="P34110" s="42"/>
      <c r="AB34110" s="38"/>
    </row>
    <row r="34111">
      <c r="P34111" s="42"/>
      <c r="AB34111" s="38"/>
    </row>
    <row r="34112">
      <c r="P34112" s="42"/>
      <c r="AB34112" s="38"/>
    </row>
    <row r="34113">
      <c r="P34113" s="42"/>
      <c r="AB34113" s="38"/>
    </row>
    <row r="34114">
      <c r="P34114" s="42"/>
      <c r="AB34114" s="38"/>
    </row>
    <row r="34115">
      <c r="P34115" s="42"/>
      <c r="AB34115" s="38"/>
    </row>
    <row r="34116">
      <c r="P34116" s="42"/>
      <c r="AB34116" s="38"/>
    </row>
    <row r="34117">
      <c r="P34117" s="42"/>
      <c r="AB34117" s="38"/>
    </row>
    <row r="34118">
      <c r="P34118" s="42"/>
      <c r="AB34118" s="38"/>
    </row>
    <row r="34119">
      <c r="P34119" s="42"/>
      <c r="AB34119" s="38"/>
    </row>
    <row r="34120">
      <c r="P34120" s="42"/>
      <c r="AB34120" s="38"/>
    </row>
    <row r="34121">
      <c r="P34121" s="42"/>
      <c r="AB34121" s="38"/>
    </row>
    <row r="34122">
      <c r="P34122" s="42"/>
      <c r="AB34122" s="38"/>
    </row>
    <row r="34123">
      <c r="P34123" s="42"/>
      <c r="AB34123" s="38"/>
    </row>
    <row r="34124">
      <c r="P34124" s="42"/>
      <c r="AB34124" s="38"/>
    </row>
    <row r="34125">
      <c r="P34125" s="42"/>
      <c r="AB34125" s="38"/>
    </row>
    <row r="34126">
      <c r="P34126" s="42"/>
      <c r="AB34126" s="38"/>
    </row>
    <row r="34127">
      <c r="P34127" s="42"/>
      <c r="AB34127" s="38"/>
    </row>
    <row r="34128">
      <c r="P34128" s="42"/>
      <c r="AB34128" s="38"/>
    </row>
    <row r="34129">
      <c r="P34129" s="42"/>
      <c r="AB34129" s="38"/>
    </row>
    <row r="34130">
      <c r="P34130" s="42"/>
      <c r="AB34130" s="38"/>
    </row>
    <row r="34131">
      <c r="P34131" s="42"/>
      <c r="AB34131" s="38"/>
    </row>
    <row r="34132">
      <c r="P34132" s="42"/>
      <c r="AB34132" s="38"/>
    </row>
    <row r="34133">
      <c r="P34133" s="42"/>
      <c r="AB34133" s="38"/>
    </row>
    <row r="34134">
      <c r="P34134" s="42"/>
      <c r="AB34134" s="38"/>
    </row>
    <row r="34135">
      <c r="P34135" s="42"/>
      <c r="AB34135" s="38"/>
    </row>
    <row r="34136">
      <c r="P34136" s="42"/>
      <c r="AB34136" s="38"/>
    </row>
    <row r="34137">
      <c r="P34137" s="42"/>
      <c r="AB34137" s="38"/>
    </row>
    <row r="34138">
      <c r="P34138" s="42"/>
      <c r="AB34138" s="38"/>
    </row>
    <row r="34139">
      <c r="P34139" s="42"/>
      <c r="AB34139" s="38"/>
    </row>
    <row r="34140">
      <c r="P34140" s="42"/>
      <c r="AB34140" s="38"/>
    </row>
    <row r="34141">
      <c r="P34141" s="42"/>
      <c r="AB34141" s="38"/>
    </row>
    <row r="34142">
      <c r="P34142" s="42"/>
      <c r="AB34142" s="38"/>
    </row>
    <row r="34143">
      <c r="P34143" s="42"/>
      <c r="AB34143" s="38"/>
    </row>
    <row r="34144">
      <c r="P34144" s="42"/>
      <c r="AB34144" s="38"/>
    </row>
    <row r="34145">
      <c r="P34145" s="42"/>
      <c r="AB34145" s="38"/>
    </row>
    <row r="34146">
      <c r="P34146" s="42"/>
      <c r="AB34146" s="38"/>
    </row>
    <row r="34147">
      <c r="P34147" s="42"/>
      <c r="AB34147" s="38"/>
    </row>
    <row r="34148">
      <c r="P34148" s="42"/>
      <c r="AB34148" s="38"/>
    </row>
    <row r="34149">
      <c r="P34149" s="42"/>
      <c r="AB34149" s="38"/>
    </row>
    <row r="34150">
      <c r="P34150" s="42"/>
      <c r="AB34150" s="38"/>
    </row>
    <row r="34151">
      <c r="P34151" s="42"/>
      <c r="AB34151" s="38"/>
    </row>
    <row r="34152">
      <c r="P34152" s="42"/>
      <c r="AB34152" s="38"/>
    </row>
    <row r="34153">
      <c r="P34153" s="42"/>
      <c r="AB34153" s="38"/>
    </row>
    <row r="34154">
      <c r="P34154" s="42"/>
      <c r="AB34154" s="38"/>
    </row>
    <row r="34155">
      <c r="P34155" s="42"/>
      <c r="AB34155" s="38"/>
    </row>
    <row r="34156">
      <c r="P34156" s="42"/>
      <c r="AB34156" s="38"/>
    </row>
    <row r="34157">
      <c r="P34157" s="42"/>
      <c r="AB34157" s="38"/>
    </row>
    <row r="34158">
      <c r="P34158" s="42"/>
      <c r="AB34158" s="38"/>
    </row>
    <row r="34159">
      <c r="P34159" s="42"/>
      <c r="AB34159" s="38"/>
    </row>
    <row r="34160">
      <c r="P34160" s="42"/>
      <c r="AB34160" s="38"/>
    </row>
    <row r="34161">
      <c r="P34161" s="42"/>
      <c r="AB34161" s="38"/>
    </row>
    <row r="34162">
      <c r="P34162" s="42"/>
      <c r="AB34162" s="38"/>
    </row>
    <row r="34163">
      <c r="P34163" s="42"/>
      <c r="AB34163" s="38"/>
    </row>
    <row r="34164">
      <c r="P34164" s="42"/>
      <c r="AB34164" s="38"/>
    </row>
    <row r="34165">
      <c r="P34165" s="42"/>
      <c r="AB34165" s="38"/>
    </row>
    <row r="34166">
      <c r="P34166" s="42"/>
      <c r="AB34166" s="38"/>
    </row>
    <row r="34167">
      <c r="P34167" s="42"/>
      <c r="AB34167" s="38"/>
    </row>
    <row r="34168">
      <c r="P34168" s="42"/>
      <c r="AB34168" s="38"/>
    </row>
    <row r="34169">
      <c r="P34169" s="42"/>
      <c r="AB34169" s="38"/>
    </row>
    <row r="34170">
      <c r="P34170" s="42"/>
      <c r="AB34170" s="38"/>
    </row>
    <row r="34171">
      <c r="P34171" s="42"/>
      <c r="AB34171" s="38"/>
    </row>
    <row r="34172">
      <c r="P34172" s="42"/>
      <c r="AB34172" s="38"/>
    </row>
    <row r="34173">
      <c r="P34173" s="42"/>
      <c r="AB34173" s="38"/>
    </row>
    <row r="34174">
      <c r="P34174" s="42"/>
      <c r="AB34174" s="38"/>
    </row>
    <row r="34175">
      <c r="P34175" s="42"/>
      <c r="AB34175" s="38"/>
    </row>
    <row r="34176">
      <c r="P34176" s="42"/>
      <c r="AB34176" s="38"/>
    </row>
    <row r="34177">
      <c r="P34177" s="42"/>
      <c r="AB34177" s="38"/>
    </row>
    <row r="34178">
      <c r="P34178" s="42"/>
      <c r="AB34178" s="38"/>
    </row>
    <row r="34179">
      <c r="P34179" s="42"/>
      <c r="AB34179" s="38"/>
    </row>
    <row r="34180">
      <c r="P34180" s="42"/>
      <c r="AB34180" s="38"/>
    </row>
    <row r="34181">
      <c r="P34181" s="42"/>
      <c r="AB34181" s="38"/>
    </row>
    <row r="34182">
      <c r="P34182" s="42"/>
      <c r="AB34182" s="38"/>
    </row>
    <row r="34183">
      <c r="P34183" s="42"/>
      <c r="AB34183" s="38"/>
    </row>
    <row r="34184">
      <c r="P34184" s="42"/>
      <c r="AB34184" s="38"/>
    </row>
    <row r="34185">
      <c r="P34185" s="42"/>
      <c r="AB34185" s="38"/>
    </row>
    <row r="34186">
      <c r="P34186" s="42"/>
      <c r="AB34186" s="38"/>
    </row>
    <row r="34187">
      <c r="P34187" s="42"/>
      <c r="AB34187" s="38"/>
    </row>
    <row r="34188">
      <c r="P34188" s="42"/>
      <c r="AB34188" s="38"/>
    </row>
    <row r="34189">
      <c r="P34189" s="42"/>
      <c r="AB34189" s="38"/>
    </row>
    <row r="34190">
      <c r="P34190" s="42"/>
      <c r="AB34190" s="38"/>
    </row>
    <row r="34191">
      <c r="P34191" s="42"/>
      <c r="AB34191" s="38"/>
    </row>
    <row r="34192">
      <c r="P34192" s="42"/>
      <c r="AB34192" s="38"/>
    </row>
    <row r="34193">
      <c r="P34193" s="42"/>
      <c r="AB34193" s="38"/>
    </row>
    <row r="34194">
      <c r="P34194" s="42"/>
      <c r="AB34194" s="38"/>
    </row>
    <row r="34195">
      <c r="P34195" s="42"/>
      <c r="AB34195" s="38"/>
    </row>
    <row r="34196">
      <c r="P34196" s="42"/>
      <c r="AB34196" s="38"/>
    </row>
    <row r="34197">
      <c r="P34197" s="42"/>
      <c r="AB34197" s="38"/>
    </row>
    <row r="34198">
      <c r="P34198" s="42"/>
      <c r="AB34198" s="38"/>
    </row>
    <row r="34199">
      <c r="P34199" s="42"/>
      <c r="AB34199" s="38"/>
    </row>
    <row r="34200">
      <c r="P34200" s="42"/>
      <c r="AB34200" s="38"/>
    </row>
    <row r="34201">
      <c r="P34201" s="42"/>
      <c r="AB34201" s="38"/>
    </row>
    <row r="34202">
      <c r="P34202" s="42"/>
      <c r="AB34202" s="38"/>
    </row>
    <row r="34203">
      <c r="P34203" s="42"/>
      <c r="AB34203" s="38"/>
    </row>
    <row r="34204">
      <c r="P34204" s="42"/>
      <c r="AB34204" s="38"/>
    </row>
    <row r="34205">
      <c r="P34205" s="42"/>
      <c r="AB34205" s="38"/>
    </row>
    <row r="34206">
      <c r="P34206" s="42"/>
      <c r="AB34206" s="38"/>
    </row>
    <row r="34207">
      <c r="P34207" s="42"/>
      <c r="AB34207" s="38"/>
    </row>
    <row r="34208">
      <c r="P34208" s="42"/>
      <c r="AB34208" s="38"/>
    </row>
    <row r="34209">
      <c r="P34209" s="42"/>
      <c r="AB34209" s="38"/>
    </row>
    <row r="34210">
      <c r="P34210" s="42"/>
      <c r="AB34210" s="38"/>
    </row>
    <row r="34211">
      <c r="P34211" s="42"/>
      <c r="AB34211" s="38"/>
    </row>
    <row r="34212">
      <c r="P34212" s="42"/>
      <c r="AB34212" s="38"/>
    </row>
    <row r="34213">
      <c r="P34213" s="42"/>
      <c r="AB34213" s="38"/>
    </row>
    <row r="34214">
      <c r="P34214" s="42"/>
      <c r="AB34214" s="38"/>
    </row>
    <row r="34215">
      <c r="P34215" s="42"/>
      <c r="AB34215" s="38"/>
    </row>
    <row r="34216">
      <c r="P34216" s="42"/>
      <c r="AB34216" s="38"/>
    </row>
    <row r="34217">
      <c r="P34217" s="42"/>
      <c r="AB34217" s="38"/>
    </row>
    <row r="34218">
      <c r="P34218" s="42"/>
      <c r="AB34218" s="38"/>
    </row>
    <row r="34219">
      <c r="P34219" s="42"/>
      <c r="AB34219" s="38"/>
    </row>
    <row r="34220">
      <c r="P34220" s="42"/>
      <c r="AB34220" s="38"/>
    </row>
    <row r="34221">
      <c r="P34221" s="42"/>
      <c r="AB34221" s="38"/>
    </row>
    <row r="34222">
      <c r="P34222" s="42"/>
      <c r="AB34222" s="38"/>
    </row>
    <row r="34223">
      <c r="P34223" s="42"/>
      <c r="AB34223" s="38"/>
    </row>
    <row r="34224">
      <c r="P34224" s="42"/>
      <c r="AB34224" s="38"/>
    </row>
    <row r="34225">
      <c r="P34225" s="42"/>
      <c r="AB34225" s="38"/>
    </row>
    <row r="34226">
      <c r="P34226" s="42"/>
      <c r="AB34226" s="38"/>
    </row>
    <row r="34227">
      <c r="P34227" s="42"/>
      <c r="AB34227" s="38"/>
    </row>
    <row r="34228">
      <c r="P34228" s="42"/>
      <c r="AB34228" s="38"/>
    </row>
    <row r="34229">
      <c r="P34229" s="42"/>
      <c r="AB34229" s="38"/>
    </row>
    <row r="34230">
      <c r="P34230" s="42"/>
      <c r="AB34230" s="38"/>
    </row>
    <row r="34231">
      <c r="P34231" s="42"/>
      <c r="AB34231" s="38"/>
    </row>
    <row r="34232">
      <c r="P34232" s="42"/>
      <c r="AB34232" s="38"/>
    </row>
    <row r="34233">
      <c r="P34233" s="42"/>
      <c r="AB34233" s="38"/>
    </row>
    <row r="34234">
      <c r="P34234" s="42"/>
      <c r="AB34234" s="38"/>
    </row>
    <row r="34235">
      <c r="P34235" s="42"/>
      <c r="AB34235" s="38"/>
    </row>
    <row r="34236">
      <c r="P34236" s="42"/>
      <c r="AB34236" s="38"/>
    </row>
    <row r="34237">
      <c r="P34237" s="42"/>
      <c r="AB34237" s="38"/>
    </row>
    <row r="34238">
      <c r="P34238" s="42"/>
      <c r="AB34238" s="38"/>
    </row>
    <row r="34239">
      <c r="P34239" s="42"/>
      <c r="AB34239" s="38"/>
    </row>
    <row r="34240">
      <c r="P34240" s="42"/>
      <c r="AB34240" s="38"/>
    </row>
    <row r="34241">
      <c r="P34241" s="42"/>
      <c r="AB34241" s="38"/>
    </row>
    <row r="34242">
      <c r="P34242" s="42"/>
      <c r="AB34242" s="38"/>
    </row>
    <row r="34243">
      <c r="P34243" s="42"/>
      <c r="AB34243" s="38"/>
    </row>
    <row r="34244">
      <c r="P34244" s="42"/>
      <c r="AB34244" s="38"/>
    </row>
    <row r="34245">
      <c r="P34245" s="42"/>
      <c r="AB34245" s="38"/>
    </row>
    <row r="34246">
      <c r="P34246" s="42"/>
      <c r="AB34246" s="38"/>
    </row>
    <row r="34247">
      <c r="P34247" s="42"/>
      <c r="AB34247" s="38"/>
    </row>
    <row r="34248">
      <c r="P34248" s="42"/>
      <c r="AB34248" s="38"/>
    </row>
    <row r="34249">
      <c r="P34249" s="42"/>
      <c r="AB34249" s="38"/>
    </row>
    <row r="34250">
      <c r="P34250" s="42"/>
      <c r="AB34250" s="38"/>
    </row>
    <row r="34251">
      <c r="P34251" s="42"/>
      <c r="AB34251" s="38"/>
    </row>
    <row r="34252">
      <c r="P34252" s="42"/>
      <c r="AB34252" s="38"/>
    </row>
    <row r="34253">
      <c r="P34253" s="42"/>
      <c r="AB34253" s="38"/>
    </row>
    <row r="34254">
      <c r="P34254" s="42"/>
      <c r="AB34254" s="38"/>
    </row>
    <row r="34255">
      <c r="P34255" s="42"/>
      <c r="AB34255" s="38"/>
    </row>
    <row r="34256">
      <c r="P34256" s="42"/>
      <c r="AB34256" s="38"/>
    </row>
    <row r="34257">
      <c r="P34257" s="42"/>
      <c r="AB34257" s="38"/>
    </row>
    <row r="34258">
      <c r="P34258" s="42"/>
      <c r="AB34258" s="38"/>
    </row>
    <row r="34259">
      <c r="P34259" s="42"/>
      <c r="AB34259" s="38"/>
    </row>
    <row r="34260">
      <c r="P34260" s="42"/>
      <c r="AB34260" s="38"/>
    </row>
    <row r="34261">
      <c r="P34261" s="42"/>
      <c r="AB34261" s="38"/>
    </row>
    <row r="34262">
      <c r="P34262" s="42"/>
      <c r="AB34262" s="38"/>
    </row>
    <row r="34263">
      <c r="P34263" s="42"/>
      <c r="AB34263" s="38"/>
    </row>
    <row r="34264">
      <c r="P34264" s="42"/>
      <c r="AB34264" s="38"/>
    </row>
    <row r="34265">
      <c r="P34265" s="42"/>
      <c r="AB34265" s="38"/>
    </row>
    <row r="34266">
      <c r="P34266" s="42"/>
      <c r="AB34266" s="38"/>
    </row>
    <row r="34267">
      <c r="P34267" s="42"/>
      <c r="AB34267" s="38"/>
    </row>
    <row r="34268">
      <c r="P34268" s="42"/>
      <c r="AB34268" s="38"/>
    </row>
    <row r="34269">
      <c r="P34269" s="42"/>
      <c r="AB34269" s="38"/>
    </row>
    <row r="34270">
      <c r="P34270" s="42"/>
      <c r="AB34270" s="38"/>
    </row>
    <row r="34271">
      <c r="P34271" s="42"/>
      <c r="AB34271" s="38"/>
    </row>
    <row r="34272">
      <c r="P34272" s="42"/>
      <c r="AB34272" s="38"/>
    </row>
    <row r="34273">
      <c r="P34273" s="42"/>
      <c r="AB34273" s="38"/>
    </row>
    <row r="34274">
      <c r="P34274" s="42"/>
      <c r="AB34274" s="38"/>
    </row>
    <row r="34275">
      <c r="P34275" s="42"/>
      <c r="AB34275" s="38"/>
    </row>
    <row r="34276">
      <c r="P34276" s="42"/>
      <c r="AB34276" s="38"/>
    </row>
    <row r="34277">
      <c r="P34277" s="42"/>
      <c r="AB34277" s="38"/>
    </row>
    <row r="34278">
      <c r="P34278" s="42"/>
      <c r="AB34278" s="38"/>
    </row>
    <row r="34279">
      <c r="P34279" s="42"/>
      <c r="AB34279" s="38"/>
    </row>
    <row r="34280">
      <c r="P34280" s="42"/>
      <c r="AB34280" s="38"/>
    </row>
    <row r="34281">
      <c r="P34281" s="42"/>
      <c r="AB34281" s="38"/>
    </row>
    <row r="34282">
      <c r="P34282" s="42"/>
      <c r="AB34282" s="38"/>
    </row>
    <row r="34283">
      <c r="P34283" s="42"/>
      <c r="AB34283" s="38"/>
    </row>
    <row r="34284">
      <c r="P34284" s="42"/>
      <c r="AB34284" s="38"/>
    </row>
    <row r="34285">
      <c r="P34285" s="42"/>
      <c r="AB34285" s="38"/>
    </row>
    <row r="34286">
      <c r="P34286" s="42"/>
      <c r="AB34286" s="38"/>
    </row>
    <row r="34287">
      <c r="P34287" s="42"/>
      <c r="AB34287" s="38"/>
    </row>
    <row r="34288">
      <c r="P34288" s="42"/>
      <c r="AB34288" s="38"/>
    </row>
    <row r="34289">
      <c r="P34289" s="42"/>
      <c r="AB34289" s="38"/>
    </row>
    <row r="34290">
      <c r="P34290" s="42"/>
      <c r="AB34290" s="38"/>
    </row>
    <row r="34291">
      <c r="P34291" s="42"/>
      <c r="AB34291" s="38"/>
    </row>
    <row r="34292">
      <c r="P34292" s="42"/>
      <c r="AB34292" s="38"/>
    </row>
    <row r="34293">
      <c r="P34293" s="42"/>
      <c r="AB34293" s="38"/>
    </row>
    <row r="34294">
      <c r="P34294" s="42"/>
      <c r="AB34294" s="38"/>
    </row>
    <row r="34295">
      <c r="P34295" s="42"/>
      <c r="AB34295" s="38"/>
    </row>
    <row r="34296">
      <c r="P34296" s="42"/>
      <c r="AB34296" s="38"/>
    </row>
    <row r="34297">
      <c r="P34297" s="42"/>
      <c r="AB34297" s="38"/>
    </row>
    <row r="34298">
      <c r="P34298" s="42"/>
      <c r="AB34298" s="38"/>
    </row>
    <row r="34299">
      <c r="P34299" s="42"/>
      <c r="AB34299" s="38"/>
    </row>
    <row r="34300">
      <c r="P34300" s="42"/>
      <c r="AB34300" s="38"/>
    </row>
    <row r="34301">
      <c r="P34301" s="42"/>
      <c r="AB34301" s="38"/>
    </row>
    <row r="34302">
      <c r="P34302" s="42"/>
      <c r="AB34302" s="38"/>
    </row>
    <row r="34303">
      <c r="P34303" s="42"/>
      <c r="AB34303" s="38"/>
    </row>
    <row r="34304">
      <c r="P34304" s="42"/>
      <c r="AB34304" s="38"/>
    </row>
    <row r="34305">
      <c r="P34305" s="42"/>
      <c r="AB34305" s="38"/>
    </row>
    <row r="34306">
      <c r="P34306" s="42"/>
      <c r="AB34306" s="38"/>
    </row>
    <row r="34307">
      <c r="P34307" s="42"/>
      <c r="AB34307" s="38"/>
    </row>
    <row r="34308">
      <c r="P34308" s="42"/>
      <c r="AB34308" s="38"/>
    </row>
    <row r="34309">
      <c r="P34309" s="42"/>
      <c r="AB34309" s="38"/>
    </row>
    <row r="34310">
      <c r="P34310" s="42"/>
      <c r="AB34310" s="38"/>
    </row>
    <row r="34311">
      <c r="P34311" s="42"/>
      <c r="AB34311" s="38"/>
    </row>
    <row r="34312">
      <c r="P34312" s="42"/>
      <c r="AB34312" s="38"/>
    </row>
    <row r="34313">
      <c r="P34313" s="42"/>
      <c r="AB34313" s="38"/>
    </row>
    <row r="34314">
      <c r="P34314" s="42"/>
      <c r="AB34314" s="38"/>
    </row>
    <row r="34315">
      <c r="P34315" s="42"/>
      <c r="AB34315" s="38"/>
    </row>
    <row r="34316">
      <c r="P34316" s="42"/>
      <c r="AB34316" s="38"/>
    </row>
    <row r="34317">
      <c r="P34317" s="42"/>
      <c r="AB34317" s="38"/>
    </row>
    <row r="34318">
      <c r="P34318" s="42"/>
      <c r="AB34318" s="38"/>
    </row>
    <row r="34319">
      <c r="P34319" s="42"/>
      <c r="AB34319" s="38"/>
    </row>
    <row r="34320">
      <c r="P34320" s="42"/>
      <c r="AB34320" s="38"/>
    </row>
    <row r="34321">
      <c r="P34321" s="42"/>
      <c r="AB34321" s="38"/>
    </row>
    <row r="34322">
      <c r="P34322" s="42"/>
      <c r="AB34322" s="38"/>
    </row>
    <row r="34323">
      <c r="P34323" s="42"/>
      <c r="AB34323" s="38"/>
    </row>
    <row r="34324">
      <c r="P34324" s="42"/>
      <c r="AB34324" s="38"/>
    </row>
    <row r="34325">
      <c r="P34325" s="42"/>
      <c r="AB34325" s="38"/>
    </row>
    <row r="34326">
      <c r="P34326" s="42"/>
      <c r="AB34326" s="38"/>
    </row>
    <row r="34327">
      <c r="P34327" s="42"/>
      <c r="AB34327" s="38"/>
    </row>
    <row r="34328">
      <c r="P34328" s="42"/>
      <c r="AB34328" s="38"/>
    </row>
    <row r="34329">
      <c r="P34329" s="42"/>
      <c r="AB34329" s="38"/>
    </row>
    <row r="34330">
      <c r="P34330" s="42"/>
      <c r="AB34330" s="38"/>
    </row>
    <row r="34331">
      <c r="P34331" s="42"/>
      <c r="AB34331" s="38"/>
    </row>
    <row r="34332">
      <c r="P34332" s="42"/>
      <c r="AB34332" s="38"/>
    </row>
    <row r="34333">
      <c r="P34333" s="42"/>
      <c r="AB34333" s="38"/>
    </row>
    <row r="34334">
      <c r="P34334" s="42"/>
      <c r="AB34334" s="38"/>
    </row>
    <row r="34335">
      <c r="P34335" s="42"/>
      <c r="AB34335" s="38"/>
    </row>
    <row r="34336">
      <c r="P34336" s="42"/>
      <c r="AB34336" s="38"/>
    </row>
    <row r="34337">
      <c r="P34337" s="42"/>
      <c r="AB34337" s="38"/>
    </row>
    <row r="34338">
      <c r="P34338" s="42"/>
      <c r="AB34338" s="38"/>
    </row>
    <row r="34339">
      <c r="P34339" s="42"/>
      <c r="AB34339" s="38"/>
    </row>
    <row r="34340">
      <c r="P34340" s="42"/>
      <c r="AB34340" s="38"/>
    </row>
    <row r="34341">
      <c r="P34341" s="42"/>
      <c r="AB34341" s="38"/>
    </row>
    <row r="34342">
      <c r="P34342" s="42"/>
      <c r="AB34342" s="38"/>
    </row>
    <row r="34343">
      <c r="P34343" s="42"/>
      <c r="AB34343" s="38"/>
    </row>
    <row r="34344">
      <c r="P34344" s="42"/>
      <c r="AB34344" s="38"/>
    </row>
    <row r="34345">
      <c r="P34345" s="42"/>
      <c r="AB34345" s="38"/>
    </row>
    <row r="34346">
      <c r="P34346" s="42"/>
      <c r="AB34346" s="38"/>
    </row>
    <row r="34347">
      <c r="P34347" s="42"/>
      <c r="AB34347" s="38"/>
    </row>
    <row r="34348">
      <c r="P34348" s="42"/>
      <c r="AB34348" s="38"/>
    </row>
    <row r="34349">
      <c r="P34349" s="42"/>
      <c r="AB34349" s="38"/>
    </row>
    <row r="34350">
      <c r="P34350" s="42"/>
      <c r="AB34350" s="38"/>
    </row>
    <row r="34351">
      <c r="P34351" s="42"/>
      <c r="AB34351" s="38"/>
    </row>
    <row r="34352">
      <c r="P34352" s="42"/>
      <c r="AB34352" s="38"/>
    </row>
    <row r="34353">
      <c r="P34353" s="42"/>
      <c r="AB34353" s="38"/>
    </row>
    <row r="34354">
      <c r="P34354" s="42"/>
      <c r="AB34354" s="38"/>
    </row>
    <row r="34355">
      <c r="P34355" s="42"/>
      <c r="AB34355" s="38"/>
    </row>
    <row r="34356">
      <c r="P34356" s="42"/>
      <c r="AB34356" s="38"/>
    </row>
    <row r="34357">
      <c r="P34357" s="42"/>
      <c r="AB34357" s="38"/>
    </row>
    <row r="34358">
      <c r="P34358" s="42"/>
      <c r="AB34358" s="38"/>
    </row>
    <row r="34359">
      <c r="P34359" s="42"/>
      <c r="AB34359" s="38"/>
    </row>
    <row r="34360">
      <c r="P34360" s="42"/>
      <c r="AB34360" s="38"/>
    </row>
    <row r="34361">
      <c r="P34361" s="42"/>
      <c r="AB34361" s="38"/>
    </row>
    <row r="34362">
      <c r="P34362" s="42"/>
      <c r="AB34362" s="38"/>
    </row>
    <row r="34363">
      <c r="P34363" s="42"/>
      <c r="AB34363" s="38"/>
    </row>
    <row r="34364">
      <c r="P34364" s="42"/>
      <c r="AB34364" s="38"/>
    </row>
    <row r="34365">
      <c r="P34365" s="42"/>
      <c r="AB34365" s="38"/>
    </row>
    <row r="34366">
      <c r="P34366" s="42"/>
      <c r="AB34366" s="38"/>
    </row>
    <row r="34367">
      <c r="P34367" s="42"/>
      <c r="AB34367" s="38"/>
    </row>
    <row r="34368">
      <c r="P34368" s="42"/>
      <c r="AB34368" s="38"/>
    </row>
    <row r="34369">
      <c r="P34369" s="42"/>
      <c r="AB34369" s="38"/>
    </row>
    <row r="34370">
      <c r="P34370" s="42"/>
      <c r="AB34370" s="38"/>
    </row>
    <row r="34371">
      <c r="P34371" s="42"/>
      <c r="AB34371" s="38"/>
    </row>
    <row r="34372">
      <c r="P34372" s="42"/>
      <c r="AB34372" s="38"/>
    </row>
    <row r="34373">
      <c r="P34373" s="42"/>
      <c r="AB34373" s="38"/>
    </row>
    <row r="34374">
      <c r="P34374" s="42"/>
      <c r="AB34374" s="38"/>
    </row>
    <row r="34375">
      <c r="P34375" s="42"/>
      <c r="AB34375" s="38"/>
    </row>
    <row r="34376">
      <c r="P34376" s="42"/>
      <c r="AB34376" s="38"/>
    </row>
    <row r="34377">
      <c r="P34377" s="42"/>
      <c r="AB34377" s="38"/>
    </row>
    <row r="34378">
      <c r="P34378" s="42"/>
      <c r="AB34378" s="38"/>
    </row>
    <row r="34379">
      <c r="P34379" s="42"/>
      <c r="AB34379" s="38"/>
    </row>
    <row r="34380">
      <c r="P34380" s="42"/>
      <c r="AB34380" s="38"/>
    </row>
    <row r="34381">
      <c r="P34381" s="42"/>
      <c r="AB34381" s="38"/>
    </row>
    <row r="34382">
      <c r="P34382" s="42"/>
      <c r="AB34382" s="38"/>
    </row>
    <row r="34383">
      <c r="P34383" s="42"/>
      <c r="AB34383" s="38"/>
    </row>
    <row r="34384">
      <c r="P34384" s="42"/>
      <c r="AB34384" s="38"/>
    </row>
    <row r="34385">
      <c r="P34385" s="42"/>
      <c r="AB34385" s="38"/>
    </row>
    <row r="34386">
      <c r="P34386" s="42"/>
      <c r="AB34386" s="38"/>
    </row>
    <row r="34387">
      <c r="P34387" s="42"/>
      <c r="AB34387" s="38"/>
    </row>
    <row r="34388">
      <c r="P34388" s="42"/>
      <c r="AB34388" s="38"/>
    </row>
    <row r="34389">
      <c r="P34389" s="42"/>
      <c r="AB34389" s="38"/>
    </row>
    <row r="34390">
      <c r="P34390" s="42"/>
      <c r="AB34390" s="38"/>
    </row>
    <row r="34391">
      <c r="P34391" s="42"/>
      <c r="AB34391" s="38"/>
    </row>
    <row r="34392">
      <c r="P34392" s="42"/>
      <c r="AB34392" s="38"/>
    </row>
    <row r="34393">
      <c r="P34393" s="42"/>
      <c r="AB34393" s="38"/>
    </row>
    <row r="34394">
      <c r="P34394" s="42"/>
      <c r="AB34394" s="38"/>
    </row>
    <row r="34395">
      <c r="P34395" s="42"/>
      <c r="AB34395" s="38"/>
    </row>
    <row r="34396">
      <c r="P34396" s="42"/>
      <c r="AB34396" s="38"/>
    </row>
    <row r="34397">
      <c r="P34397" s="42"/>
      <c r="AB34397" s="38"/>
    </row>
    <row r="34398">
      <c r="P34398" s="42"/>
      <c r="AB34398" s="38"/>
    </row>
    <row r="34399">
      <c r="P34399" s="42"/>
      <c r="AB34399" s="38"/>
    </row>
    <row r="34400">
      <c r="P34400" s="42"/>
      <c r="AB34400" s="38"/>
    </row>
    <row r="34401">
      <c r="P34401" s="42"/>
      <c r="AB34401" s="38"/>
    </row>
    <row r="34402">
      <c r="P34402" s="42"/>
      <c r="AB34402" s="38"/>
    </row>
    <row r="34403">
      <c r="P34403" s="42"/>
      <c r="AB34403" s="38"/>
    </row>
    <row r="34404">
      <c r="P34404" s="42"/>
      <c r="AB34404" s="38"/>
    </row>
    <row r="34405">
      <c r="P34405" s="42"/>
      <c r="AB34405" s="38"/>
    </row>
    <row r="34406">
      <c r="P34406" s="42"/>
      <c r="AB34406" s="38"/>
    </row>
    <row r="34407">
      <c r="P34407" s="42"/>
      <c r="AB34407" s="38"/>
    </row>
    <row r="34408">
      <c r="P34408" s="42"/>
      <c r="AB34408" s="38"/>
    </row>
    <row r="34409">
      <c r="P34409" s="42"/>
      <c r="AB34409" s="38"/>
    </row>
    <row r="34410">
      <c r="P34410" s="42"/>
      <c r="AB34410" s="38"/>
    </row>
    <row r="34411">
      <c r="P34411" s="42"/>
      <c r="AB34411" s="38"/>
    </row>
    <row r="34412">
      <c r="P34412" s="42"/>
      <c r="AB34412" s="38"/>
    </row>
    <row r="34413">
      <c r="P34413" s="42"/>
      <c r="AB34413" s="38"/>
    </row>
    <row r="34414">
      <c r="P34414" s="42"/>
      <c r="AB34414" s="38"/>
    </row>
    <row r="34415">
      <c r="P34415" s="42"/>
      <c r="AB34415" s="38"/>
    </row>
    <row r="34416">
      <c r="P34416" s="42"/>
      <c r="AB34416" s="38"/>
    </row>
    <row r="34417">
      <c r="P34417" s="42"/>
      <c r="AB34417" s="38"/>
    </row>
    <row r="34418">
      <c r="P34418" s="42"/>
      <c r="AB34418" s="38"/>
    </row>
    <row r="34419">
      <c r="P34419" s="42"/>
      <c r="AB34419" s="38"/>
    </row>
    <row r="34420">
      <c r="P34420" s="42"/>
      <c r="AB34420" s="38"/>
    </row>
    <row r="34421">
      <c r="P34421" s="42"/>
      <c r="AB34421" s="38"/>
    </row>
    <row r="34422">
      <c r="P34422" s="42"/>
      <c r="AB34422" s="38"/>
    </row>
    <row r="34423">
      <c r="P34423" s="42"/>
      <c r="AB34423" s="38"/>
    </row>
    <row r="34424">
      <c r="P34424" s="42"/>
      <c r="AB34424" s="38"/>
    </row>
    <row r="34425">
      <c r="P34425" s="42"/>
      <c r="AB34425" s="38"/>
    </row>
    <row r="34426">
      <c r="P34426" s="42"/>
      <c r="AB34426" s="38"/>
    </row>
    <row r="34427">
      <c r="P34427" s="42"/>
      <c r="AB34427" s="38"/>
    </row>
    <row r="34428">
      <c r="P34428" s="42"/>
      <c r="AB34428" s="38"/>
    </row>
    <row r="34429">
      <c r="P34429" s="42"/>
      <c r="AB34429" s="38"/>
    </row>
    <row r="34430">
      <c r="P34430" s="42"/>
      <c r="AB34430" s="38"/>
    </row>
    <row r="34431">
      <c r="P34431" s="42"/>
      <c r="AB34431" s="38"/>
    </row>
    <row r="34432">
      <c r="P34432" s="42"/>
      <c r="AB34432" s="38"/>
    </row>
    <row r="34433">
      <c r="P34433" s="42"/>
      <c r="AB34433" s="38"/>
    </row>
    <row r="34434">
      <c r="P34434" s="42"/>
      <c r="AB34434" s="38"/>
    </row>
    <row r="34435">
      <c r="P34435" s="42"/>
      <c r="AB34435" s="38"/>
    </row>
    <row r="34436">
      <c r="P34436" s="42"/>
      <c r="AB34436" s="38"/>
    </row>
    <row r="34437">
      <c r="P34437" s="42"/>
      <c r="AB34437" s="38"/>
    </row>
    <row r="34438">
      <c r="P34438" s="42"/>
      <c r="AB34438" s="38"/>
    </row>
    <row r="34439">
      <c r="P34439" s="42"/>
      <c r="AB34439" s="38"/>
    </row>
    <row r="34440">
      <c r="P34440" s="42"/>
      <c r="AB34440" s="38"/>
    </row>
    <row r="34441">
      <c r="P34441" s="42"/>
      <c r="AB34441" s="38"/>
    </row>
    <row r="34442">
      <c r="P34442" s="42"/>
      <c r="AB34442" s="38"/>
    </row>
    <row r="34443">
      <c r="P34443" s="42"/>
      <c r="AB34443" s="38"/>
    </row>
    <row r="34444">
      <c r="P34444" s="42"/>
      <c r="AB34444" s="38"/>
    </row>
    <row r="34445">
      <c r="P34445" s="42"/>
      <c r="AB34445" s="38"/>
    </row>
    <row r="34446">
      <c r="P34446" s="42"/>
      <c r="AB34446" s="38"/>
    </row>
    <row r="34447">
      <c r="P34447" s="42"/>
      <c r="AB34447" s="38"/>
    </row>
    <row r="34448">
      <c r="P34448" s="42"/>
      <c r="AB34448" s="38"/>
    </row>
    <row r="34449">
      <c r="P34449" s="42"/>
      <c r="AB34449" s="38"/>
    </row>
    <row r="34450">
      <c r="P34450" s="42"/>
      <c r="AB34450" s="38"/>
    </row>
    <row r="34451">
      <c r="P34451" s="42"/>
      <c r="AB34451" s="38"/>
    </row>
    <row r="34452">
      <c r="P34452" s="42"/>
      <c r="AB34452" s="38"/>
    </row>
    <row r="34453">
      <c r="P34453" s="42"/>
      <c r="AB34453" s="38"/>
    </row>
    <row r="34454">
      <c r="P34454" s="42"/>
      <c r="AB34454" s="38"/>
    </row>
    <row r="34455">
      <c r="P34455" s="42"/>
      <c r="AB34455" s="38"/>
    </row>
    <row r="34456">
      <c r="P34456" s="42"/>
      <c r="AB34456" s="38"/>
    </row>
    <row r="34457">
      <c r="P34457" s="42"/>
      <c r="AB34457" s="38"/>
    </row>
    <row r="34458">
      <c r="P34458" s="42"/>
      <c r="AB34458" s="38"/>
    </row>
    <row r="34459">
      <c r="P34459" s="42"/>
      <c r="AB34459" s="38"/>
    </row>
    <row r="34460">
      <c r="P34460" s="42"/>
      <c r="AB34460" s="38"/>
    </row>
    <row r="34461">
      <c r="P34461" s="42"/>
      <c r="AB34461" s="38"/>
    </row>
    <row r="34462">
      <c r="P34462" s="42"/>
      <c r="AB34462" s="38"/>
    </row>
    <row r="34463">
      <c r="P34463" s="42"/>
      <c r="AB34463" s="38"/>
    </row>
    <row r="34464">
      <c r="P34464" s="42"/>
      <c r="AB34464" s="38"/>
    </row>
    <row r="34465">
      <c r="P34465" s="42"/>
      <c r="AB34465" s="38"/>
    </row>
    <row r="34466">
      <c r="P34466" s="42"/>
      <c r="AB34466" s="38"/>
    </row>
    <row r="34467">
      <c r="P34467" s="42"/>
      <c r="AB34467" s="38"/>
    </row>
    <row r="34468">
      <c r="P34468" s="42"/>
      <c r="AB34468" s="38"/>
    </row>
    <row r="34469">
      <c r="P34469" s="42"/>
      <c r="AB34469" s="38"/>
    </row>
    <row r="34470">
      <c r="P34470" s="42"/>
      <c r="AB34470" s="38"/>
    </row>
    <row r="34471">
      <c r="P34471" s="42"/>
      <c r="AB34471" s="38"/>
    </row>
    <row r="34472">
      <c r="P34472" s="42"/>
      <c r="AB34472" s="38"/>
    </row>
    <row r="34473">
      <c r="P34473" s="42"/>
      <c r="AB34473" s="38"/>
    </row>
    <row r="34474">
      <c r="P34474" s="42"/>
      <c r="AB34474" s="38"/>
    </row>
    <row r="34475">
      <c r="P34475" s="42"/>
      <c r="AB34475" s="38"/>
    </row>
    <row r="34476">
      <c r="P34476" s="42"/>
      <c r="AB34476" s="38"/>
    </row>
    <row r="34477">
      <c r="P34477" s="42"/>
      <c r="AB34477" s="38"/>
    </row>
    <row r="34478">
      <c r="P34478" s="42"/>
      <c r="AB34478" s="38"/>
    </row>
    <row r="34479">
      <c r="P34479" s="42"/>
      <c r="AB34479" s="38"/>
    </row>
    <row r="34480">
      <c r="P34480" s="42"/>
      <c r="AB34480" s="38"/>
    </row>
    <row r="34481">
      <c r="P34481" s="42"/>
      <c r="AB34481" s="38"/>
    </row>
    <row r="34482">
      <c r="P34482" s="42"/>
      <c r="AB34482" s="38"/>
    </row>
    <row r="34483">
      <c r="P34483" s="42"/>
      <c r="AB34483" s="38"/>
    </row>
    <row r="34484">
      <c r="P34484" s="42"/>
      <c r="AB34484" s="38"/>
    </row>
    <row r="34485">
      <c r="P34485" s="42"/>
      <c r="AB34485" s="38"/>
    </row>
    <row r="34486">
      <c r="P34486" s="42"/>
      <c r="AB34486" s="38"/>
    </row>
    <row r="34487">
      <c r="P34487" s="42"/>
      <c r="AB34487" s="38"/>
    </row>
    <row r="34488">
      <c r="P34488" s="42"/>
      <c r="AB34488" s="38"/>
    </row>
    <row r="34489">
      <c r="P34489" s="42"/>
      <c r="AB34489" s="38"/>
    </row>
    <row r="34490">
      <c r="P34490" s="42"/>
      <c r="AB34490" s="38"/>
    </row>
    <row r="34491">
      <c r="P34491" s="42"/>
      <c r="AB34491" s="38"/>
    </row>
    <row r="34492">
      <c r="P34492" s="42"/>
      <c r="AB34492" s="38"/>
    </row>
    <row r="34493">
      <c r="P34493" s="42"/>
      <c r="AB34493" s="38"/>
    </row>
    <row r="34494">
      <c r="P34494" s="42"/>
      <c r="AB34494" s="38"/>
    </row>
    <row r="34495">
      <c r="P34495" s="42"/>
      <c r="AB34495" s="38"/>
    </row>
    <row r="34496">
      <c r="P34496" s="42"/>
      <c r="AB34496" s="38"/>
    </row>
    <row r="34497">
      <c r="P34497" s="42"/>
      <c r="AB34497" s="38"/>
    </row>
    <row r="34498">
      <c r="P34498" s="42"/>
      <c r="AB34498" s="38"/>
    </row>
    <row r="34499">
      <c r="P34499" s="42"/>
      <c r="AB34499" s="38"/>
    </row>
    <row r="34500">
      <c r="P34500" s="42"/>
      <c r="AB34500" s="38"/>
    </row>
    <row r="34501">
      <c r="P34501" s="42"/>
      <c r="AB34501" s="38"/>
    </row>
    <row r="34502">
      <c r="P34502" s="42"/>
      <c r="AB34502" s="38"/>
    </row>
    <row r="34503">
      <c r="P34503" s="42"/>
      <c r="AB34503" s="38"/>
    </row>
    <row r="34504">
      <c r="P34504" s="42"/>
      <c r="AB34504" s="38"/>
    </row>
    <row r="34505">
      <c r="P34505" s="42"/>
      <c r="AB34505" s="38"/>
    </row>
    <row r="34506">
      <c r="P34506" s="42"/>
      <c r="AB34506" s="38"/>
    </row>
    <row r="34507">
      <c r="P34507" s="42"/>
      <c r="AB34507" s="38"/>
    </row>
    <row r="34508">
      <c r="P34508" s="42"/>
      <c r="AB34508" s="38"/>
    </row>
    <row r="34509">
      <c r="P34509" s="42"/>
      <c r="AB34509" s="38"/>
    </row>
    <row r="34510">
      <c r="P34510" s="42"/>
      <c r="AB34510" s="38"/>
    </row>
    <row r="34511">
      <c r="P34511" s="42"/>
      <c r="AB34511" s="38"/>
    </row>
    <row r="34512">
      <c r="P34512" s="42"/>
      <c r="AB34512" s="38"/>
    </row>
    <row r="34513">
      <c r="P34513" s="42"/>
      <c r="AB34513" s="38"/>
    </row>
    <row r="34514">
      <c r="P34514" s="42"/>
      <c r="AB34514" s="38"/>
    </row>
    <row r="34515">
      <c r="P34515" s="42"/>
      <c r="AB34515" s="38"/>
    </row>
    <row r="34516">
      <c r="P34516" s="42"/>
      <c r="AB34516" s="38"/>
    </row>
    <row r="34517">
      <c r="P34517" s="42"/>
      <c r="AB34517" s="38"/>
    </row>
    <row r="34518">
      <c r="P34518" s="42"/>
      <c r="AB34518" s="38"/>
    </row>
    <row r="34519">
      <c r="P34519" s="42"/>
      <c r="AB34519" s="38"/>
    </row>
    <row r="34520">
      <c r="P34520" s="42"/>
      <c r="AB34520" s="38"/>
    </row>
    <row r="34521">
      <c r="P34521" s="42"/>
      <c r="AB34521" s="38"/>
    </row>
    <row r="34522">
      <c r="P34522" s="42"/>
      <c r="AB34522" s="38"/>
    </row>
    <row r="34523">
      <c r="P34523" s="42"/>
      <c r="AB34523" s="38"/>
    </row>
    <row r="34524">
      <c r="P34524" s="42"/>
      <c r="AB34524" s="38"/>
    </row>
    <row r="34525">
      <c r="P34525" s="42"/>
      <c r="AB34525" s="38"/>
    </row>
    <row r="34526">
      <c r="P34526" s="42"/>
      <c r="AB34526" s="38"/>
    </row>
    <row r="34527">
      <c r="P34527" s="42"/>
      <c r="AB34527" s="38"/>
    </row>
    <row r="34528">
      <c r="P34528" s="42"/>
      <c r="AB34528" s="38"/>
    </row>
    <row r="34529">
      <c r="P34529" s="42"/>
      <c r="AB34529" s="38"/>
    </row>
    <row r="34530">
      <c r="P34530" s="42"/>
      <c r="AB34530" s="38"/>
    </row>
    <row r="34531">
      <c r="P34531" s="42"/>
      <c r="AB34531" s="38"/>
    </row>
    <row r="34532">
      <c r="P34532" s="42"/>
      <c r="AB34532" s="38"/>
    </row>
    <row r="34533">
      <c r="P34533" s="42"/>
      <c r="AB34533" s="38"/>
    </row>
    <row r="34534">
      <c r="P34534" s="42"/>
      <c r="AB34534" s="38"/>
    </row>
    <row r="34535">
      <c r="P34535" s="42"/>
      <c r="AB34535" s="38"/>
    </row>
    <row r="34536">
      <c r="P34536" s="42"/>
      <c r="AB34536" s="38"/>
    </row>
    <row r="34537">
      <c r="P34537" s="42"/>
      <c r="AB34537" s="38"/>
    </row>
    <row r="34538">
      <c r="P34538" s="42"/>
      <c r="AB34538" s="38"/>
    </row>
    <row r="34539">
      <c r="P34539" s="42"/>
      <c r="AB34539" s="38"/>
    </row>
    <row r="34540">
      <c r="P34540" s="42"/>
      <c r="AB34540" s="38"/>
    </row>
    <row r="34541">
      <c r="P34541" s="42"/>
      <c r="AB34541" s="38"/>
    </row>
    <row r="34542">
      <c r="P34542" s="42"/>
      <c r="AB34542" s="38"/>
    </row>
    <row r="34543">
      <c r="P34543" s="42"/>
      <c r="AB34543" s="38"/>
    </row>
    <row r="34544">
      <c r="P34544" s="42"/>
      <c r="AB34544" s="38"/>
    </row>
    <row r="34545">
      <c r="P34545" s="42"/>
      <c r="AB34545" s="38"/>
    </row>
    <row r="34546">
      <c r="P34546" s="42"/>
      <c r="AB34546" s="38"/>
    </row>
    <row r="34547">
      <c r="P34547" s="42"/>
      <c r="AB34547" s="38"/>
    </row>
    <row r="34548">
      <c r="P34548" s="42"/>
      <c r="AB34548" s="38"/>
    </row>
    <row r="34549">
      <c r="P34549" s="42"/>
      <c r="AB34549" s="38"/>
    </row>
    <row r="34550">
      <c r="P34550" s="42"/>
      <c r="AB34550" s="38"/>
    </row>
    <row r="34551">
      <c r="P34551" s="42"/>
      <c r="AB34551" s="38"/>
    </row>
    <row r="34552">
      <c r="P34552" s="42"/>
      <c r="AB34552" s="38"/>
    </row>
    <row r="34553">
      <c r="P34553" s="42"/>
      <c r="AB34553" s="38"/>
    </row>
    <row r="34554">
      <c r="P34554" s="42"/>
      <c r="AB34554" s="38"/>
    </row>
    <row r="34555">
      <c r="P34555" s="42"/>
      <c r="AB34555" s="38"/>
    </row>
    <row r="34556">
      <c r="P34556" s="42"/>
      <c r="AB34556" s="38"/>
    </row>
    <row r="34557">
      <c r="P34557" s="42"/>
      <c r="AB34557" s="38"/>
    </row>
    <row r="34558">
      <c r="P34558" s="42"/>
      <c r="AB34558" s="38"/>
    </row>
    <row r="34559">
      <c r="P34559" s="42"/>
      <c r="AB34559" s="38"/>
    </row>
    <row r="34560">
      <c r="P34560" s="42"/>
      <c r="AB34560" s="38"/>
    </row>
    <row r="34561">
      <c r="P34561" s="42"/>
      <c r="AB34561" s="38"/>
    </row>
    <row r="34562">
      <c r="P34562" s="42"/>
      <c r="AB34562" s="38"/>
    </row>
    <row r="34563">
      <c r="P34563" s="42"/>
      <c r="AB34563" s="38"/>
    </row>
    <row r="34564">
      <c r="P34564" s="42"/>
      <c r="AB34564" s="38"/>
    </row>
    <row r="34565">
      <c r="P34565" s="42"/>
      <c r="AB34565" s="38"/>
    </row>
    <row r="34566">
      <c r="P34566" s="42"/>
      <c r="AB34566" s="38"/>
    </row>
    <row r="34567">
      <c r="P34567" s="42"/>
      <c r="AB34567" s="38"/>
    </row>
    <row r="34568">
      <c r="P34568" s="42"/>
      <c r="AB34568" s="38"/>
    </row>
    <row r="34569">
      <c r="P34569" s="42"/>
      <c r="AB34569" s="38"/>
    </row>
    <row r="34570">
      <c r="P34570" s="42"/>
      <c r="AB34570" s="38"/>
    </row>
    <row r="34571">
      <c r="P34571" s="42"/>
      <c r="AB34571" s="38"/>
    </row>
    <row r="34572">
      <c r="P34572" s="42"/>
      <c r="AB34572" s="38"/>
    </row>
    <row r="34573">
      <c r="P34573" s="42"/>
      <c r="AB34573" s="38"/>
    </row>
    <row r="34574">
      <c r="P34574" s="42"/>
      <c r="AB34574" s="38"/>
    </row>
    <row r="34575">
      <c r="P34575" s="42"/>
      <c r="AB34575" s="38"/>
    </row>
    <row r="34576">
      <c r="P34576" s="42"/>
      <c r="AB34576" s="38"/>
    </row>
    <row r="34577">
      <c r="P34577" s="42"/>
      <c r="AB34577" s="38"/>
    </row>
    <row r="34578">
      <c r="P34578" s="42"/>
      <c r="AB34578" s="38"/>
    </row>
    <row r="34579">
      <c r="P34579" s="42"/>
      <c r="AB34579" s="38"/>
    </row>
    <row r="34580">
      <c r="P34580" s="42"/>
      <c r="AB34580" s="38"/>
    </row>
    <row r="34581">
      <c r="P34581" s="42"/>
      <c r="AB34581" s="38"/>
    </row>
    <row r="34582">
      <c r="P34582" s="42"/>
      <c r="AB34582" s="38"/>
    </row>
    <row r="34583">
      <c r="P34583" s="42"/>
      <c r="AB34583" s="38"/>
    </row>
    <row r="34584">
      <c r="P34584" s="42"/>
      <c r="AB34584" s="38"/>
    </row>
    <row r="34585">
      <c r="P34585" s="42"/>
      <c r="AB34585" s="38"/>
    </row>
    <row r="34586">
      <c r="P34586" s="42"/>
      <c r="AB34586" s="38"/>
    </row>
    <row r="34587">
      <c r="P34587" s="42"/>
      <c r="AB34587" s="38"/>
    </row>
    <row r="34588">
      <c r="P34588" s="42"/>
      <c r="AB34588" s="38"/>
    </row>
    <row r="34589">
      <c r="P34589" s="42"/>
      <c r="AB34589" s="38"/>
    </row>
    <row r="34590">
      <c r="P34590" s="42"/>
      <c r="AB34590" s="38"/>
    </row>
    <row r="34591">
      <c r="P34591" s="42"/>
      <c r="AB34591" s="38"/>
    </row>
    <row r="34592">
      <c r="P34592" s="42"/>
      <c r="AB34592" s="38"/>
    </row>
    <row r="34593">
      <c r="P34593" s="42"/>
      <c r="AB34593" s="38"/>
    </row>
    <row r="34594">
      <c r="P34594" s="42"/>
      <c r="AB34594" s="38"/>
    </row>
    <row r="34595">
      <c r="P34595" s="42"/>
      <c r="AB34595" s="38"/>
    </row>
    <row r="34596">
      <c r="P34596" s="42"/>
      <c r="AB34596" s="38"/>
    </row>
    <row r="34597">
      <c r="P34597" s="42"/>
      <c r="AB34597" s="38"/>
    </row>
    <row r="34598">
      <c r="P34598" s="42"/>
      <c r="AB34598" s="38"/>
    </row>
    <row r="34599">
      <c r="P34599" s="42"/>
      <c r="AB34599" s="38"/>
    </row>
    <row r="34600">
      <c r="P34600" s="42"/>
      <c r="AB34600" s="38"/>
    </row>
    <row r="34601">
      <c r="P34601" s="42"/>
      <c r="AB34601" s="38"/>
    </row>
    <row r="34602">
      <c r="P34602" s="42"/>
      <c r="AB34602" s="38"/>
    </row>
    <row r="34603">
      <c r="P34603" s="42"/>
      <c r="AB34603" s="38"/>
    </row>
    <row r="34604">
      <c r="P34604" s="42"/>
      <c r="AB34604" s="38"/>
    </row>
    <row r="34605">
      <c r="P34605" s="42"/>
      <c r="AB34605" s="38"/>
    </row>
    <row r="34606">
      <c r="P34606" s="42"/>
      <c r="AB34606" s="38"/>
    </row>
    <row r="34607">
      <c r="P34607" s="42"/>
      <c r="AB34607" s="38"/>
    </row>
    <row r="34608">
      <c r="P34608" s="42"/>
      <c r="AB34608" s="38"/>
    </row>
    <row r="34609">
      <c r="P34609" s="42"/>
      <c r="AB34609" s="38"/>
    </row>
    <row r="34610">
      <c r="P34610" s="42"/>
      <c r="AB34610" s="38"/>
    </row>
    <row r="34611">
      <c r="P34611" s="42"/>
      <c r="AB34611" s="38"/>
    </row>
    <row r="34612">
      <c r="P34612" s="42"/>
      <c r="AB34612" s="38"/>
    </row>
    <row r="34613">
      <c r="P34613" s="42"/>
      <c r="AB34613" s="38"/>
    </row>
    <row r="34614">
      <c r="P34614" s="42"/>
      <c r="AB34614" s="38"/>
    </row>
    <row r="34615">
      <c r="P34615" s="42"/>
      <c r="AB34615" s="38"/>
    </row>
    <row r="34616">
      <c r="P34616" s="42"/>
      <c r="AB34616" s="38"/>
    </row>
    <row r="34617">
      <c r="P34617" s="42"/>
      <c r="AB34617" s="38"/>
    </row>
    <row r="34618">
      <c r="P34618" s="42"/>
      <c r="AB34618" s="38"/>
    </row>
    <row r="34619">
      <c r="P34619" s="42"/>
      <c r="AB34619" s="38"/>
    </row>
    <row r="34620">
      <c r="P34620" s="42"/>
      <c r="AB34620" s="38"/>
    </row>
    <row r="34621">
      <c r="P34621" s="42"/>
      <c r="AB34621" s="38"/>
    </row>
    <row r="34622">
      <c r="P34622" s="42"/>
      <c r="AB34622" s="38"/>
    </row>
    <row r="34623">
      <c r="P34623" s="42"/>
      <c r="AB34623" s="38"/>
    </row>
    <row r="34624">
      <c r="P34624" s="42"/>
      <c r="AB34624" s="38"/>
    </row>
    <row r="34625">
      <c r="P34625" s="42"/>
      <c r="AB34625" s="38"/>
    </row>
    <row r="34626">
      <c r="P34626" s="42"/>
      <c r="AB34626" s="38"/>
    </row>
    <row r="34627">
      <c r="P34627" s="42"/>
      <c r="AB34627" s="38"/>
    </row>
    <row r="34628">
      <c r="P34628" s="42"/>
      <c r="AB34628" s="38"/>
    </row>
    <row r="34629">
      <c r="P34629" s="42"/>
      <c r="AB34629" s="38"/>
    </row>
    <row r="34630">
      <c r="P34630" s="42"/>
      <c r="AB34630" s="38"/>
    </row>
    <row r="34631">
      <c r="P34631" s="42"/>
      <c r="AB34631" s="38"/>
    </row>
    <row r="34632">
      <c r="P34632" s="42"/>
      <c r="AB34632" s="38"/>
    </row>
    <row r="34633">
      <c r="P34633" s="42"/>
      <c r="AB34633" s="38"/>
    </row>
    <row r="34634">
      <c r="P34634" s="42"/>
      <c r="AB34634" s="38"/>
    </row>
    <row r="34635">
      <c r="P34635" s="42"/>
      <c r="AB34635" s="38"/>
    </row>
    <row r="34636">
      <c r="P34636" s="42"/>
      <c r="AB34636" s="38"/>
    </row>
    <row r="34637">
      <c r="P34637" s="42"/>
      <c r="AB34637" s="38"/>
    </row>
    <row r="34638">
      <c r="P34638" s="42"/>
      <c r="AB34638" s="38"/>
    </row>
    <row r="34639">
      <c r="P34639" s="42"/>
      <c r="AB34639" s="38"/>
    </row>
    <row r="34640">
      <c r="P34640" s="42"/>
      <c r="AB34640" s="38"/>
    </row>
    <row r="34641">
      <c r="P34641" s="42"/>
      <c r="AB34641" s="38"/>
    </row>
    <row r="34642">
      <c r="P34642" s="42"/>
      <c r="AB34642" s="38"/>
    </row>
    <row r="34643">
      <c r="P34643" s="42"/>
      <c r="AB34643" s="38"/>
    </row>
    <row r="34644">
      <c r="P34644" s="42"/>
      <c r="AB34644" s="38"/>
    </row>
    <row r="34645">
      <c r="P34645" s="42"/>
      <c r="AB34645" s="38"/>
    </row>
    <row r="34646">
      <c r="P34646" s="42"/>
      <c r="AB34646" s="38"/>
    </row>
    <row r="34647">
      <c r="P34647" s="42"/>
      <c r="AB34647" s="38"/>
    </row>
    <row r="34648">
      <c r="P34648" s="42"/>
      <c r="AB34648" s="38"/>
    </row>
    <row r="34649">
      <c r="P34649" s="42"/>
      <c r="AB34649" s="38"/>
    </row>
    <row r="34650">
      <c r="P34650" s="42"/>
      <c r="AB34650" s="38"/>
    </row>
    <row r="34651">
      <c r="P34651" s="42"/>
      <c r="AB34651" s="38"/>
    </row>
    <row r="34652">
      <c r="P34652" s="42"/>
      <c r="AB34652" s="38"/>
    </row>
    <row r="34653">
      <c r="P34653" s="42"/>
      <c r="AB34653" s="38"/>
    </row>
    <row r="34654">
      <c r="P34654" s="42"/>
      <c r="AB34654" s="38"/>
    </row>
    <row r="34655">
      <c r="P34655" s="42"/>
      <c r="AB34655" s="38"/>
    </row>
    <row r="34656">
      <c r="P34656" s="42"/>
      <c r="AB34656" s="38"/>
    </row>
    <row r="34657">
      <c r="P34657" s="42"/>
      <c r="AB34657" s="38"/>
    </row>
    <row r="34658">
      <c r="P34658" s="42"/>
      <c r="AB34658" s="38"/>
    </row>
    <row r="34659">
      <c r="P34659" s="42"/>
      <c r="AB34659" s="38"/>
    </row>
    <row r="34660">
      <c r="P34660" s="42"/>
      <c r="AB34660" s="38"/>
    </row>
    <row r="34661">
      <c r="P34661" s="42"/>
      <c r="AB34661" s="38"/>
    </row>
    <row r="34662">
      <c r="P34662" s="42"/>
      <c r="AB34662" s="38"/>
    </row>
    <row r="34663">
      <c r="P34663" s="42"/>
      <c r="AB34663" s="38"/>
    </row>
    <row r="34664">
      <c r="P34664" s="42"/>
      <c r="AB34664" s="38"/>
    </row>
    <row r="34665">
      <c r="P34665" s="42"/>
      <c r="AB34665" s="38"/>
    </row>
    <row r="34666">
      <c r="P34666" s="42"/>
      <c r="AB34666" s="38"/>
    </row>
    <row r="34667">
      <c r="P34667" s="42"/>
      <c r="AB34667" s="38"/>
    </row>
    <row r="34668">
      <c r="P34668" s="42"/>
      <c r="AB34668" s="38"/>
    </row>
    <row r="34669">
      <c r="P34669" s="42"/>
      <c r="AB34669" s="38"/>
    </row>
    <row r="34670">
      <c r="P34670" s="42"/>
      <c r="AB34670" s="38"/>
    </row>
    <row r="34671">
      <c r="P34671" s="42"/>
      <c r="AB34671" s="38"/>
    </row>
    <row r="34672">
      <c r="P34672" s="42"/>
      <c r="AB34672" s="38"/>
    </row>
    <row r="34673">
      <c r="P34673" s="42"/>
      <c r="AB34673" s="38"/>
    </row>
    <row r="34674">
      <c r="P34674" s="42"/>
      <c r="AB34674" s="38"/>
    </row>
    <row r="34675">
      <c r="P34675" s="42"/>
      <c r="AB34675" s="38"/>
    </row>
    <row r="34676">
      <c r="P34676" s="42"/>
      <c r="AB34676" s="38"/>
    </row>
    <row r="34677">
      <c r="P34677" s="42"/>
      <c r="AB34677" s="38"/>
    </row>
    <row r="34678">
      <c r="P34678" s="42"/>
      <c r="AB34678" s="38"/>
    </row>
    <row r="34679">
      <c r="P34679" s="42"/>
      <c r="AB34679" s="38"/>
    </row>
    <row r="34680">
      <c r="P34680" s="42"/>
      <c r="AB34680" s="38"/>
    </row>
    <row r="34681">
      <c r="P34681" s="42"/>
      <c r="AB34681" s="38"/>
    </row>
    <row r="34682">
      <c r="P34682" s="42"/>
      <c r="AB34682" s="38"/>
    </row>
    <row r="34683">
      <c r="P34683" s="42"/>
      <c r="AB34683" s="38"/>
    </row>
    <row r="34684">
      <c r="P34684" s="42"/>
      <c r="AB34684" s="38"/>
    </row>
    <row r="34685">
      <c r="P34685" s="42"/>
      <c r="AB34685" s="38"/>
    </row>
    <row r="34686">
      <c r="P34686" s="42"/>
      <c r="AB34686" s="38"/>
    </row>
    <row r="34687">
      <c r="P34687" s="42"/>
      <c r="AB34687" s="38"/>
    </row>
    <row r="34688">
      <c r="P34688" s="42"/>
      <c r="AB34688" s="38"/>
    </row>
    <row r="34689">
      <c r="P34689" s="42"/>
      <c r="AB34689" s="38"/>
    </row>
    <row r="34690">
      <c r="P34690" s="42"/>
      <c r="AB34690" s="38"/>
    </row>
    <row r="34691">
      <c r="P34691" s="42"/>
      <c r="AB34691" s="38"/>
    </row>
    <row r="34692">
      <c r="P34692" s="42"/>
      <c r="AB34692" s="38"/>
    </row>
    <row r="34693">
      <c r="P34693" s="42"/>
      <c r="AB34693" s="38"/>
    </row>
    <row r="34694">
      <c r="P34694" s="42"/>
      <c r="AB34694" s="38"/>
    </row>
    <row r="34695">
      <c r="P34695" s="42"/>
      <c r="AB34695" s="38"/>
    </row>
    <row r="34696">
      <c r="P34696" s="42"/>
      <c r="AB34696" s="38"/>
    </row>
    <row r="34697">
      <c r="P34697" s="42"/>
      <c r="AB34697" s="38"/>
    </row>
    <row r="34698">
      <c r="P34698" s="42"/>
      <c r="AB34698" s="38"/>
    </row>
    <row r="34699">
      <c r="P34699" s="42"/>
      <c r="AB34699" s="38"/>
    </row>
    <row r="34700">
      <c r="P34700" s="42"/>
      <c r="AB34700" s="38"/>
    </row>
    <row r="34701">
      <c r="P34701" s="42"/>
      <c r="AB34701" s="38"/>
    </row>
    <row r="34702">
      <c r="P34702" s="42"/>
      <c r="AB34702" s="38"/>
    </row>
    <row r="34703">
      <c r="P34703" s="42"/>
      <c r="AB34703" s="38"/>
    </row>
    <row r="34704">
      <c r="P34704" s="42"/>
      <c r="AB34704" s="38"/>
    </row>
    <row r="34705">
      <c r="P34705" s="42"/>
      <c r="AB34705" s="38"/>
    </row>
    <row r="34706">
      <c r="P34706" s="42"/>
      <c r="AB34706" s="38"/>
    </row>
    <row r="34707">
      <c r="P34707" s="42"/>
      <c r="AB34707" s="38"/>
    </row>
    <row r="34708">
      <c r="P34708" s="42"/>
      <c r="AB34708" s="38"/>
    </row>
    <row r="34709">
      <c r="P34709" s="42"/>
      <c r="AB34709" s="38"/>
    </row>
    <row r="34710">
      <c r="P34710" s="42"/>
      <c r="AB34710" s="38"/>
    </row>
    <row r="34711">
      <c r="P34711" s="42"/>
      <c r="AB34711" s="38"/>
    </row>
    <row r="34712">
      <c r="P34712" s="42"/>
      <c r="AB34712" s="38"/>
    </row>
    <row r="34713">
      <c r="P34713" s="42"/>
      <c r="AB34713" s="38"/>
    </row>
    <row r="34714">
      <c r="P34714" s="42"/>
      <c r="AB34714" s="38"/>
    </row>
    <row r="34715">
      <c r="P34715" s="42"/>
      <c r="AB34715" s="38"/>
    </row>
    <row r="34716">
      <c r="P34716" s="42"/>
      <c r="AB34716" s="38"/>
    </row>
    <row r="34717">
      <c r="P34717" s="42"/>
      <c r="AB34717" s="38"/>
    </row>
    <row r="34718">
      <c r="P34718" s="42"/>
      <c r="AB34718" s="38"/>
    </row>
    <row r="34719">
      <c r="P34719" s="42"/>
      <c r="AB34719" s="38"/>
    </row>
    <row r="34720">
      <c r="P34720" s="42"/>
      <c r="AB34720" s="38"/>
    </row>
    <row r="34721">
      <c r="P34721" s="42"/>
      <c r="AB34721" s="38"/>
    </row>
    <row r="34722">
      <c r="P34722" s="42"/>
      <c r="AB34722" s="38"/>
    </row>
    <row r="34723">
      <c r="P34723" s="42"/>
      <c r="AB34723" s="38"/>
    </row>
    <row r="34724">
      <c r="P34724" s="42"/>
      <c r="AB34724" s="38"/>
    </row>
    <row r="34725">
      <c r="P34725" s="42"/>
      <c r="AB34725" s="38"/>
    </row>
    <row r="34726">
      <c r="P34726" s="42"/>
      <c r="AB34726" s="38"/>
    </row>
    <row r="34727">
      <c r="P34727" s="42"/>
      <c r="AB34727" s="38"/>
    </row>
    <row r="34728">
      <c r="P34728" s="42"/>
      <c r="AB34728" s="38"/>
    </row>
    <row r="34729">
      <c r="P34729" s="42"/>
      <c r="AB34729" s="38"/>
    </row>
    <row r="34730">
      <c r="P34730" s="42"/>
      <c r="AB34730" s="38"/>
    </row>
    <row r="34731">
      <c r="P34731" s="42"/>
      <c r="AB34731" s="38"/>
    </row>
    <row r="34732">
      <c r="P34732" s="42"/>
      <c r="AB34732" s="38"/>
    </row>
    <row r="34733">
      <c r="P34733" s="42"/>
      <c r="AB34733" s="38"/>
    </row>
    <row r="34734">
      <c r="P34734" s="42"/>
      <c r="AB34734" s="38"/>
    </row>
    <row r="34735">
      <c r="P34735" s="42"/>
      <c r="AB34735" s="38"/>
    </row>
    <row r="34736">
      <c r="P34736" s="42"/>
      <c r="AB34736" s="38"/>
    </row>
    <row r="34737">
      <c r="P34737" s="42"/>
      <c r="AB34737" s="38"/>
    </row>
    <row r="34738">
      <c r="P34738" s="42"/>
      <c r="AB34738" s="38"/>
    </row>
    <row r="34739">
      <c r="P34739" s="42"/>
      <c r="AB34739" s="38"/>
    </row>
    <row r="34740">
      <c r="P34740" s="42"/>
      <c r="AB34740" s="38"/>
    </row>
    <row r="34741">
      <c r="P34741" s="42"/>
      <c r="AB34741" s="38"/>
    </row>
    <row r="34742">
      <c r="P34742" s="42"/>
      <c r="AB34742" s="38"/>
    </row>
    <row r="34743">
      <c r="P34743" s="42"/>
      <c r="AB34743" s="38"/>
    </row>
    <row r="34744">
      <c r="P34744" s="42"/>
      <c r="AB34744" s="38"/>
    </row>
    <row r="34745">
      <c r="P34745" s="42"/>
      <c r="AB34745" s="38"/>
    </row>
    <row r="34746">
      <c r="P34746" s="42"/>
      <c r="AB34746" s="38"/>
    </row>
    <row r="34747">
      <c r="P34747" s="42"/>
      <c r="AB34747" s="38"/>
    </row>
    <row r="34748">
      <c r="P34748" s="42"/>
      <c r="AB34748" s="38"/>
    </row>
    <row r="34749">
      <c r="P34749" s="42"/>
      <c r="AB34749" s="38"/>
    </row>
    <row r="34750">
      <c r="P34750" s="42"/>
      <c r="AB34750" s="38"/>
    </row>
    <row r="34751">
      <c r="P34751" s="42"/>
      <c r="AB34751" s="38"/>
    </row>
    <row r="34752">
      <c r="P34752" s="42"/>
      <c r="AB34752" s="38"/>
    </row>
    <row r="34753">
      <c r="P34753" s="42"/>
      <c r="AB34753" s="38"/>
    </row>
    <row r="34754">
      <c r="P34754" s="42"/>
      <c r="AB34754" s="38"/>
    </row>
    <row r="34755">
      <c r="P34755" s="42"/>
      <c r="AB34755" s="38"/>
    </row>
    <row r="34756">
      <c r="P34756" s="42"/>
      <c r="AB34756" s="38"/>
    </row>
    <row r="34757">
      <c r="P34757" s="42"/>
      <c r="AB34757" s="38"/>
    </row>
    <row r="34758">
      <c r="P34758" s="42"/>
      <c r="AB34758" s="38"/>
    </row>
    <row r="34759">
      <c r="P34759" s="42"/>
      <c r="AB34759" s="38"/>
    </row>
    <row r="34760">
      <c r="P34760" s="42"/>
      <c r="AB34760" s="38"/>
    </row>
    <row r="34761">
      <c r="P34761" s="42"/>
      <c r="AB34761" s="38"/>
    </row>
    <row r="34762">
      <c r="P34762" s="42"/>
      <c r="AB34762" s="38"/>
    </row>
    <row r="34763">
      <c r="P34763" s="42"/>
      <c r="AB34763" s="38"/>
    </row>
    <row r="34764">
      <c r="P34764" s="42"/>
      <c r="AB34764" s="38"/>
    </row>
    <row r="34765">
      <c r="P34765" s="42"/>
      <c r="AB34765" s="38"/>
    </row>
    <row r="34766">
      <c r="P34766" s="42"/>
      <c r="AB34766" s="38"/>
    </row>
    <row r="34767">
      <c r="P34767" s="42"/>
      <c r="AB34767" s="38"/>
    </row>
    <row r="34768">
      <c r="P34768" s="42"/>
      <c r="AB34768" s="38"/>
    </row>
    <row r="34769">
      <c r="P34769" s="42"/>
      <c r="AB34769" s="38"/>
    </row>
    <row r="34770">
      <c r="P34770" s="42"/>
      <c r="AB34770" s="38"/>
    </row>
    <row r="34771">
      <c r="P34771" s="42"/>
      <c r="AB34771" s="38"/>
    </row>
    <row r="34772">
      <c r="P34772" s="42"/>
      <c r="AB34772" s="38"/>
    </row>
    <row r="34773">
      <c r="P34773" s="42"/>
      <c r="AB34773" s="38"/>
    </row>
    <row r="34774">
      <c r="P34774" s="42"/>
      <c r="AB34774" s="38"/>
    </row>
    <row r="34775">
      <c r="P34775" s="42"/>
      <c r="AB34775" s="38"/>
    </row>
    <row r="34776">
      <c r="P34776" s="42"/>
      <c r="AB34776" s="38"/>
    </row>
    <row r="34777">
      <c r="P34777" s="42"/>
      <c r="AB34777" s="38"/>
    </row>
    <row r="34778">
      <c r="P34778" s="42"/>
      <c r="AB34778" s="38"/>
    </row>
    <row r="34779">
      <c r="P34779" s="42"/>
      <c r="AB34779" s="38"/>
    </row>
    <row r="34780">
      <c r="P34780" s="42"/>
      <c r="AB34780" s="38"/>
    </row>
    <row r="34781">
      <c r="P34781" s="42"/>
      <c r="AB34781" s="38"/>
    </row>
    <row r="34782">
      <c r="P34782" s="42"/>
      <c r="AB34782" s="38"/>
    </row>
    <row r="34783">
      <c r="P34783" s="42"/>
      <c r="AB34783" s="38"/>
    </row>
    <row r="34784">
      <c r="P34784" s="42"/>
      <c r="AB34784" s="38"/>
    </row>
    <row r="34785">
      <c r="P34785" s="42"/>
      <c r="AB34785" s="38"/>
    </row>
    <row r="34786">
      <c r="P34786" s="42"/>
      <c r="AB34786" s="38"/>
    </row>
    <row r="34787">
      <c r="P34787" s="42"/>
      <c r="AB34787" s="38"/>
    </row>
    <row r="34788">
      <c r="P34788" s="42"/>
      <c r="AB34788" s="38"/>
    </row>
    <row r="34789">
      <c r="P34789" s="42"/>
      <c r="AB34789" s="38"/>
    </row>
    <row r="34790">
      <c r="P34790" s="42"/>
      <c r="AB34790" s="38"/>
    </row>
    <row r="34791">
      <c r="P34791" s="42"/>
      <c r="AB34791" s="38"/>
    </row>
    <row r="34792">
      <c r="P34792" s="42"/>
      <c r="AB34792" s="38"/>
    </row>
    <row r="34793">
      <c r="P34793" s="42"/>
      <c r="AB34793" s="38"/>
    </row>
    <row r="34794">
      <c r="P34794" s="42"/>
      <c r="AB34794" s="38"/>
    </row>
    <row r="34795">
      <c r="P34795" s="42"/>
      <c r="AB34795" s="38"/>
    </row>
    <row r="34796">
      <c r="P34796" s="42"/>
      <c r="AB34796" s="38"/>
    </row>
    <row r="34797">
      <c r="P34797" s="42"/>
      <c r="AB34797" s="38"/>
    </row>
    <row r="34798">
      <c r="P34798" s="42"/>
      <c r="AB34798" s="38"/>
    </row>
    <row r="34799">
      <c r="P34799" s="42"/>
      <c r="AB34799" s="38"/>
    </row>
    <row r="34800">
      <c r="P34800" s="42"/>
      <c r="AB34800" s="38"/>
    </row>
    <row r="34801">
      <c r="P34801" s="42"/>
      <c r="AB34801" s="38"/>
    </row>
    <row r="34802">
      <c r="P34802" s="42"/>
      <c r="AB34802" s="38"/>
    </row>
    <row r="34803">
      <c r="P34803" s="42"/>
      <c r="AB34803" s="38"/>
    </row>
    <row r="34804">
      <c r="P34804" s="42"/>
      <c r="AB34804" s="38"/>
    </row>
    <row r="34805">
      <c r="P34805" s="42"/>
      <c r="AB34805" s="38"/>
    </row>
    <row r="34806">
      <c r="P34806" s="42"/>
      <c r="AB34806" s="38"/>
    </row>
    <row r="34807">
      <c r="P34807" s="42"/>
      <c r="AB34807" s="38"/>
    </row>
    <row r="34808">
      <c r="P34808" s="42"/>
      <c r="AB34808" s="38"/>
    </row>
    <row r="34809">
      <c r="P34809" s="42"/>
      <c r="AB34809" s="38"/>
    </row>
    <row r="34810">
      <c r="P34810" s="42"/>
      <c r="AB34810" s="38"/>
    </row>
    <row r="34811">
      <c r="P34811" s="42"/>
      <c r="AB34811" s="38"/>
    </row>
    <row r="34812">
      <c r="P34812" s="42"/>
      <c r="AB34812" s="38"/>
    </row>
    <row r="34813">
      <c r="P34813" s="42"/>
      <c r="AB34813" s="38"/>
    </row>
    <row r="34814">
      <c r="P34814" s="42"/>
      <c r="AB34814" s="38"/>
    </row>
    <row r="34815">
      <c r="P34815" s="42"/>
      <c r="AB34815" s="38"/>
    </row>
    <row r="34816">
      <c r="P34816" s="42"/>
      <c r="AB34816" s="38"/>
    </row>
    <row r="34817">
      <c r="P34817" s="42"/>
      <c r="AB34817" s="38"/>
    </row>
    <row r="34818">
      <c r="P34818" s="42"/>
      <c r="AB34818" s="38"/>
    </row>
    <row r="34819">
      <c r="P34819" s="42"/>
      <c r="AB34819" s="38"/>
    </row>
    <row r="34820">
      <c r="P34820" s="42"/>
      <c r="AB34820" s="38"/>
    </row>
    <row r="34821">
      <c r="P34821" s="42"/>
      <c r="AB34821" s="38"/>
    </row>
    <row r="34822">
      <c r="P34822" s="42"/>
      <c r="AB34822" s="38"/>
    </row>
    <row r="34823">
      <c r="P34823" s="42"/>
      <c r="AB34823" s="38"/>
    </row>
    <row r="34824">
      <c r="P34824" s="42"/>
      <c r="AB34824" s="38"/>
    </row>
    <row r="34825">
      <c r="P34825" s="42"/>
      <c r="AB34825" s="38"/>
    </row>
    <row r="34826">
      <c r="P34826" s="42"/>
      <c r="AB34826" s="38"/>
    </row>
    <row r="34827">
      <c r="P34827" s="42"/>
      <c r="AB34827" s="38"/>
    </row>
    <row r="34828">
      <c r="P34828" s="42"/>
      <c r="AB34828" s="38"/>
    </row>
    <row r="34829">
      <c r="P34829" s="42"/>
      <c r="AB34829" s="38"/>
    </row>
    <row r="34830">
      <c r="P34830" s="42"/>
      <c r="AB34830" s="38"/>
    </row>
    <row r="34831">
      <c r="P34831" s="42"/>
      <c r="AB34831" s="38"/>
    </row>
    <row r="34832">
      <c r="P34832" s="42"/>
      <c r="AB34832" s="38"/>
    </row>
    <row r="34833">
      <c r="P34833" s="42"/>
      <c r="AB34833" s="38"/>
    </row>
    <row r="34834">
      <c r="P34834" s="42"/>
      <c r="AB34834" s="38"/>
    </row>
    <row r="34835">
      <c r="P34835" s="42"/>
      <c r="AB34835" s="38"/>
    </row>
    <row r="34836">
      <c r="P34836" s="42"/>
      <c r="AB34836" s="38"/>
    </row>
    <row r="34837">
      <c r="P34837" s="42"/>
      <c r="AB34837" s="38"/>
    </row>
    <row r="34838">
      <c r="P34838" s="42"/>
      <c r="AB34838" s="38"/>
    </row>
    <row r="34839">
      <c r="P34839" s="42"/>
      <c r="AB34839" s="38"/>
    </row>
    <row r="34840">
      <c r="P34840" s="42"/>
      <c r="AB34840" s="38"/>
    </row>
    <row r="34841">
      <c r="P34841" s="42"/>
      <c r="AB34841" s="38"/>
    </row>
    <row r="34842">
      <c r="P34842" s="42"/>
      <c r="AB34842" s="38"/>
    </row>
    <row r="34843">
      <c r="P34843" s="42"/>
      <c r="AB34843" s="38"/>
    </row>
    <row r="34844">
      <c r="P34844" s="42"/>
      <c r="AB34844" s="38"/>
    </row>
    <row r="34845">
      <c r="P34845" s="42"/>
      <c r="AB34845" s="38"/>
    </row>
    <row r="34846">
      <c r="P34846" s="42"/>
      <c r="AB34846" s="38"/>
    </row>
    <row r="34847">
      <c r="P34847" s="42"/>
      <c r="AB34847" s="38"/>
    </row>
    <row r="34848">
      <c r="P34848" s="42"/>
      <c r="AB34848" s="38"/>
    </row>
    <row r="34849">
      <c r="P34849" s="42"/>
      <c r="AB34849" s="38"/>
    </row>
    <row r="34850">
      <c r="P34850" s="42"/>
      <c r="AB34850" s="38"/>
    </row>
    <row r="34851">
      <c r="P34851" s="42"/>
      <c r="AB34851" s="38"/>
    </row>
    <row r="34852">
      <c r="P34852" s="42"/>
      <c r="AB34852" s="38"/>
    </row>
    <row r="34853">
      <c r="P34853" s="42"/>
      <c r="AB34853" s="38"/>
    </row>
    <row r="34854">
      <c r="P34854" s="42"/>
      <c r="AB34854" s="38"/>
    </row>
    <row r="34855">
      <c r="P34855" s="42"/>
      <c r="AB34855" s="38"/>
    </row>
    <row r="34856">
      <c r="P34856" s="42"/>
      <c r="AB34856" s="38"/>
    </row>
    <row r="34857">
      <c r="P34857" s="42"/>
      <c r="AB34857" s="38"/>
    </row>
    <row r="34858">
      <c r="P34858" s="42"/>
      <c r="AB34858" s="38"/>
    </row>
    <row r="34859">
      <c r="P34859" s="42"/>
      <c r="AB34859" s="38"/>
    </row>
    <row r="34860">
      <c r="P34860" s="42"/>
      <c r="AB34860" s="38"/>
    </row>
    <row r="34861">
      <c r="P34861" s="42"/>
      <c r="AB34861" s="38"/>
    </row>
    <row r="34862">
      <c r="P34862" s="42"/>
      <c r="AB34862" s="38"/>
    </row>
    <row r="34863">
      <c r="P34863" s="42"/>
      <c r="AB34863" s="38"/>
    </row>
    <row r="34864">
      <c r="P34864" s="42"/>
      <c r="AB34864" s="38"/>
    </row>
    <row r="34865">
      <c r="P34865" s="42"/>
      <c r="AB34865" s="38"/>
    </row>
    <row r="34866">
      <c r="P34866" s="42"/>
      <c r="AB34866" s="38"/>
    </row>
    <row r="34867">
      <c r="P34867" s="42"/>
      <c r="AB34867" s="38"/>
    </row>
    <row r="34868">
      <c r="P34868" s="42"/>
      <c r="AB34868" s="38"/>
    </row>
    <row r="34869">
      <c r="P34869" s="42"/>
      <c r="AB34869" s="38"/>
    </row>
    <row r="34870">
      <c r="P34870" s="42"/>
      <c r="AB34870" s="38"/>
    </row>
    <row r="34871">
      <c r="P34871" s="42"/>
      <c r="AB34871" s="38"/>
    </row>
    <row r="34872">
      <c r="P34872" s="42"/>
      <c r="AB34872" s="38"/>
    </row>
    <row r="34873">
      <c r="P34873" s="42"/>
      <c r="AB34873" s="38"/>
    </row>
    <row r="34874">
      <c r="P34874" s="42"/>
      <c r="AB34874" s="38"/>
    </row>
    <row r="34875">
      <c r="P34875" s="42"/>
      <c r="AB34875" s="38"/>
    </row>
    <row r="34876">
      <c r="P34876" s="42"/>
      <c r="AB34876" s="38"/>
    </row>
    <row r="34877">
      <c r="P34877" s="42"/>
      <c r="AB34877" s="38"/>
    </row>
    <row r="34878">
      <c r="P34878" s="42"/>
      <c r="AB34878" s="38"/>
    </row>
    <row r="34879">
      <c r="P34879" s="42"/>
      <c r="AB34879" s="38"/>
    </row>
    <row r="34880">
      <c r="P34880" s="42"/>
      <c r="AB34880" s="38"/>
    </row>
    <row r="34881">
      <c r="P34881" s="42"/>
      <c r="AB34881" s="38"/>
    </row>
    <row r="34882">
      <c r="P34882" s="42"/>
      <c r="AB34882" s="38"/>
    </row>
    <row r="34883">
      <c r="P34883" s="42"/>
      <c r="AB34883" s="38"/>
    </row>
    <row r="34884">
      <c r="P34884" s="42"/>
      <c r="AB34884" s="38"/>
    </row>
    <row r="34885">
      <c r="P34885" s="42"/>
      <c r="AB34885" s="38"/>
    </row>
    <row r="34886">
      <c r="P34886" s="42"/>
      <c r="AB34886" s="38"/>
    </row>
    <row r="34887">
      <c r="P34887" s="42"/>
      <c r="AB34887" s="38"/>
    </row>
    <row r="34888">
      <c r="P34888" s="42"/>
      <c r="AB34888" s="38"/>
    </row>
    <row r="34889">
      <c r="P34889" s="42"/>
      <c r="AB34889" s="38"/>
    </row>
    <row r="34890">
      <c r="P34890" s="42"/>
      <c r="AB34890" s="38"/>
    </row>
    <row r="34891">
      <c r="P34891" s="42"/>
      <c r="AB34891" s="38"/>
    </row>
    <row r="34892">
      <c r="P34892" s="42"/>
      <c r="AB34892" s="38"/>
    </row>
    <row r="34893">
      <c r="P34893" s="42"/>
      <c r="AB34893" s="38"/>
    </row>
    <row r="34894">
      <c r="P34894" s="42"/>
      <c r="AB34894" s="38"/>
    </row>
    <row r="34895">
      <c r="P34895" s="42"/>
      <c r="AB34895" s="38"/>
    </row>
    <row r="34896">
      <c r="P34896" s="42"/>
      <c r="AB34896" s="38"/>
    </row>
    <row r="34897">
      <c r="P34897" s="42"/>
      <c r="AB34897" s="38"/>
    </row>
    <row r="34898">
      <c r="P34898" s="42"/>
      <c r="AB34898" s="38"/>
    </row>
    <row r="34899">
      <c r="P34899" s="42"/>
      <c r="AB34899" s="38"/>
    </row>
    <row r="34900">
      <c r="P34900" s="42"/>
      <c r="AB34900" s="38"/>
    </row>
    <row r="34901">
      <c r="P34901" s="42"/>
      <c r="AB34901" s="38"/>
    </row>
    <row r="34902">
      <c r="P34902" s="42"/>
      <c r="AB34902" s="38"/>
    </row>
    <row r="34903">
      <c r="P34903" s="42"/>
      <c r="AB34903" s="38"/>
    </row>
    <row r="34904">
      <c r="P34904" s="42"/>
      <c r="AB34904" s="38"/>
    </row>
    <row r="34905">
      <c r="P34905" s="42"/>
      <c r="AB34905" s="38"/>
    </row>
    <row r="34906">
      <c r="P34906" s="42"/>
      <c r="AB34906" s="38"/>
    </row>
    <row r="34907">
      <c r="P34907" s="42"/>
      <c r="AB34907" s="38"/>
    </row>
    <row r="34908">
      <c r="P34908" s="42"/>
      <c r="AB34908" s="38"/>
    </row>
    <row r="34909">
      <c r="P34909" s="42"/>
      <c r="AB34909" s="38"/>
    </row>
    <row r="34910">
      <c r="P34910" s="42"/>
      <c r="AB34910" s="38"/>
    </row>
    <row r="34911">
      <c r="P34911" s="42"/>
      <c r="AB34911" s="38"/>
    </row>
    <row r="34912">
      <c r="P34912" s="42"/>
      <c r="AB34912" s="38"/>
    </row>
    <row r="34913">
      <c r="P34913" s="42"/>
      <c r="AB34913" s="38"/>
    </row>
    <row r="34914">
      <c r="P34914" s="42"/>
      <c r="AB34914" s="38"/>
    </row>
    <row r="34915">
      <c r="P34915" s="42"/>
      <c r="AB34915" s="38"/>
    </row>
    <row r="34916">
      <c r="P34916" s="42"/>
      <c r="AB34916" s="38"/>
    </row>
    <row r="34917">
      <c r="P34917" s="42"/>
      <c r="AB34917" s="38"/>
    </row>
    <row r="34918">
      <c r="P34918" s="42"/>
      <c r="AB34918" s="38"/>
    </row>
    <row r="34919">
      <c r="P34919" s="42"/>
      <c r="AB34919" s="38"/>
    </row>
    <row r="34920">
      <c r="P34920" s="42"/>
      <c r="AB34920" s="38"/>
    </row>
    <row r="34921">
      <c r="P34921" s="42"/>
      <c r="AB34921" s="38"/>
    </row>
    <row r="34922">
      <c r="P34922" s="42"/>
      <c r="AB34922" s="38"/>
    </row>
    <row r="34923">
      <c r="P34923" s="42"/>
      <c r="AB34923" s="38"/>
    </row>
    <row r="34924">
      <c r="P34924" s="42"/>
      <c r="AB34924" s="38"/>
    </row>
    <row r="34925">
      <c r="P34925" s="42"/>
      <c r="AB34925" s="38"/>
    </row>
    <row r="34926">
      <c r="P34926" s="42"/>
      <c r="AB34926" s="38"/>
    </row>
    <row r="34927">
      <c r="P34927" s="42"/>
      <c r="AB34927" s="38"/>
    </row>
    <row r="34928">
      <c r="P34928" s="42"/>
      <c r="AB34928" s="38"/>
    </row>
    <row r="34929">
      <c r="P34929" s="42"/>
      <c r="AB34929" s="38"/>
    </row>
    <row r="34930">
      <c r="P34930" s="42"/>
      <c r="AB34930" s="38"/>
    </row>
    <row r="34931">
      <c r="P34931" s="42"/>
      <c r="AB34931" s="38"/>
    </row>
    <row r="34932">
      <c r="P34932" s="42"/>
      <c r="AB34932" s="38"/>
    </row>
    <row r="34933">
      <c r="P34933" s="42"/>
      <c r="AB34933" s="38"/>
    </row>
    <row r="34934">
      <c r="P34934" s="42"/>
      <c r="AB34934" s="38"/>
    </row>
    <row r="34935">
      <c r="P34935" s="42"/>
      <c r="AB34935" s="38"/>
    </row>
    <row r="34936">
      <c r="P34936" s="42"/>
      <c r="AB34936" s="38"/>
    </row>
    <row r="34937">
      <c r="P34937" s="42"/>
      <c r="AB34937" s="38"/>
    </row>
    <row r="34938">
      <c r="P34938" s="42"/>
      <c r="AB34938" s="38"/>
    </row>
    <row r="34939">
      <c r="P34939" s="42"/>
      <c r="AB34939" s="38"/>
    </row>
    <row r="34940">
      <c r="P34940" s="42"/>
      <c r="AB34940" s="38"/>
    </row>
    <row r="34941">
      <c r="P34941" s="42"/>
      <c r="AB34941" s="38"/>
    </row>
    <row r="34942">
      <c r="P34942" s="42"/>
      <c r="AB34942" s="38"/>
    </row>
    <row r="34943">
      <c r="P34943" s="42"/>
      <c r="AB34943" s="38"/>
    </row>
    <row r="34944">
      <c r="P34944" s="42"/>
      <c r="AB34944" s="38"/>
    </row>
    <row r="34945">
      <c r="P34945" s="42"/>
      <c r="AB34945" s="38"/>
    </row>
    <row r="34946">
      <c r="P34946" s="42"/>
      <c r="AB34946" s="38"/>
    </row>
    <row r="34947">
      <c r="P34947" s="42"/>
      <c r="AB34947" s="38"/>
    </row>
    <row r="34948">
      <c r="P34948" s="42"/>
      <c r="AB34948" s="38"/>
    </row>
    <row r="34949">
      <c r="P34949" s="42"/>
      <c r="AB34949" s="38"/>
    </row>
    <row r="34950">
      <c r="P34950" s="42"/>
      <c r="AB34950" s="38"/>
    </row>
    <row r="34951">
      <c r="P34951" s="42"/>
      <c r="AB34951" s="38"/>
    </row>
    <row r="34952">
      <c r="P34952" s="42"/>
      <c r="AB34952" s="38"/>
    </row>
    <row r="34953">
      <c r="P34953" s="42"/>
      <c r="AB34953" s="38"/>
    </row>
    <row r="34954">
      <c r="P34954" s="42"/>
      <c r="AB34954" s="38"/>
    </row>
    <row r="34955">
      <c r="P34955" s="42"/>
      <c r="AB34955" s="38"/>
    </row>
    <row r="34956">
      <c r="P34956" s="42"/>
      <c r="AB34956" s="38"/>
    </row>
    <row r="34957">
      <c r="P34957" s="42"/>
      <c r="AB34957" s="38"/>
    </row>
    <row r="34958">
      <c r="P34958" s="42"/>
      <c r="AB34958" s="38"/>
    </row>
    <row r="34959">
      <c r="P34959" s="42"/>
      <c r="AB34959" s="38"/>
    </row>
    <row r="34960">
      <c r="P34960" s="42"/>
      <c r="AB34960" s="38"/>
    </row>
    <row r="34961">
      <c r="P34961" s="42"/>
      <c r="AB34961" s="38"/>
    </row>
    <row r="34962">
      <c r="P34962" s="42"/>
      <c r="AB34962" s="38"/>
    </row>
    <row r="34963">
      <c r="P34963" s="42"/>
      <c r="AB34963" s="38"/>
    </row>
    <row r="34964">
      <c r="P34964" s="42"/>
      <c r="AB34964" s="38"/>
    </row>
    <row r="34965">
      <c r="P34965" s="42"/>
      <c r="AB34965" s="38"/>
    </row>
    <row r="34966">
      <c r="P34966" s="42"/>
      <c r="AB34966" s="38"/>
    </row>
    <row r="34967">
      <c r="P34967" s="42"/>
      <c r="AB34967" s="38"/>
    </row>
    <row r="34968">
      <c r="P34968" s="42"/>
      <c r="AB34968" s="38"/>
    </row>
    <row r="34969">
      <c r="P34969" s="42"/>
      <c r="AB34969" s="38"/>
    </row>
    <row r="34970">
      <c r="P34970" s="42"/>
      <c r="AB34970" s="38"/>
    </row>
    <row r="34971">
      <c r="P34971" s="42"/>
      <c r="AB34971" s="38"/>
    </row>
    <row r="34972">
      <c r="P34972" s="42"/>
      <c r="AB34972" s="38"/>
    </row>
    <row r="34973">
      <c r="P34973" s="42"/>
      <c r="AB34973" s="38"/>
    </row>
    <row r="34974">
      <c r="P34974" s="42"/>
      <c r="AB34974" s="38"/>
    </row>
    <row r="34975">
      <c r="P34975" s="42"/>
      <c r="AB34975" s="38"/>
    </row>
    <row r="34976">
      <c r="P34976" s="42"/>
      <c r="AB34976" s="38"/>
    </row>
    <row r="34977">
      <c r="P34977" s="42"/>
      <c r="AB34977" s="38"/>
    </row>
    <row r="34978">
      <c r="P34978" s="42"/>
      <c r="AB34978" s="38"/>
    </row>
    <row r="34979">
      <c r="P34979" s="42"/>
      <c r="AB34979" s="38"/>
    </row>
    <row r="34980">
      <c r="P34980" s="42"/>
      <c r="AB34980" s="38"/>
    </row>
    <row r="34981">
      <c r="P34981" s="42"/>
      <c r="AB34981" s="38"/>
    </row>
    <row r="34982">
      <c r="P34982" s="42"/>
      <c r="AB34982" s="38"/>
    </row>
    <row r="34983">
      <c r="P34983" s="42"/>
      <c r="AB34983" s="38"/>
    </row>
    <row r="34984">
      <c r="P34984" s="42"/>
      <c r="AB34984" s="38"/>
    </row>
    <row r="34985">
      <c r="P34985" s="42"/>
      <c r="AB34985" s="38"/>
    </row>
    <row r="34986">
      <c r="P34986" s="42"/>
      <c r="AB34986" s="38"/>
    </row>
    <row r="34987">
      <c r="P34987" s="42"/>
      <c r="AB34987" s="38"/>
    </row>
    <row r="34988">
      <c r="P34988" s="42"/>
      <c r="AB34988" s="38"/>
    </row>
    <row r="34989">
      <c r="P34989" s="42"/>
      <c r="AB34989" s="38"/>
    </row>
    <row r="34990">
      <c r="P34990" s="42"/>
      <c r="AB34990" s="38"/>
    </row>
    <row r="34991">
      <c r="P34991" s="42"/>
      <c r="AB34991" s="38"/>
    </row>
    <row r="34992">
      <c r="P34992" s="42"/>
      <c r="AB34992" s="38"/>
    </row>
    <row r="34993">
      <c r="P34993" s="42"/>
      <c r="AB34993" s="38"/>
    </row>
    <row r="34994">
      <c r="P34994" s="42"/>
      <c r="AB34994" s="38"/>
    </row>
    <row r="34995">
      <c r="P34995" s="42"/>
      <c r="AB34995" s="38"/>
    </row>
    <row r="34996">
      <c r="P34996" s="42"/>
      <c r="AB34996" s="38"/>
    </row>
    <row r="34997">
      <c r="P34997" s="42"/>
      <c r="AB34997" s="38"/>
    </row>
    <row r="34998">
      <c r="P34998" s="42"/>
      <c r="AB34998" s="38"/>
    </row>
    <row r="34999">
      <c r="P34999" s="42"/>
      <c r="AB34999" s="38"/>
    </row>
    <row r="35000">
      <c r="P35000" s="42"/>
      <c r="AB35000" s="38"/>
    </row>
    <row r="35001">
      <c r="P35001" s="42"/>
      <c r="AB35001" s="38"/>
    </row>
    <row r="35002">
      <c r="P35002" s="42"/>
      <c r="AB35002" s="38"/>
    </row>
    <row r="35003">
      <c r="P35003" s="42"/>
      <c r="AB35003" s="38"/>
    </row>
    <row r="35004">
      <c r="P35004" s="42"/>
      <c r="AB35004" s="38"/>
    </row>
    <row r="35005">
      <c r="P35005" s="42"/>
      <c r="AB35005" s="38"/>
    </row>
    <row r="35006">
      <c r="P35006" s="42"/>
      <c r="AB35006" s="38"/>
    </row>
    <row r="35007">
      <c r="P35007" s="42"/>
      <c r="AB35007" s="38"/>
    </row>
    <row r="35008">
      <c r="P35008" s="42"/>
      <c r="AB35008" s="38"/>
    </row>
    <row r="35009">
      <c r="P35009" s="42"/>
      <c r="AB35009" s="38"/>
    </row>
    <row r="35010">
      <c r="P35010" s="42"/>
      <c r="AB35010" s="38"/>
    </row>
    <row r="35011">
      <c r="P35011" s="42"/>
      <c r="AB35011" s="38"/>
    </row>
    <row r="35012">
      <c r="P35012" s="42"/>
      <c r="AB35012" s="38"/>
    </row>
    <row r="35013">
      <c r="P35013" s="42"/>
      <c r="AB35013" s="38"/>
    </row>
    <row r="35014">
      <c r="P35014" s="42"/>
      <c r="AB35014" s="38"/>
    </row>
    <row r="35015">
      <c r="P35015" s="42"/>
      <c r="AB35015" s="38"/>
    </row>
    <row r="35016">
      <c r="P35016" s="42"/>
      <c r="AB35016" s="38"/>
    </row>
    <row r="35017">
      <c r="P35017" s="42"/>
      <c r="AB35017" s="38"/>
    </row>
    <row r="35018">
      <c r="P35018" s="42"/>
      <c r="AB35018" s="38"/>
    </row>
    <row r="35019">
      <c r="P35019" s="42"/>
      <c r="AB35019" s="38"/>
    </row>
    <row r="35020">
      <c r="P35020" s="42"/>
      <c r="AB35020" s="38"/>
    </row>
    <row r="35021">
      <c r="P35021" s="42"/>
      <c r="AB35021" s="38"/>
    </row>
    <row r="35022">
      <c r="P35022" s="42"/>
      <c r="AB35022" s="38"/>
    </row>
    <row r="35023">
      <c r="P35023" s="42"/>
      <c r="AB35023" s="38"/>
    </row>
    <row r="35024">
      <c r="P35024" s="42"/>
      <c r="AB35024" s="38"/>
    </row>
    <row r="35025">
      <c r="P35025" s="42"/>
      <c r="AB35025" s="38"/>
    </row>
    <row r="35026">
      <c r="P35026" s="42"/>
      <c r="AB35026" s="38"/>
    </row>
    <row r="35027">
      <c r="P35027" s="42"/>
      <c r="AB35027" s="38"/>
    </row>
    <row r="35028">
      <c r="P35028" s="42"/>
      <c r="AB35028" s="38"/>
    </row>
    <row r="35029">
      <c r="P35029" s="42"/>
      <c r="AB35029" s="38"/>
    </row>
    <row r="35030">
      <c r="P35030" s="42"/>
      <c r="AB35030" s="38"/>
    </row>
    <row r="35031">
      <c r="P35031" s="42"/>
      <c r="AB35031" s="38"/>
    </row>
    <row r="35032">
      <c r="P35032" s="42"/>
      <c r="AB35032" s="38"/>
    </row>
    <row r="35033">
      <c r="P35033" s="42"/>
      <c r="AB35033" s="38"/>
    </row>
    <row r="35034">
      <c r="P35034" s="42"/>
      <c r="AB35034" s="38"/>
    </row>
    <row r="35035">
      <c r="P35035" s="42"/>
      <c r="AB35035" s="38"/>
    </row>
    <row r="35036">
      <c r="P35036" s="42"/>
      <c r="AB35036" s="38"/>
    </row>
    <row r="35037">
      <c r="P35037" s="42"/>
      <c r="AB35037" s="38"/>
    </row>
    <row r="35038">
      <c r="P35038" s="42"/>
      <c r="AB35038" s="38"/>
    </row>
    <row r="35039">
      <c r="P35039" s="42"/>
      <c r="AB35039" s="38"/>
    </row>
    <row r="35040">
      <c r="P35040" s="42"/>
      <c r="AB35040" s="38"/>
    </row>
    <row r="35041">
      <c r="P35041" s="42"/>
      <c r="AB35041" s="38"/>
    </row>
    <row r="35042">
      <c r="P35042" s="42"/>
      <c r="AB35042" s="38"/>
    </row>
    <row r="35043">
      <c r="P35043" s="42"/>
      <c r="AB35043" s="38"/>
    </row>
    <row r="35044">
      <c r="P35044" s="42"/>
      <c r="AB35044" s="38"/>
    </row>
    <row r="35045">
      <c r="P35045" s="42"/>
      <c r="AB35045" s="38"/>
    </row>
    <row r="35046">
      <c r="P35046" s="42"/>
      <c r="AB35046" s="38"/>
    </row>
    <row r="35047">
      <c r="P35047" s="42"/>
      <c r="AB35047" s="38"/>
    </row>
    <row r="35048">
      <c r="P35048" s="42"/>
      <c r="AB35048" s="38"/>
    </row>
    <row r="35049">
      <c r="P35049" s="42"/>
      <c r="AB35049" s="38"/>
    </row>
    <row r="35050">
      <c r="P35050" s="42"/>
      <c r="AB35050" s="38"/>
    </row>
    <row r="35051">
      <c r="P35051" s="42"/>
      <c r="AB35051" s="38"/>
    </row>
    <row r="35052">
      <c r="P35052" s="42"/>
      <c r="AB35052" s="38"/>
    </row>
    <row r="35053">
      <c r="P35053" s="42"/>
      <c r="AB35053" s="38"/>
    </row>
    <row r="35054">
      <c r="P35054" s="42"/>
      <c r="AB35054" s="38"/>
    </row>
    <row r="35055">
      <c r="P35055" s="42"/>
      <c r="AB35055" s="38"/>
    </row>
    <row r="35056">
      <c r="P35056" s="42"/>
      <c r="AB35056" s="38"/>
    </row>
    <row r="35057">
      <c r="P35057" s="42"/>
      <c r="AB35057" s="38"/>
    </row>
    <row r="35058">
      <c r="P35058" s="42"/>
      <c r="AB35058" s="38"/>
    </row>
    <row r="35059">
      <c r="P35059" s="42"/>
      <c r="AB35059" s="38"/>
    </row>
    <row r="35060">
      <c r="P35060" s="42"/>
      <c r="AB35060" s="38"/>
    </row>
    <row r="35061">
      <c r="P35061" s="42"/>
      <c r="AB35061" s="38"/>
    </row>
    <row r="35062">
      <c r="P35062" s="42"/>
      <c r="AB35062" s="38"/>
    </row>
    <row r="35063">
      <c r="P35063" s="42"/>
      <c r="AB35063" s="38"/>
    </row>
    <row r="35064">
      <c r="P35064" s="42"/>
      <c r="AB35064" s="38"/>
    </row>
    <row r="35065">
      <c r="P35065" s="42"/>
      <c r="AB35065" s="38"/>
    </row>
    <row r="35066">
      <c r="P35066" s="42"/>
      <c r="AB35066" s="38"/>
    </row>
    <row r="35067">
      <c r="P35067" s="42"/>
      <c r="AB35067" s="38"/>
    </row>
    <row r="35068">
      <c r="P35068" s="42"/>
      <c r="AB35068" s="38"/>
    </row>
    <row r="35069">
      <c r="P35069" s="42"/>
      <c r="AB35069" s="38"/>
    </row>
    <row r="35070">
      <c r="P35070" s="42"/>
      <c r="AB35070" s="38"/>
    </row>
    <row r="35071">
      <c r="P35071" s="42"/>
      <c r="AB35071" s="38"/>
    </row>
    <row r="35072">
      <c r="P35072" s="42"/>
      <c r="AB35072" s="38"/>
    </row>
    <row r="35073">
      <c r="P35073" s="42"/>
      <c r="AB35073" s="38"/>
    </row>
    <row r="35074">
      <c r="P35074" s="42"/>
      <c r="AB35074" s="38"/>
    </row>
    <row r="35075">
      <c r="P35075" s="42"/>
      <c r="AB35075" s="38"/>
    </row>
    <row r="35076">
      <c r="P35076" s="42"/>
      <c r="AB35076" s="38"/>
    </row>
    <row r="35077">
      <c r="P35077" s="42"/>
      <c r="AB35077" s="38"/>
    </row>
    <row r="35078">
      <c r="P35078" s="42"/>
      <c r="AB35078" s="38"/>
    </row>
    <row r="35079">
      <c r="P35079" s="42"/>
      <c r="AB35079" s="38"/>
    </row>
    <row r="35080">
      <c r="P35080" s="42"/>
      <c r="AB35080" s="38"/>
    </row>
    <row r="35081">
      <c r="P35081" s="42"/>
      <c r="AB35081" s="38"/>
    </row>
    <row r="35082">
      <c r="P35082" s="42"/>
      <c r="AB35082" s="38"/>
    </row>
    <row r="35083">
      <c r="P35083" s="42"/>
      <c r="AB35083" s="38"/>
    </row>
    <row r="35084">
      <c r="P35084" s="42"/>
      <c r="AB35084" s="38"/>
    </row>
    <row r="35085">
      <c r="P35085" s="42"/>
      <c r="AB35085" s="38"/>
    </row>
    <row r="35086">
      <c r="P35086" s="42"/>
      <c r="AB35086" s="38"/>
    </row>
    <row r="35087">
      <c r="P35087" s="42"/>
      <c r="AB35087" s="38"/>
    </row>
    <row r="35088">
      <c r="P35088" s="42"/>
      <c r="AB35088" s="38"/>
    </row>
    <row r="35089">
      <c r="P35089" s="42"/>
      <c r="AB35089" s="38"/>
    </row>
    <row r="35090">
      <c r="P35090" s="42"/>
      <c r="AB35090" s="38"/>
    </row>
    <row r="35091">
      <c r="P35091" s="42"/>
      <c r="AB35091" s="38"/>
    </row>
    <row r="35092">
      <c r="P35092" s="42"/>
      <c r="AB35092" s="38"/>
    </row>
    <row r="35093">
      <c r="P35093" s="42"/>
      <c r="AB35093" s="38"/>
    </row>
    <row r="35094">
      <c r="P35094" s="42"/>
      <c r="AB35094" s="38"/>
    </row>
    <row r="35095">
      <c r="P35095" s="42"/>
      <c r="AB35095" s="38"/>
    </row>
    <row r="35096">
      <c r="P35096" s="42"/>
      <c r="AB35096" s="38"/>
    </row>
    <row r="35097">
      <c r="P35097" s="42"/>
      <c r="AB35097" s="38"/>
    </row>
    <row r="35098">
      <c r="P35098" s="42"/>
      <c r="AB35098" s="38"/>
    </row>
    <row r="35099">
      <c r="P35099" s="42"/>
      <c r="AB35099" s="38"/>
    </row>
    <row r="35100">
      <c r="P35100" s="42"/>
      <c r="AB35100" s="38"/>
    </row>
    <row r="35101">
      <c r="P35101" s="42"/>
      <c r="AB35101" s="38"/>
    </row>
    <row r="35102">
      <c r="P35102" s="42"/>
      <c r="AB35102" s="38"/>
    </row>
    <row r="35103">
      <c r="P35103" s="42"/>
      <c r="AB35103" s="38"/>
    </row>
    <row r="35104">
      <c r="P35104" s="42"/>
      <c r="AB35104" s="38"/>
    </row>
    <row r="35105">
      <c r="P35105" s="42"/>
      <c r="AB35105" s="38"/>
    </row>
    <row r="35106">
      <c r="P35106" s="42"/>
      <c r="AB35106" s="38"/>
    </row>
    <row r="35107">
      <c r="P35107" s="42"/>
      <c r="AB35107" s="38"/>
    </row>
    <row r="35108">
      <c r="P35108" s="42"/>
      <c r="AB35108" s="38"/>
    </row>
    <row r="35109">
      <c r="P35109" s="42"/>
      <c r="AB35109" s="38"/>
    </row>
    <row r="35110">
      <c r="P35110" s="42"/>
      <c r="AB35110" s="38"/>
    </row>
    <row r="35111">
      <c r="P35111" s="42"/>
      <c r="AB35111" s="38"/>
    </row>
    <row r="35112">
      <c r="P35112" s="42"/>
      <c r="AB35112" s="38"/>
    </row>
    <row r="35113">
      <c r="P35113" s="42"/>
      <c r="AB35113" s="38"/>
    </row>
    <row r="35114">
      <c r="P35114" s="42"/>
      <c r="AB35114" s="38"/>
    </row>
    <row r="35115">
      <c r="P35115" s="42"/>
      <c r="AB35115" s="38"/>
    </row>
    <row r="35116">
      <c r="P35116" s="42"/>
      <c r="AB35116" s="38"/>
    </row>
    <row r="35117">
      <c r="P35117" s="42"/>
      <c r="AB35117" s="38"/>
    </row>
    <row r="35118">
      <c r="P35118" s="42"/>
      <c r="AB35118" s="38"/>
    </row>
    <row r="35119">
      <c r="P35119" s="42"/>
      <c r="AB35119" s="38"/>
    </row>
    <row r="35120">
      <c r="P35120" s="42"/>
      <c r="AB35120" s="38"/>
    </row>
    <row r="35121">
      <c r="P35121" s="42"/>
      <c r="AB35121" s="38"/>
    </row>
    <row r="35122">
      <c r="P35122" s="42"/>
      <c r="AB35122" s="38"/>
    </row>
    <row r="35123">
      <c r="P35123" s="42"/>
      <c r="AB35123" s="38"/>
    </row>
    <row r="35124">
      <c r="P35124" s="42"/>
      <c r="AB35124" s="38"/>
    </row>
    <row r="35125">
      <c r="P35125" s="42"/>
      <c r="AB35125" s="38"/>
    </row>
    <row r="35126">
      <c r="P35126" s="42"/>
      <c r="AB35126" s="38"/>
    </row>
    <row r="35127">
      <c r="P35127" s="42"/>
      <c r="AB35127" s="38"/>
    </row>
    <row r="35128">
      <c r="P35128" s="42"/>
      <c r="AB35128" s="38"/>
    </row>
    <row r="35129">
      <c r="P35129" s="42"/>
      <c r="AB35129" s="38"/>
    </row>
    <row r="35130">
      <c r="P35130" s="42"/>
      <c r="AB35130" s="38"/>
    </row>
    <row r="35131">
      <c r="P35131" s="42"/>
      <c r="AB35131" s="38"/>
    </row>
    <row r="35132">
      <c r="P35132" s="42"/>
      <c r="AB35132" s="38"/>
    </row>
    <row r="35133">
      <c r="P35133" s="42"/>
      <c r="AB35133" s="38"/>
    </row>
    <row r="35134">
      <c r="P35134" s="42"/>
      <c r="AB35134" s="38"/>
    </row>
    <row r="35135">
      <c r="P35135" s="42"/>
      <c r="AB35135" s="38"/>
    </row>
    <row r="35136">
      <c r="P35136" s="42"/>
      <c r="AB35136" s="38"/>
    </row>
    <row r="35137">
      <c r="P35137" s="42"/>
      <c r="AB35137" s="38"/>
    </row>
    <row r="35138">
      <c r="P35138" s="42"/>
      <c r="AB35138" s="38"/>
    </row>
    <row r="35139">
      <c r="P35139" s="42"/>
      <c r="AB35139" s="38"/>
    </row>
    <row r="35140">
      <c r="P35140" s="42"/>
      <c r="AB35140" s="38"/>
    </row>
    <row r="35141">
      <c r="P35141" s="42"/>
      <c r="AB35141" s="38"/>
    </row>
    <row r="35142">
      <c r="P35142" s="42"/>
      <c r="AB35142" s="38"/>
    </row>
    <row r="35143">
      <c r="P35143" s="42"/>
      <c r="AB35143" s="38"/>
    </row>
    <row r="35144">
      <c r="P35144" s="42"/>
      <c r="AB35144" s="38"/>
    </row>
    <row r="35145">
      <c r="P35145" s="42"/>
      <c r="AB35145" s="38"/>
    </row>
    <row r="35146">
      <c r="P35146" s="42"/>
      <c r="AB35146" s="38"/>
    </row>
    <row r="35147">
      <c r="P35147" s="42"/>
      <c r="AB35147" s="38"/>
    </row>
    <row r="35148">
      <c r="P35148" s="42"/>
      <c r="AB35148" s="38"/>
    </row>
    <row r="35149">
      <c r="P35149" s="42"/>
      <c r="AB35149" s="38"/>
    </row>
    <row r="35150">
      <c r="P35150" s="42"/>
      <c r="AB35150" s="38"/>
    </row>
    <row r="35151">
      <c r="P35151" s="42"/>
      <c r="AB35151" s="38"/>
    </row>
    <row r="35152">
      <c r="P35152" s="42"/>
      <c r="AB35152" s="38"/>
    </row>
    <row r="35153">
      <c r="P35153" s="42"/>
      <c r="AB35153" s="38"/>
    </row>
    <row r="35154">
      <c r="P35154" s="42"/>
      <c r="AB35154" s="38"/>
    </row>
    <row r="35155">
      <c r="P35155" s="42"/>
      <c r="AB35155" s="38"/>
    </row>
    <row r="35156">
      <c r="P35156" s="42"/>
      <c r="AB35156" s="38"/>
    </row>
    <row r="35157">
      <c r="P35157" s="42"/>
      <c r="AB35157" s="38"/>
    </row>
    <row r="35158">
      <c r="P35158" s="42"/>
      <c r="AB35158" s="38"/>
    </row>
    <row r="35159">
      <c r="P35159" s="42"/>
      <c r="AB35159" s="38"/>
    </row>
    <row r="35160">
      <c r="P35160" s="42"/>
      <c r="AB35160" s="38"/>
    </row>
    <row r="35161">
      <c r="P35161" s="42"/>
      <c r="AB35161" s="38"/>
    </row>
    <row r="35162">
      <c r="P35162" s="42"/>
      <c r="AB35162" s="38"/>
    </row>
    <row r="35163">
      <c r="P35163" s="42"/>
      <c r="AB35163" s="38"/>
    </row>
    <row r="35164">
      <c r="P35164" s="42"/>
      <c r="AB35164" s="38"/>
    </row>
    <row r="35165">
      <c r="P35165" s="42"/>
      <c r="AB35165" s="38"/>
    </row>
    <row r="35166">
      <c r="P35166" s="42"/>
      <c r="AB35166" s="38"/>
    </row>
    <row r="35167">
      <c r="P35167" s="42"/>
      <c r="AB35167" s="38"/>
    </row>
    <row r="35168">
      <c r="P35168" s="42"/>
      <c r="AB35168" s="38"/>
    </row>
    <row r="35169">
      <c r="P35169" s="42"/>
      <c r="AB35169" s="38"/>
    </row>
    <row r="35170">
      <c r="P35170" s="42"/>
      <c r="AB35170" s="38"/>
    </row>
    <row r="35171">
      <c r="P35171" s="42"/>
      <c r="AB35171" s="38"/>
    </row>
    <row r="35172">
      <c r="P35172" s="42"/>
      <c r="AB35172" s="38"/>
    </row>
    <row r="35173">
      <c r="P35173" s="42"/>
      <c r="AB35173" s="38"/>
    </row>
    <row r="35174">
      <c r="P35174" s="42"/>
      <c r="AB35174" s="38"/>
    </row>
    <row r="35175">
      <c r="P35175" s="42"/>
      <c r="AB35175" s="38"/>
    </row>
    <row r="35176">
      <c r="P35176" s="42"/>
      <c r="AB35176" s="38"/>
    </row>
    <row r="35177">
      <c r="P35177" s="42"/>
      <c r="AB35177" s="38"/>
    </row>
    <row r="35178">
      <c r="P35178" s="42"/>
      <c r="AB35178" s="38"/>
    </row>
    <row r="35179">
      <c r="P35179" s="42"/>
      <c r="AB35179" s="38"/>
    </row>
    <row r="35180">
      <c r="P35180" s="42"/>
      <c r="AB35180" s="38"/>
    </row>
    <row r="35181">
      <c r="P35181" s="42"/>
      <c r="AB35181" s="38"/>
    </row>
    <row r="35182">
      <c r="P35182" s="42"/>
      <c r="AB35182" s="38"/>
    </row>
    <row r="35183">
      <c r="P35183" s="42"/>
      <c r="AB35183" s="38"/>
    </row>
    <row r="35184">
      <c r="P35184" s="42"/>
      <c r="AB35184" s="38"/>
    </row>
    <row r="35185">
      <c r="P35185" s="42"/>
      <c r="AB35185" s="38"/>
    </row>
    <row r="35186">
      <c r="P35186" s="42"/>
      <c r="AB35186" s="38"/>
    </row>
    <row r="35187">
      <c r="P35187" s="42"/>
      <c r="AB35187" s="38"/>
    </row>
    <row r="35188">
      <c r="P35188" s="42"/>
      <c r="AB35188" s="38"/>
    </row>
    <row r="35189">
      <c r="P35189" s="42"/>
      <c r="AB35189" s="38"/>
    </row>
    <row r="35190">
      <c r="P35190" s="42"/>
      <c r="AB35190" s="38"/>
    </row>
    <row r="35191">
      <c r="P35191" s="42"/>
      <c r="AB35191" s="38"/>
    </row>
    <row r="35192">
      <c r="P35192" s="42"/>
      <c r="AB35192" s="38"/>
    </row>
    <row r="35193">
      <c r="P35193" s="42"/>
      <c r="AB35193" s="38"/>
    </row>
    <row r="35194">
      <c r="P35194" s="42"/>
      <c r="AB35194" s="38"/>
    </row>
    <row r="35195">
      <c r="P35195" s="42"/>
      <c r="AB35195" s="38"/>
    </row>
    <row r="35196">
      <c r="P35196" s="42"/>
      <c r="AB35196" s="38"/>
    </row>
    <row r="35197">
      <c r="P35197" s="42"/>
      <c r="AB35197" s="38"/>
    </row>
    <row r="35198">
      <c r="P35198" s="42"/>
      <c r="AB35198" s="38"/>
    </row>
    <row r="35199">
      <c r="P35199" s="42"/>
      <c r="AB35199" s="38"/>
    </row>
    <row r="35200">
      <c r="P35200" s="42"/>
      <c r="AB35200" s="38"/>
    </row>
    <row r="35201">
      <c r="P35201" s="42"/>
      <c r="AB35201" s="38"/>
    </row>
    <row r="35202">
      <c r="P35202" s="42"/>
      <c r="AB35202" s="38"/>
    </row>
    <row r="35203">
      <c r="P35203" s="42"/>
      <c r="AB35203" s="38"/>
    </row>
    <row r="35204">
      <c r="P35204" s="42"/>
      <c r="AB35204" s="38"/>
    </row>
    <row r="35205">
      <c r="P35205" s="42"/>
      <c r="AB35205" s="38"/>
    </row>
    <row r="35206">
      <c r="P35206" s="42"/>
      <c r="AB35206" s="38"/>
    </row>
    <row r="35207">
      <c r="P35207" s="42"/>
      <c r="AB35207" s="38"/>
    </row>
    <row r="35208">
      <c r="P35208" s="42"/>
      <c r="AB35208" s="38"/>
    </row>
    <row r="35209">
      <c r="P35209" s="42"/>
      <c r="AB35209" s="38"/>
    </row>
    <row r="35210">
      <c r="P35210" s="42"/>
      <c r="AB35210" s="38"/>
    </row>
    <row r="35211">
      <c r="P35211" s="42"/>
      <c r="AB35211" s="38"/>
    </row>
    <row r="35212">
      <c r="P35212" s="42"/>
      <c r="AB35212" s="38"/>
    </row>
    <row r="35213">
      <c r="P35213" s="42"/>
      <c r="AB35213" s="38"/>
    </row>
    <row r="35214">
      <c r="P35214" s="42"/>
      <c r="AB35214" s="38"/>
    </row>
    <row r="35215">
      <c r="P35215" s="42"/>
      <c r="AB35215" s="38"/>
    </row>
    <row r="35216">
      <c r="P35216" s="42"/>
      <c r="AB35216" s="38"/>
    </row>
    <row r="35217">
      <c r="P35217" s="42"/>
      <c r="AB35217" s="38"/>
    </row>
    <row r="35218">
      <c r="P35218" s="42"/>
      <c r="AB35218" s="38"/>
    </row>
    <row r="35219">
      <c r="P35219" s="42"/>
      <c r="AB35219" s="38"/>
    </row>
    <row r="35220">
      <c r="P35220" s="42"/>
      <c r="AB35220" s="38"/>
    </row>
    <row r="35221">
      <c r="P35221" s="42"/>
      <c r="AB35221" s="38"/>
    </row>
    <row r="35222">
      <c r="P35222" s="42"/>
      <c r="AB35222" s="38"/>
    </row>
    <row r="35223">
      <c r="P35223" s="42"/>
      <c r="AB35223" s="38"/>
    </row>
    <row r="35224">
      <c r="P35224" s="42"/>
      <c r="AB35224" s="38"/>
    </row>
    <row r="35225">
      <c r="P35225" s="42"/>
      <c r="AB35225" s="38"/>
    </row>
    <row r="35226">
      <c r="P35226" s="42"/>
      <c r="AB35226" s="38"/>
    </row>
    <row r="35227">
      <c r="P35227" s="42"/>
      <c r="AB35227" s="38"/>
    </row>
    <row r="35228">
      <c r="P35228" s="42"/>
      <c r="AB35228" s="38"/>
    </row>
    <row r="35229">
      <c r="P35229" s="42"/>
      <c r="AB35229" s="38"/>
    </row>
    <row r="35230">
      <c r="P35230" s="42"/>
      <c r="AB35230" s="38"/>
    </row>
    <row r="35231">
      <c r="P35231" s="42"/>
      <c r="AB35231" s="38"/>
    </row>
    <row r="35232">
      <c r="P35232" s="42"/>
      <c r="AB35232" s="38"/>
    </row>
    <row r="35233">
      <c r="P35233" s="42"/>
      <c r="AB35233" s="38"/>
    </row>
    <row r="35234">
      <c r="P35234" s="42"/>
      <c r="AB35234" s="38"/>
    </row>
    <row r="35235">
      <c r="P35235" s="42"/>
      <c r="AB35235" s="38"/>
    </row>
    <row r="35236">
      <c r="P35236" s="42"/>
      <c r="AB35236" s="38"/>
    </row>
    <row r="35237">
      <c r="P35237" s="42"/>
      <c r="AB35237" s="38"/>
    </row>
    <row r="35238">
      <c r="P35238" s="42"/>
      <c r="AB35238" s="38"/>
    </row>
    <row r="35239">
      <c r="P35239" s="42"/>
      <c r="AB35239" s="38"/>
    </row>
    <row r="35240">
      <c r="P35240" s="42"/>
      <c r="AB35240" s="38"/>
    </row>
    <row r="35241">
      <c r="P35241" s="42"/>
      <c r="AB35241" s="38"/>
    </row>
    <row r="35242">
      <c r="P35242" s="42"/>
      <c r="AB35242" s="38"/>
    </row>
    <row r="35243">
      <c r="P35243" s="42"/>
      <c r="AB35243" s="38"/>
    </row>
    <row r="35244">
      <c r="P35244" s="42"/>
      <c r="AB35244" s="38"/>
    </row>
    <row r="35245">
      <c r="P35245" s="42"/>
      <c r="AB35245" s="38"/>
    </row>
    <row r="35246">
      <c r="P35246" s="42"/>
      <c r="AB35246" s="38"/>
    </row>
    <row r="35247">
      <c r="P35247" s="42"/>
      <c r="AB35247" s="38"/>
    </row>
    <row r="35248">
      <c r="P35248" s="42"/>
      <c r="AB35248" s="38"/>
    </row>
    <row r="35249">
      <c r="P35249" s="42"/>
      <c r="AB35249" s="38"/>
    </row>
    <row r="35250">
      <c r="P35250" s="42"/>
      <c r="AB35250" s="38"/>
    </row>
    <row r="35251">
      <c r="P35251" s="42"/>
      <c r="AB35251" s="38"/>
    </row>
    <row r="35252">
      <c r="P35252" s="42"/>
      <c r="AB35252" s="38"/>
    </row>
    <row r="35253">
      <c r="P35253" s="42"/>
      <c r="AB35253" s="38"/>
    </row>
    <row r="35254">
      <c r="P35254" s="42"/>
      <c r="AB35254" s="38"/>
    </row>
    <row r="35255">
      <c r="P35255" s="42"/>
      <c r="AB35255" s="38"/>
    </row>
    <row r="35256">
      <c r="P35256" s="42"/>
      <c r="AB35256" s="38"/>
    </row>
    <row r="35257">
      <c r="P35257" s="42"/>
      <c r="AB35257" s="38"/>
    </row>
    <row r="35258">
      <c r="P35258" s="42"/>
      <c r="AB35258" s="38"/>
    </row>
    <row r="35259">
      <c r="P35259" s="42"/>
      <c r="AB35259" s="38"/>
    </row>
    <row r="35260">
      <c r="P35260" s="42"/>
      <c r="AB35260" s="38"/>
    </row>
    <row r="35261">
      <c r="P35261" s="42"/>
      <c r="AB35261" s="38"/>
    </row>
    <row r="35262">
      <c r="P35262" s="42"/>
      <c r="AB35262" s="38"/>
    </row>
    <row r="35263">
      <c r="P35263" s="42"/>
      <c r="AB35263" s="38"/>
    </row>
    <row r="35264">
      <c r="P35264" s="42"/>
      <c r="AB35264" s="38"/>
    </row>
    <row r="35265">
      <c r="P35265" s="42"/>
      <c r="AB35265" s="38"/>
    </row>
    <row r="35266">
      <c r="P35266" s="42"/>
      <c r="AB35266" s="38"/>
    </row>
    <row r="35267">
      <c r="P35267" s="42"/>
      <c r="AB35267" s="38"/>
    </row>
    <row r="35268">
      <c r="P35268" s="42"/>
      <c r="AB35268" s="38"/>
    </row>
    <row r="35269">
      <c r="P35269" s="42"/>
      <c r="AB35269" s="38"/>
    </row>
    <row r="35270">
      <c r="P35270" s="42"/>
      <c r="AB35270" s="38"/>
    </row>
    <row r="35271">
      <c r="P35271" s="42"/>
      <c r="AB35271" s="38"/>
    </row>
    <row r="35272">
      <c r="P35272" s="42"/>
      <c r="AB35272" s="38"/>
    </row>
    <row r="35273">
      <c r="P35273" s="42"/>
      <c r="AB35273" s="38"/>
    </row>
    <row r="35274">
      <c r="P35274" s="42"/>
      <c r="AB35274" s="38"/>
    </row>
    <row r="35275">
      <c r="P35275" s="42"/>
      <c r="AB35275" s="38"/>
    </row>
    <row r="35276">
      <c r="P35276" s="42"/>
      <c r="AB35276" s="38"/>
    </row>
    <row r="35277">
      <c r="P35277" s="42"/>
      <c r="AB35277" s="38"/>
    </row>
    <row r="35278">
      <c r="P35278" s="42"/>
      <c r="AB35278" s="38"/>
    </row>
    <row r="35279">
      <c r="P35279" s="42"/>
      <c r="AB35279" s="38"/>
    </row>
    <row r="35280">
      <c r="P35280" s="42"/>
      <c r="AB35280" s="38"/>
    </row>
    <row r="35281">
      <c r="P35281" s="42"/>
      <c r="AB35281" s="38"/>
    </row>
    <row r="35282">
      <c r="P35282" s="42"/>
      <c r="AB35282" s="38"/>
    </row>
    <row r="35283">
      <c r="P35283" s="42"/>
      <c r="AB35283" s="38"/>
    </row>
    <row r="35284">
      <c r="P35284" s="42"/>
      <c r="AB35284" s="38"/>
    </row>
    <row r="35285">
      <c r="P35285" s="42"/>
      <c r="AB35285" s="38"/>
    </row>
    <row r="35286">
      <c r="P35286" s="42"/>
      <c r="AB35286" s="38"/>
    </row>
    <row r="35287">
      <c r="P35287" s="42"/>
      <c r="AB35287" s="38"/>
    </row>
    <row r="35288">
      <c r="P35288" s="42"/>
      <c r="AB35288" s="38"/>
    </row>
    <row r="35289">
      <c r="P35289" s="42"/>
      <c r="AB35289" s="38"/>
    </row>
    <row r="35290">
      <c r="P35290" s="42"/>
      <c r="AB35290" s="38"/>
    </row>
    <row r="35291">
      <c r="P35291" s="42"/>
      <c r="AB35291" s="38"/>
    </row>
    <row r="35292">
      <c r="P35292" s="42"/>
      <c r="AB35292" s="38"/>
    </row>
    <row r="35293">
      <c r="P35293" s="42"/>
      <c r="AB35293" s="38"/>
    </row>
    <row r="35294">
      <c r="P35294" s="42"/>
      <c r="AB35294" s="38"/>
    </row>
    <row r="35295">
      <c r="P35295" s="42"/>
      <c r="AB35295" s="38"/>
    </row>
    <row r="35296">
      <c r="P35296" s="42"/>
      <c r="AB35296" s="38"/>
    </row>
    <row r="35297">
      <c r="P35297" s="42"/>
      <c r="AB35297" s="38"/>
    </row>
    <row r="35298">
      <c r="P35298" s="42"/>
      <c r="AB35298" s="38"/>
    </row>
    <row r="35299">
      <c r="P35299" s="42"/>
      <c r="AB35299" s="38"/>
    </row>
    <row r="35300">
      <c r="P35300" s="42"/>
      <c r="AB35300" s="38"/>
    </row>
    <row r="35301">
      <c r="P35301" s="42"/>
      <c r="AB35301" s="38"/>
    </row>
    <row r="35302">
      <c r="P35302" s="42"/>
      <c r="AB35302" s="38"/>
    </row>
    <row r="35303">
      <c r="P35303" s="42"/>
      <c r="AB35303" s="38"/>
    </row>
    <row r="35304">
      <c r="P35304" s="42"/>
      <c r="AB35304" s="38"/>
    </row>
    <row r="35305">
      <c r="P35305" s="42"/>
      <c r="AB35305" s="38"/>
    </row>
    <row r="35306">
      <c r="P35306" s="42"/>
      <c r="AB35306" s="38"/>
    </row>
    <row r="35307">
      <c r="P35307" s="42"/>
      <c r="AB35307" s="38"/>
    </row>
    <row r="35308">
      <c r="P35308" s="42"/>
      <c r="AB35308" s="38"/>
    </row>
    <row r="35309">
      <c r="P35309" s="42"/>
      <c r="AB35309" s="38"/>
    </row>
    <row r="35310">
      <c r="P35310" s="42"/>
      <c r="AB35310" s="38"/>
    </row>
    <row r="35311">
      <c r="P35311" s="42"/>
      <c r="AB35311" s="38"/>
    </row>
    <row r="35312">
      <c r="P35312" s="42"/>
      <c r="AB35312" s="38"/>
    </row>
    <row r="35313">
      <c r="P35313" s="42"/>
      <c r="AB35313" s="38"/>
    </row>
    <row r="35314">
      <c r="P35314" s="42"/>
      <c r="AB35314" s="38"/>
    </row>
    <row r="35315">
      <c r="P35315" s="42"/>
      <c r="AB35315" s="38"/>
    </row>
    <row r="35316">
      <c r="P35316" s="42"/>
      <c r="AB35316" s="38"/>
    </row>
    <row r="35317">
      <c r="P35317" s="42"/>
      <c r="AB35317" s="38"/>
    </row>
    <row r="35318">
      <c r="P35318" s="42"/>
      <c r="AB35318" s="38"/>
    </row>
    <row r="35319">
      <c r="P35319" s="42"/>
      <c r="AB35319" s="38"/>
    </row>
    <row r="35320">
      <c r="P35320" s="42"/>
      <c r="AB35320" s="38"/>
    </row>
    <row r="35321">
      <c r="P35321" s="42"/>
      <c r="AB35321" s="38"/>
    </row>
    <row r="35322">
      <c r="P35322" s="42"/>
      <c r="AB35322" s="38"/>
    </row>
    <row r="35323">
      <c r="P35323" s="42"/>
      <c r="AB35323" s="38"/>
    </row>
    <row r="35324">
      <c r="P35324" s="42"/>
      <c r="AB35324" s="38"/>
    </row>
    <row r="35325">
      <c r="P35325" s="42"/>
      <c r="AB35325" s="38"/>
    </row>
    <row r="35326">
      <c r="P35326" s="42"/>
      <c r="AB35326" s="38"/>
    </row>
    <row r="35327">
      <c r="P35327" s="42"/>
      <c r="AB35327" s="38"/>
    </row>
    <row r="35328">
      <c r="P35328" s="42"/>
      <c r="AB35328" s="38"/>
    </row>
    <row r="35329">
      <c r="P35329" s="42"/>
      <c r="AB35329" s="38"/>
    </row>
    <row r="35330">
      <c r="P35330" s="42"/>
      <c r="AB35330" s="38"/>
    </row>
    <row r="35331">
      <c r="P35331" s="42"/>
      <c r="AB35331" s="38"/>
    </row>
    <row r="35332">
      <c r="P35332" s="42"/>
      <c r="AB35332" s="38"/>
    </row>
    <row r="35333">
      <c r="P35333" s="42"/>
      <c r="AB35333" s="38"/>
    </row>
    <row r="35334">
      <c r="P35334" s="42"/>
      <c r="AB35334" s="38"/>
    </row>
    <row r="35335">
      <c r="P35335" s="42"/>
      <c r="AB35335" s="38"/>
    </row>
    <row r="35336">
      <c r="P35336" s="42"/>
      <c r="AB35336" s="38"/>
    </row>
    <row r="35337">
      <c r="P35337" s="42"/>
      <c r="AB35337" s="38"/>
    </row>
    <row r="35338">
      <c r="P35338" s="42"/>
      <c r="AB35338" s="38"/>
    </row>
    <row r="35339">
      <c r="P35339" s="42"/>
      <c r="AB35339" s="38"/>
    </row>
    <row r="35340">
      <c r="P35340" s="42"/>
      <c r="AB35340" s="38"/>
    </row>
    <row r="35341">
      <c r="P35341" s="42"/>
      <c r="AB35341" s="38"/>
    </row>
    <row r="35342">
      <c r="P35342" s="42"/>
      <c r="AB35342" s="38"/>
    </row>
    <row r="35343">
      <c r="P35343" s="42"/>
      <c r="AB35343" s="38"/>
    </row>
    <row r="35344">
      <c r="P35344" s="42"/>
      <c r="AB35344" s="38"/>
    </row>
    <row r="35345">
      <c r="P35345" s="42"/>
      <c r="AB35345" s="38"/>
    </row>
    <row r="35346">
      <c r="P35346" s="42"/>
      <c r="AB35346" s="38"/>
    </row>
    <row r="35347">
      <c r="P35347" s="42"/>
      <c r="AB35347" s="38"/>
    </row>
    <row r="35348">
      <c r="P35348" s="42"/>
      <c r="AB35348" s="38"/>
    </row>
    <row r="35349">
      <c r="P35349" s="42"/>
      <c r="AB35349" s="38"/>
    </row>
    <row r="35350">
      <c r="P35350" s="42"/>
      <c r="AB35350" s="38"/>
    </row>
    <row r="35351">
      <c r="P35351" s="42"/>
      <c r="AB35351" s="38"/>
    </row>
    <row r="35352">
      <c r="P35352" s="42"/>
      <c r="AB35352" s="38"/>
    </row>
    <row r="35353">
      <c r="P35353" s="42"/>
      <c r="AB35353" s="38"/>
    </row>
    <row r="35354">
      <c r="P35354" s="42"/>
      <c r="AB35354" s="38"/>
    </row>
    <row r="35355">
      <c r="P35355" s="42"/>
      <c r="AB35355" s="38"/>
    </row>
    <row r="35356">
      <c r="P35356" s="42"/>
      <c r="AB35356" s="38"/>
    </row>
    <row r="35357">
      <c r="P35357" s="42"/>
      <c r="AB35357" s="38"/>
    </row>
    <row r="35358">
      <c r="P35358" s="42"/>
      <c r="AB35358" s="38"/>
    </row>
    <row r="35359">
      <c r="P35359" s="42"/>
      <c r="AB35359" s="38"/>
    </row>
    <row r="35360">
      <c r="P35360" s="42"/>
      <c r="AB35360" s="38"/>
    </row>
    <row r="35361">
      <c r="P35361" s="42"/>
      <c r="AB35361" s="38"/>
    </row>
    <row r="35362">
      <c r="P35362" s="42"/>
      <c r="AB35362" s="38"/>
    </row>
    <row r="35363">
      <c r="P35363" s="42"/>
      <c r="AB35363" s="38"/>
    </row>
    <row r="35364">
      <c r="P35364" s="42"/>
      <c r="AB35364" s="38"/>
    </row>
    <row r="35365">
      <c r="P35365" s="42"/>
      <c r="AB35365" s="38"/>
    </row>
    <row r="35366">
      <c r="P35366" s="42"/>
      <c r="AB35366" s="38"/>
    </row>
    <row r="35367">
      <c r="P35367" s="42"/>
      <c r="AB35367" s="38"/>
    </row>
    <row r="35368">
      <c r="P35368" s="42"/>
      <c r="AB35368" s="38"/>
    </row>
    <row r="35369">
      <c r="P35369" s="42"/>
      <c r="AB35369" s="38"/>
    </row>
    <row r="35370">
      <c r="P35370" s="42"/>
      <c r="AB35370" s="38"/>
    </row>
    <row r="35371">
      <c r="P35371" s="42"/>
      <c r="AB35371" s="38"/>
    </row>
    <row r="35372">
      <c r="P35372" s="42"/>
      <c r="AB35372" s="38"/>
    </row>
    <row r="35373">
      <c r="P35373" s="42"/>
      <c r="AB35373" s="38"/>
    </row>
    <row r="35374">
      <c r="P35374" s="42"/>
      <c r="AB35374" s="38"/>
    </row>
    <row r="35375">
      <c r="P35375" s="42"/>
      <c r="AB35375" s="38"/>
    </row>
    <row r="35376">
      <c r="P35376" s="42"/>
      <c r="AB35376" s="38"/>
    </row>
    <row r="35377">
      <c r="P35377" s="42"/>
      <c r="AB35377" s="38"/>
    </row>
    <row r="35378">
      <c r="P35378" s="42"/>
      <c r="AB35378" s="38"/>
    </row>
    <row r="35379">
      <c r="P35379" s="42"/>
      <c r="AB35379" s="38"/>
    </row>
    <row r="35380">
      <c r="P35380" s="42"/>
      <c r="AB35380" s="38"/>
    </row>
    <row r="35381">
      <c r="P35381" s="42"/>
      <c r="AB35381" s="38"/>
    </row>
    <row r="35382">
      <c r="P35382" s="42"/>
      <c r="AB35382" s="38"/>
    </row>
    <row r="35383">
      <c r="P35383" s="42"/>
      <c r="AB35383" s="38"/>
    </row>
    <row r="35384">
      <c r="P35384" s="42"/>
      <c r="AB35384" s="38"/>
    </row>
    <row r="35385">
      <c r="P35385" s="42"/>
      <c r="AB35385" s="38"/>
    </row>
    <row r="35386">
      <c r="P35386" s="42"/>
      <c r="AB35386" s="38"/>
    </row>
    <row r="35387">
      <c r="P35387" s="42"/>
      <c r="AB35387" s="38"/>
    </row>
    <row r="35388">
      <c r="P35388" s="42"/>
      <c r="AB35388" s="38"/>
    </row>
    <row r="35389">
      <c r="P35389" s="42"/>
      <c r="AB35389" s="38"/>
    </row>
    <row r="35390">
      <c r="P35390" s="42"/>
      <c r="AB35390" s="38"/>
    </row>
    <row r="35391">
      <c r="P35391" s="42"/>
      <c r="AB35391" s="38"/>
    </row>
    <row r="35392">
      <c r="P35392" s="42"/>
      <c r="AB35392" s="38"/>
    </row>
    <row r="35393">
      <c r="P35393" s="42"/>
      <c r="AB35393" s="38"/>
    </row>
    <row r="35394">
      <c r="P35394" s="42"/>
      <c r="AB35394" s="38"/>
    </row>
    <row r="35395">
      <c r="P35395" s="42"/>
      <c r="AB35395" s="38"/>
    </row>
    <row r="35396">
      <c r="P35396" s="42"/>
      <c r="AB35396" s="38"/>
    </row>
    <row r="35397">
      <c r="P35397" s="42"/>
      <c r="AB35397" s="38"/>
    </row>
    <row r="35398">
      <c r="P35398" s="42"/>
      <c r="AB35398" s="38"/>
    </row>
    <row r="35399">
      <c r="P35399" s="42"/>
      <c r="AB35399" s="38"/>
    </row>
    <row r="35400">
      <c r="P35400" s="42"/>
      <c r="AB35400" s="38"/>
    </row>
    <row r="35401">
      <c r="P35401" s="42"/>
      <c r="AB35401" s="38"/>
    </row>
    <row r="35402">
      <c r="P35402" s="42"/>
      <c r="AB35402" s="38"/>
    </row>
    <row r="35403">
      <c r="P35403" s="42"/>
      <c r="AB35403" s="38"/>
    </row>
    <row r="35404">
      <c r="P35404" s="42"/>
      <c r="AB35404" s="38"/>
    </row>
    <row r="35405">
      <c r="P35405" s="42"/>
      <c r="AB35405" s="38"/>
    </row>
    <row r="35406">
      <c r="P35406" s="42"/>
      <c r="AB35406" s="38"/>
    </row>
    <row r="35407">
      <c r="P35407" s="42"/>
      <c r="AB35407" s="38"/>
    </row>
    <row r="35408">
      <c r="P35408" s="42"/>
      <c r="AB35408" s="38"/>
    </row>
    <row r="35409">
      <c r="P35409" s="42"/>
      <c r="AB35409" s="38"/>
    </row>
    <row r="35410">
      <c r="P35410" s="42"/>
      <c r="AB35410" s="38"/>
    </row>
    <row r="35411">
      <c r="P35411" s="42"/>
      <c r="AB35411" s="38"/>
    </row>
    <row r="35412">
      <c r="P35412" s="42"/>
      <c r="AB35412" s="38"/>
    </row>
    <row r="35413">
      <c r="P35413" s="42"/>
      <c r="AB35413" s="38"/>
    </row>
    <row r="35414">
      <c r="P35414" s="42"/>
      <c r="AB35414" s="38"/>
    </row>
    <row r="35415">
      <c r="P35415" s="42"/>
      <c r="AB35415" s="38"/>
    </row>
    <row r="35416">
      <c r="P35416" s="42"/>
      <c r="AB35416" s="38"/>
    </row>
    <row r="35417">
      <c r="P35417" s="42"/>
      <c r="AB35417" s="38"/>
    </row>
    <row r="35418">
      <c r="P35418" s="42"/>
      <c r="AB35418" s="38"/>
    </row>
    <row r="35419">
      <c r="P35419" s="42"/>
      <c r="AB35419" s="38"/>
    </row>
    <row r="35420">
      <c r="P35420" s="42"/>
      <c r="AB35420" s="38"/>
    </row>
    <row r="35421">
      <c r="P35421" s="42"/>
      <c r="AB35421" s="38"/>
    </row>
    <row r="35422">
      <c r="P35422" s="42"/>
      <c r="AB35422" s="38"/>
    </row>
    <row r="35423">
      <c r="P35423" s="42"/>
      <c r="AB35423" s="38"/>
    </row>
    <row r="35424">
      <c r="P35424" s="42"/>
      <c r="AB35424" s="38"/>
    </row>
    <row r="35425">
      <c r="P35425" s="42"/>
      <c r="AB35425" s="38"/>
    </row>
    <row r="35426">
      <c r="P35426" s="42"/>
      <c r="AB35426" s="38"/>
    </row>
    <row r="35427">
      <c r="P35427" s="42"/>
      <c r="AB35427" s="38"/>
    </row>
    <row r="35428">
      <c r="P35428" s="42"/>
      <c r="AB35428" s="38"/>
    </row>
    <row r="35429">
      <c r="P35429" s="42"/>
      <c r="AB35429" s="38"/>
    </row>
    <row r="35430">
      <c r="P35430" s="42"/>
      <c r="AB35430" s="38"/>
    </row>
    <row r="35431">
      <c r="P35431" s="42"/>
      <c r="AB35431" s="38"/>
    </row>
    <row r="35432">
      <c r="P35432" s="42"/>
      <c r="AB35432" s="38"/>
    </row>
    <row r="35433">
      <c r="P35433" s="42"/>
      <c r="AB35433" s="38"/>
    </row>
    <row r="35434">
      <c r="P35434" s="42"/>
      <c r="AB35434" s="38"/>
    </row>
    <row r="35435">
      <c r="P35435" s="42"/>
      <c r="AB35435" s="38"/>
    </row>
    <row r="35436">
      <c r="P35436" s="42"/>
      <c r="AB35436" s="38"/>
    </row>
    <row r="35437">
      <c r="P35437" s="42"/>
      <c r="AB35437" s="38"/>
    </row>
    <row r="35438">
      <c r="P35438" s="42"/>
      <c r="AB35438" s="38"/>
    </row>
    <row r="35439">
      <c r="P35439" s="42"/>
      <c r="AB35439" s="38"/>
    </row>
    <row r="35440">
      <c r="P35440" s="42"/>
      <c r="AB35440" s="38"/>
    </row>
    <row r="35441">
      <c r="P35441" s="42"/>
      <c r="AB35441" s="38"/>
    </row>
    <row r="35442">
      <c r="P35442" s="42"/>
      <c r="AB35442" s="38"/>
    </row>
    <row r="35443">
      <c r="P35443" s="42"/>
      <c r="AB35443" s="38"/>
    </row>
    <row r="35444">
      <c r="P35444" s="42"/>
      <c r="AB35444" s="38"/>
    </row>
    <row r="35445">
      <c r="P35445" s="42"/>
      <c r="AB35445" s="38"/>
    </row>
    <row r="35446">
      <c r="P35446" s="42"/>
      <c r="AB35446" s="38"/>
    </row>
    <row r="35447">
      <c r="P35447" s="42"/>
      <c r="AB35447" s="38"/>
    </row>
    <row r="35448">
      <c r="P35448" s="42"/>
      <c r="AB35448" s="38"/>
    </row>
    <row r="35449">
      <c r="P35449" s="42"/>
      <c r="AB35449" s="38"/>
    </row>
    <row r="35450">
      <c r="P35450" s="42"/>
      <c r="AB35450" s="38"/>
    </row>
    <row r="35451">
      <c r="P35451" s="42"/>
      <c r="AB35451" s="38"/>
    </row>
    <row r="35452">
      <c r="P35452" s="42"/>
      <c r="AB35452" s="38"/>
    </row>
    <row r="35453">
      <c r="P35453" s="42"/>
      <c r="AB35453" s="38"/>
    </row>
    <row r="35454">
      <c r="P35454" s="42"/>
      <c r="AB35454" s="38"/>
    </row>
    <row r="35455">
      <c r="P35455" s="42"/>
      <c r="AB35455" s="38"/>
    </row>
    <row r="35456">
      <c r="P35456" s="42"/>
      <c r="AB35456" s="38"/>
    </row>
    <row r="35457">
      <c r="P35457" s="42"/>
      <c r="AB35457" s="38"/>
    </row>
    <row r="35458">
      <c r="P35458" s="42"/>
      <c r="AB35458" s="38"/>
    </row>
    <row r="35459">
      <c r="P35459" s="42"/>
      <c r="AB35459" s="38"/>
    </row>
    <row r="35460">
      <c r="P35460" s="42"/>
      <c r="AB35460" s="38"/>
    </row>
    <row r="35461">
      <c r="P35461" s="42"/>
      <c r="AB35461" s="38"/>
    </row>
    <row r="35462">
      <c r="P35462" s="42"/>
      <c r="AB35462" s="38"/>
    </row>
    <row r="35463">
      <c r="P35463" s="42"/>
      <c r="AB35463" s="38"/>
    </row>
    <row r="35464">
      <c r="P35464" s="42"/>
      <c r="AB35464" s="38"/>
    </row>
    <row r="35465">
      <c r="P35465" s="42"/>
      <c r="AB35465" s="38"/>
    </row>
    <row r="35466">
      <c r="P35466" s="42"/>
      <c r="AB35466" s="38"/>
    </row>
    <row r="35467">
      <c r="P35467" s="42"/>
      <c r="AB35467" s="38"/>
    </row>
    <row r="35468">
      <c r="P35468" s="42"/>
      <c r="AB35468" s="38"/>
    </row>
    <row r="35469">
      <c r="P35469" s="42"/>
      <c r="AB35469" s="38"/>
    </row>
    <row r="35470">
      <c r="P35470" s="42"/>
      <c r="AB35470" s="38"/>
    </row>
    <row r="35471">
      <c r="P35471" s="42"/>
      <c r="AB35471" s="38"/>
    </row>
    <row r="35472">
      <c r="P35472" s="42"/>
      <c r="AB35472" s="38"/>
    </row>
    <row r="35473">
      <c r="P35473" s="42"/>
      <c r="AB35473" s="38"/>
    </row>
    <row r="35474">
      <c r="P35474" s="42"/>
      <c r="AB35474" s="38"/>
    </row>
    <row r="35475">
      <c r="P35475" s="42"/>
      <c r="AB35475" s="38"/>
    </row>
    <row r="35476">
      <c r="P35476" s="42"/>
      <c r="AB35476" s="38"/>
    </row>
    <row r="35477">
      <c r="P35477" s="42"/>
      <c r="AB35477" s="38"/>
    </row>
    <row r="35478">
      <c r="P35478" s="42"/>
      <c r="AB35478" s="38"/>
    </row>
    <row r="35479">
      <c r="P35479" s="42"/>
      <c r="AB35479" s="38"/>
    </row>
    <row r="35480">
      <c r="P35480" s="42"/>
      <c r="AB35480" s="38"/>
    </row>
    <row r="35481">
      <c r="P35481" s="42"/>
      <c r="AB35481" s="38"/>
    </row>
    <row r="35482">
      <c r="P35482" s="42"/>
      <c r="AB35482" s="38"/>
    </row>
    <row r="35483">
      <c r="P35483" s="42"/>
      <c r="AB35483" s="38"/>
    </row>
    <row r="35484">
      <c r="P35484" s="42"/>
      <c r="AB35484" s="38"/>
    </row>
    <row r="35485">
      <c r="P35485" s="42"/>
      <c r="AB35485" s="38"/>
    </row>
    <row r="35486">
      <c r="P35486" s="42"/>
      <c r="AB35486" s="38"/>
    </row>
    <row r="35487">
      <c r="P35487" s="42"/>
      <c r="AB35487" s="38"/>
    </row>
    <row r="35488">
      <c r="P35488" s="42"/>
      <c r="AB35488" s="38"/>
    </row>
    <row r="35489">
      <c r="P35489" s="42"/>
      <c r="AB35489" s="38"/>
    </row>
    <row r="35490">
      <c r="P35490" s="42"/>
      <c r="AB35490" s="38"/>
    </row>
    <row r="35491">
      <c r="P35491" s="42"/>
      <c r="AB35491" s="38"/>
    </row>
    <row r="35492">
      <c r="P35492" s="42"/>
      <c r="AB35492" s="38"/>
    </row>
    <row r="35493">
      <c r="P35493" s="42"/>
      <c r="AB35493" s="38"/>
    </row>
    <row r="35494">
      <c r="P35494" s="42"/>
      <c r="AB35494" s="38"/>
    </row>
    <row r="35495">
      <c r="P35495" s="42"/>
      <c r="AB35495" s="38"/>
    </row>
    <row r="35496">
      <c r="P35496" s="42"/>
      <c r="AB35496" s="38"/>
    </row>
    <row r="35497">
      <c r="P35497" s="42"/>
      <c r="AB35497" s="38"/>
    </row>
    <row r="35498">
      <c r="P35498" s="42"/>
      <c r="AB35498" s="38"/>
    </row>
    <row r="35499">
      <c r="P35499" s="42"/>
      <c r="AB35499" s="38"/>
    </row>
    <row r="35500">
      <c r="P35500" s="42"/>
      <c r="AB35500" s="38"/>
    </row>
    <row r="35501">
      <c r="P35501" s="42"/>
      <c r="AB35501" s="38"/>
    </row>
    <row r="35502">
      <c r="P35502" s="42"/>
      <c r="AB35502" s="38"/>
    </row>
    <row r="35503">
      <c r="P35503" s="42"/>
      <c r="AB35503" s="38"/>
    </row>
    <row r="35504">
      <c r="P35504" s="42"/>
      <c r="AB35504" s="38"/>
    </row>
    <row r="35505">
      <c r="P35505" s="42"/>
      <c r="AB35505" s="38"/>
    </row>
    <row r="35506">
      <c r="P35506" s="42"/>
      <c r="AB35506" s="38"/>
    </row>
    <row r="35507">
      <c r="P35507" s="42"/>
      <c r="AB35507" s="38"/>
    </row>
    <row r="35508">
      <c r="P35508" s="42"/>
      <c r="AB35508" s="38"/>
    </row>
    <row r="35509">
      <c r="P35509" s="42"/>
      <c r="AB35509" s="38"/>
    </row>
    <row r="35510">
      <c r="P35510" s="42"/>
      <c r="AB35510" s="38"/>
    </row>
    <row r="35511">
      <c r="P35511" s="42"/>
      <c r="AB35511" s="38"/>
    </row>
    <row r="35512">
      <c r="P35512" s="42"/>
      <c r="AB35512" s="38"/>
    </row>
    <row r="35513">
      <c r="P35513" s="42"/>
      <c r="AB35513" s="38"/>
    </row>
    <row r="35514">
      <c r="P35514" s="42"/>
      <c r="AB35514" s="38"/>
    </row>
    <row r="35515">
      <c r="P35515" s="42"/>
      <c r="AB35515" s="38"/>
    </row>
    <row r="35516">
      <c r="P35516" s="42"/>
      <c r="AB35516" s="38"/>
    </row>
    <row r="35517">
      <c r="P35517" s="42"/>
      <c r="AB35517" s="38"/>
    </row>
    <row r="35518">
      <c r="P35518" s="42"/>
      <c r="AB35518" s="38"/>
    </row>
    <row r="35519">
      <c r="P35519" s="42"/>
      <c r="AB35519" s="38"/>
    </row>
    <row r="35520">
      <c r="P35520" s="42"/>
      <c r="AB35520" s="38"/>
    </row>
    <row r="35521">
      <c r="P35521" s="42"/>
      <c r="AB35521" s="38"/>
    </row>
    <row r="35522">
      <c r="P35522" s="42"/>
      <c r="AB35522" s="38"/>
    </row>
    <row r="35523">
      <c r="P35523" s="42"/>
      <c r="AB35523" s="38"/>
    </row>
    <row r="35524">
      <c r="P35524" s="42"/>
      <c r="AB35524" s="38"/>
    </row>
    <row r="35525">
      <c r="P35525" s="42"/>
      <c r="AB35525" s="38"/>
    </row>
    <row r="35526">
      <c r="P35526" s="42"/>
      <c r="AB35526" s="38"/>
    </row>
    <row r="35527">
      <c r="P35527" s="42"/>
      <c r="AB35527" s="38"/>
    </row>
    <row r="35528">
      <c r="P35528" s="42"/>
      <c r="AB35528" s="38"/>
    </row>
    <row r="35529">
      <c r="P35529" s="42"/>
      <c r="AB35529" s="38"/>
    </row>
    <row r="35530">
      <c r="P35530" s="42"/>
      <c r="AB35530" s="38"/>
    </row>
    <row r="35531">
      <c r="P35531" s="42"/>
      <c r="AB35531" s="38"/>
    </row>
    <row r="35532">
      <c r="P35532" s="42"/>
      <c r="AB35532" s="38"/>
    </row>
    <row r="35533">
      <c r="P35533" s="42"/>
      <c r="AB35533" s="38"/>
    </row>
    <row r="35534">
      <c r="P35534" s="42"/>
      <c r="AB35534" s="38"/>
    </row>
    <row r="35535">
      <c r="P35535" s="42"/>
      <c r="AB35535" s="38"/>
    </row>
    <row r="35536">
      <c r="P35536" s="42"/>
      <c r="AB35536" s="38"/>
    </row>
    <row r="35537">
      <c r="P35537" s="42"/>
      <c r="AB35537" s="38"/>
    </row>
    <row r="35538">
      <c r="P35538" s="42"/>
      <c r="AB35538" s="38"/>
    </row>
    <row r="35539">
      <c r="P35539" s="42"/>
      <c r="AB35539" s="38"/>
    </row>
    <row r="35540">
      <c r="P35540" s="42"/>
      <c r="AB35540" s="38"/>
    </row>
    <row r="35541">
      <c r="P35541" s="42"/>
      <c r="AB35541" s="38"/>
    </row>
    <row r="35542">
      <c r="P35542" s="42"/>
      <c r="AB35542" s="38"/>
    </row>
    <row r="35543">
      <c r="P35543" s="42"/>
      <c r="AB35543" s="38"/>
    </row>
    <row r="35544">
      <c r="P35544" s="42"/>
      <c r="AB35544" s="38"/>
    </row>
    <row r="35545">
      <c r="P35545" s="42"/>
      <c r="AB35545" s="38"/>
    </row>
    <row r="35546">
      <c r="P35546" s="42"/>
      <c r="AB35546" s="38"/>
    </row>
    <row r="35547">
      <c r="P35547" s="42"/>
      <c r="AB35547" s="38"/>
    </row>
    <row r="35548">
      <c r="P35548" s="42"/>
      <c r="AB35548" s="38"/>
    </row>
    <row r="35549">
      <c r="P35549" s="42"/>
      <c r="AB35549" s="38"/>
    </row>
    <row r="35550">
      <c r="P35550" s="42"/>
      <c r="AB35550" s="38"/>
    </row>
    <row r="35551">
      <c r="P35551" s="42"/>
      <c r="AB35551" s="38"/>
    </row>
    <row r="35552">
      <c r="P35552" s="42"/>
      <c r="AB35552" s="38"/>
    </row>
    <row r="35553">
      <c r="P35553" s="42"/>
      <c r="AB35553" s="38"/>
    </row>
    <row r="35554">
      <c r="P35554" s="42"/>
      <c r="AB35554" s="38"/>
    </row>
    <row r="35555">
      <c r="P35555" s="42"/>
      <c r="AB35555" s="38"/>
    </row>
    <row r="35556">
      <c r="P35556" s="42"/>
      <c r="AB35556" s="38"/>
    </row>
    <row r="35557">
      <c r="P35557" s="42"/>
      <c r="AB35557" s="38"/>
    </row>
    <row r="35558">
      <c r="P35558" s="42"/>
      <c r="AB35558" s="38"/>
    </row>
    <row r="35559">
      <c r="P35559" s="42"/>
      <c r="AB35559" s="38"/>
    </row>
    <row r="35560">
      <c r="P35560" s="42"/>
      <c r="AB35560" s="38"/>
    </row>
    <row r="35561">
      <c r="P35561" s="42"/>
      <c r="AB35561" s="38"/>
    </row>
    <row r="35562">
      <c r="P35562" s="42"/>
      <c r="AB35562" s="38"/>
    </row>
    <row r="35563">
      <c r="P35563" s="42"/>
      <c r="AB35563" s="38"/>
    </row>
    <row r="35564">
      <c r="P35564" s="42"/>
      <c r="AB35564" s="38"/>
    </row>
    <row r="35565">
      <c r="P35565" s="42"/>
      <c r="AB35565" s="38"/>
    </row>
    <row r="35566">
      <c r="P35566" s="42"/>
      <c r="AB35566" s="38"/>
    </row>
    <row r="35567">
      <c r="P35567" s="42"/>
      <c r="AB35567" s="38"/>
    </row>
    <row r="35568">
      <c r="P35568" s="42"/>
      <c r="AB35568" s="38"/>
    </row>
    <row r="35569">
      <c r="P35569" s="42"/>
      <c r="AB35569" s="38"/>
    </row>
    <row r="35570">
      <c r="P35570" s="42"/>
      <c r="AB35570" s="38"/>
    </row>
    <row r="35571">
      <c r="P35571" s="42"/>
      <c r="AB35571" s="38"/>
    </row>
    <row r="35572">
      <c r="P35572" s="42"/>
      <c r="AB35572" s="38"/>
    </row>
    <row r="35573">
      <c r="P35573" s="42"/>
      <c r="AB35573" s="38"/>
    </row>
    <row r="35574">
      <c r="P35574" s="42"/>
      <c r="AB35574" s="38"/>
    </row>
    <row r="35575">
      <c r="P35575" s="42"/>
      <c r="AB35575" s="38"/>
    </row>
    <row r="35576">
      <c r="P35576" s="42"/>
      <c r="AB35576" s="38"/>
    </row>
    <row r="35577">
      <c r="P35577" s="42"/>
      <c r="AB35577" s="38"/>
    </row>
    <row r="35578">
      <c r="P35578" s="42"/>
      <c r="AB35578" s="38"/>
    </row>
    <row r="35579">
      <c r="P35579" s="42"/>
      <c r="AB35579" s="38"/>
    </row>
    <row r="35580">
      <c r="P35580" s="42"/>
      <c r="AB35580" s="38"/>
    </row>
    <row r="35581">
      <c r="P35581" s="42"/>
      <c r="AB35581" s="38"/>
    </row>
    <row r="35582">
      <c r="P35582" s="42"/>
      <c r="AB35582" s="38"/>
    </row>
    <row r="35583">
      <c r="P35583" s="42"/>
      <c r="AB35583" s="38"/>
    </row>
    <row r="35584">
      <c r="P35584" s="42"/>
      <c r="AB35584" s="38"/>
    </row>
    <row r="35585">
      <c r="P35585" s="42"/>
      <c r="AB35585" s="38"/>
    </row>
    <row r="35586">
      <c r="P35586" s="42"/>
      <c r="AB35586" s="38"/>
    </row>
    <row r="35587">
      <c r="P35587" s="42"/>
      <c r="AB35587" s="38"/>
    </row>
    <row r="35588">
      <c r="P35588" s="42"/>
      <c r="AB35588" s="38"/>
    </row>
    <row r="35589">
      <c r="P35589" s="42"/>
      <c r="AB35589" s="38"/>
    </row>
    <row r="35590">
      <c r="P35590" s="42"/>
      <c r="AB35590" s="38"/>
    </row>
    <row r="35591">
      <c r="P35591" s="42"/>
      <c r="AB35591" s="38"/>
    </row>
    <row r="35592">
      <c r="P35592" s="42"/>
      <c r="AB35592" s="38"/>
    </row>
    <row r="35593">
      <c r="P35593" s="42"/>
      <c r="AB35593" s="38"/>
    </row>
    <row r="35594">
      <c r="P35594" s="42"/>
      <c r="AB35594" s="38"/>
    </row>
    <row r="35595">
      <c r="P35595" s="42"/>
      <c r="AB35595" s="38"/>
    </row>
    <row r="35596">
      <c r="P35596" s="42"/>
      <c r="AB35596" s="38"/>
    </row>
    <row r="35597">
      <c r="P35597" s="42"/>
      <c r="AB35597" s="38"/>
    </row>
    <row r="35598">
      <c r="P35598" s="42"/>
      <c r="AB35598" s="38"/>
    </row>
    <row r="35599">
      <c r="P35599" s="42"/>
      <c r="AB35599" s="38"/>
    </row>
    <row r="35600">
      <c r="P35600" s="42"/>
      <c r="AB35600" s="38"/>
    </row>
    <row r="35601">
      <c r="P35601" s="42"/>
      <c r="AB35601" s="38"/>
    </row>
    <row r="35602">
      <c r="P35602" s="42"/>
      <c r="AB35602" s="38"/>
    </row>
    <row r="35603">
      <c r="P35603" s="42"/>
      <c r="AB35603" s="38"/>
    </row>
    <row r="35604">
      <c r="P35604" s="42"/>
      <c r="AB35604" s="38"/>
    </row>
    <row r="35605">
      <c r="P35605" s="42"/>
      <c r="AB35605" s="38"/>
    </row>
    <row r="35606">
      <c r="P35606" s="42"/>
      <c r="AB35606" s="38"/>
    </row>
    <row r="35607">
      <c r="P35607" s="42"/>
      <c r="AB35607" s="38"/>
    </row>
    <row r="35608">
      <c r="P35608" s="42"/>
      <c r="AB35608" s="38"/>
    </row>
    <row r="35609">
      <c r="P35609" s="42"/>
      <c r="AB35609" s="38"/>
    </row>
    <row r="35610">
      <c r="P35610" s="42"/>
      <c r="AB35610" s="38"/>
    </row>
    <row r="35611">
      <c r="P35611" s="42"/>
      <c r="AB35611" s="38"/>
    </row>
    <row r="35612">
      <c r="P35612" s="42"/>
      <c r="AB35612" s="38"/>
    </row>
    <row r="35613">
      <c r="P35613" s="42"/>
      <c r="AB35613" s="38"/>
    </row>
    <row r="35614">
      <c r="P35614" s="42"/>
      <c r="AB35614" s="38"/>
    </row>
    <row r="35615">
      <c r="P35615" s="42"/>
      <c r="AB35615" s="38"/>
    </row>
    <row r="35616">
      <c r="P35616" s="42"/>
      <c r="AB35616" s="38"/>
    </row>
    <row r="35617">
      <c r="P35617" s="42"/>
      <c r="AB35617" s="38"/>
    </row>
    <row r="35618">
      <c r="P35618" s="42"/>
      <c r="AB35618" s="38"/>
    </row>
    <row r="35619">
      <c r="P35619" s="42"/>
      <c r="AB35619" s="38"/>
    </row>
    <row r="35620">
      <c r="P35620" s="42"/>
      <c r="AB35620" s="38"/>
    </row>
    <row r="35621">
      <c r="P35621" s="42"/>
      <c r="AB35621" s="38"/>
    </row>
    <row r="35622">
      <c r="P35622" s="42"/>
      <c r="AB35622" s="38"/>
    </row>
    <row r="35623">
      <c r="P35623" s="42"/>
      <c r="AB35623" s="38"/>
    </row>
    <row r="35624">
      <c r="P35624" s="42"/>
      <c r="AB35624" s="38"/>
    </row>
    <row r="35625">
      <c r="P35625" s="42"/>
      <c r="AB35625" s="38"/>
    </row>
    <row r="35626">
      <c r="P35626" s="42"/>
      <c r="AB35626" s="38"/>
    </row>
    <row r="35627">
      <c r="P35627" s="42"/>
      <c r="AB35627" s="38"/>
    </row>
    <row r="35628">
      <c r="P35628" s="42"/>
      <c r="AB35628" s="38"/>
    </row>
    <row r="35629">
      <c r="P35629" s="42"/>
      <c r="AB35629" s="38"/>
    </row>
    <row r="35630">
      <c r="P35630" s="42"/>
      <c r="AB35630" s="38"/>
    </row>
    <row r="35631">
      <c r="P35631" s="42"/>
      <c r="AB35631" s="38"/>
    </row>
    <row r="35632">
      <c r="P35632" s="42"/>
      <c r="AB35632" s="38"/>
    </row>
    <row r="35633">
      <c r="P35633" s="42"/>
      <c r="AB35633" s="38"/>
    </row>
    <row r="35634">
      <c r="P35634" s="42"/>
      <c r="AB35634" s="38"/>
    </row>
    <row r="35635">
      <c r="P35635" s="42"/>
      <c r="AB35635" s="38"/>
    </row>
    <row r="35636">
      <c r="P35636" s="42"/>
      <c r="AB35636" s="38"/>
    </row>
    <row r="35637">
      <c r="P35637" s="42"/>
      <c r="AB35637" s="38"/>
    </row>
    <row r="35638">
      <c r="P35638" s="42"/>
      <c r="AB35638" s="38"/>
    </row>
    <row r="35639">
      <c r="P35639" s="42"/>
      <c r="AB35639" s="38"/>
    </row>
    <row r="35640">
      <c r="P35640" s="42"/>
      <c r="AB35640" s="38"/>
    </row>
    <row r="35641">
      <c r="P35641" s="42"/>
      <c r="AB35641" s="38"/>
    </row>
    <row r="35642">
      <c r="P35642" s="42"/>
      <c r="AB35642" s="38"/>
    </row>
    <row r="35643">
      <c r="P35643" s="42"/>
      <c r="AB35643" s="38"/>
    </row>
    <row r="35644">
      <c r="P35644" s="42"/>
      <c r="AB35644" s="38"/>
    </row>
    <row r="35645">
      <c r="P35645" s="42"/>
      <c r="AB35645" s="38"/>
    </row>
    <row r="35646">
      <c r="P35646" s="42"/>
      <c r="AB35646" s="38"/>
    </row>
    <row r="35647">
      <c r="P35647" s="42"/>
      <c r="AB35647" s="38"/>
    </row>
    <row r="35648">
      <c r="P35648" s="42"/>
      <c r="AB35648" s="38"/>
    </row>
    <row r="35649">
      <c r="P35649" s="42"/>
      <c r="AB35649" s="38"/>
    </row>
    <row r="35650">
      <c r="P35650" s="42"/>
      <c r="AB35650" s="38"/>
    </row>
    <row r="35651">
      <c r="P35651" s="42"/>
      <c r="AB35651" s="38"/>
    </row>
    <row r="35652">
      <c r="P35652" s="42"/>
      <c r="AB35652" s="38"/>
    </row>
    <row r="35653">
      <c r="P35653" s="42"/>
      <c r="AB35653" s="38"/>
    </row>
    <row r="35654">
      <c r="P35654" s="42"/>
      <c r="AB35654" s="38"/>
    </row>
    <row r="35655">
      <c r="P35655" s="42"/>
      <c r="AB35655" s="38"/>
    </row>
    <row r="35656">
      <c r="P35656" s="42"/>
      <c r="AB35656" s="38"/>
    </row>
    <row r="35657">
      <c r="P35657" s="42"/>
      <c r="AB35657" s="38"/>
    </row>
    <row r="35658">
      <c r="P35658" s="42"/>
      <c r="AB35658" s="38"/>
    </row>
    <row r="35659">
      <c r="P35659" s="42"/>
      <c r="AB35659" s="38"/>
    </row>
    <row r="35660">
      <c r="P35660" s="42"/>
      <c r="AB35660" s="38"/>
    </row>
    <row r="35661">
      <c r="P35661" s="42"/>
      <c r="AB35661" s="38"/>
    </row>
    <row r="35662">
      <c r="P35662" s="42"/>
      <c r="AB35662" s="38"/>
    </row>
    <row r="35663">
      <c r="P35663" s="42"/>
      <c r="AB35663" s="38"/>
    </row>
    <row r="35664">
      <c r="P35664" s="42"/>
      <c r="AB35664" s="38"/>
    </row>
    <row r="35665">
      <c r="P35665" s="42"/>
      <c r="AB35665" s="38"/>
    </row>
    <row r="35666">
      <c r="P35666" s="42"/>
      <c r="AB35666" s="38"/>
    </row>
    <row r="35667">
      <c r="P35667" s="42"/>
      <c r="AB35667" s="38"/>
    </row>
    <row r="35668">
      <c r="P35668" s="42"/>
      <c r="AB35668" s="38"/>
    </row>
    <row r="35669">
      <c r="P35669" s="42"/>
      <c r="AB35669" s="38"/>
    </row>
    <row r="35670">
      <c r="P35670" s="42"/>
      <c r="AB35670" s="38"/>
    </row>
    <row r="35671">
      <c r="P35671" s="42"/>
      <c r="AB35671" s="38"/>
    </row>
    <row r="35672">
      <c r="P35672" s="42"/>
      <c r="AB35672" s="38"/>
    </row>
    <row r="35673">
      <c r="P35673" s="42"/>
      <c r="AB35673" s="38"/>
    </row>
    <row r="35674">
      <c r="P35674" s="42"/>
      <c r="AB35674" s="38"/>
    </row>
    <row r="35675">
      <c r="P35675" s="42"/>
      <c r="AB35675" s="38"/>
    </row>
    <row r="35676">
      <c r="P35676" s="42"/>
      <c r="AB35676" s="38"/>
    </row>
    <row r="35677">
      <c r="P35677" s="42"/>
      <c r="AB35677" s="38"/>
    </row>
    <row r="35678">
      <c r="P35678" s="42"/>
      <c r="AB35678" s="38"/>
    </row>
    <row r="35679">
      <c r="P35679" s="42"/>
      <c r="AB35679" s="38"/>
    </row>
    <row r="35680">
      <c r="P35680" s="42"/>
      <c r="AB35680" s="38"/>
    </row>
    <row r="35681">
      <c r="P35681" s="42"/>
      <c r="AB35681" s="38"/>
    </row>
    <row r="35682">
      <c r="P35682" s="42"/>
      <c r="AB35682" s="38"/>
    </row>
    <row r="35683">
      <c r="P35683" s="42"/>
      <c r="AB35683" s="38"/>
    </row>
    <row r="35684">
      <c r="P35684" s="42"/>
      <c r="AB35684" s="38"/>
    </row>
    <row r="35685">
      <c r="P35685" s="42"/>
      <c r="AB35685" s="38"/>
    </row>
    <row r="35686">
      <c r="P35686" s="42"/>
      <c r="AB35686" s="38"/>
    </row>
    <row r="35687">
      <c r="P35687" s="42"/>
      <c r="AB35687" s="38"/>
    </row>
    <row r="35688">
      <c r="P35688" s="42"/>
      <c r="AB35688" s="38"/>
    </row>
    <row r="35689">
      <c r="P35689" s="42"/>
      <c r="AB35689" s="38"/>
    </row>
    <row r="35690">
      <c r="P35690" s="42"/>
      <c r="AB35690" s="38"/>
    </row>
    <row r="35691">
      <c r="P35691" s="42"/>
      <c r="AB35691" s="38"/>
    </row>
    <row r="35692">
      <c r="P35692" s="42"/>
      <c r="AB35692" s="38"/>
    </row>
    <row r="35693">
      <c r="P35693" s="42"/>
      <c r="AB35693" s="38"/>
    </row>
    <row r="35694">
      <c r="P35694" s="42"/>
      <c r="AB35694" s="38"/>
    </row>
    <row r="35695">
      <c r="P35695" s="42"/>
      <c r="AB35695" s="38"/>
    </row>
    <row r="35696">
      <c r="P35696" s="42"/>
      <c r="AB35696" s="38"/>
    </row>
    <row r="35697">
      <c r="P35697" s="42"/>
      <c r="AB35697" s="38"/>
    </row>
    <row r="35698">
      <c r="P35698" s="42"/>
      <c r="AB35698" s="38"/>
    </row>
    <row r="35699">
      <c r="P35699" s="42"/>
      <c r="AB35699" s="38"/>
    </row>
    <row r="35700">
      <c r="P35700" s="42"/>
      <c r="AB35700" s="38"/>
    </row>
    <row r="35701">
      <c r="P35701" s="42"/>
      <c r="AB35701" s="38"/>
    </row>
    <row r="35702">
      <c r="P35702" s="42"/>
      <c r="AB35702" s="38"/>
    </row>
    <row r="35703">
      <c r="P35703" s="42"/>
      <c r="AB35703" s="38"/>
    </row>
    <row r="35704">
      <c r="P35704" s="42"/>
      <c r="AB35704" s="38"/>
    </row>
    <row r="35705">
      <c r="P35705" s="42"/>
      <c r="AB35705" s="38"/>
    </row>
    <row r="35706">
      <c r="P35706" s="42"/>
      <c r="AB35706" s="38"/>
    </row>
    <row r="35707">
      <c r="P35707" s="42"/>
      <c r="AB35707" s="38"/>
    </row>
    <row r="35708">
      <c r="P35708" s="42"/>
      <c r="AB35708" s="38"/>
    </row>
    <row r="35709">
      <c r="P35709" s="42"/>
      <c r="AB35709" s="38"/>
    </row>
    <row r="35710">
      <c r="P35710" s="42"/>
      <c r="AB35710" s="38"/>
    </row>
    <row r="35711">
      <c r="P35711" s="42"/>
      <c r="AB35711" s="38"/>
    </row>
    <row r="35712">
      <c r="P35712" s="42"/>
      <c r="AB35712" s="38"/>
    </row>
    <row r="35713">
      <c r="P35713" s="42"/>
      <c r="AB35713" s="38"/>
    </row>
    <row r="35714">
      <c r="P35714" s="42"/>
      <c r="AB35714" s="38"/>
    </row>
    <row r="35715">
      <c r="P35715" s="42"/>
      <c r="AB35715" s="38"/>
    </row>
    <row r="35716">
      <c r="P35716" s="42"/>
      <c r="AB35716" s="38"/>
    </row>
    <row r="35717">
      <c r="P35717" s="42"/>
      <c r="AB35717" s="38"/>
    </row>
    <row r="35718">
      <c r="P35718" s="42"/>
      <c r="AB35718" s="38"/>
    </row>
    <row r="35719">
      <c r="P35719" s="42"/>
      <c r="AB35719" s="38"/>
    </row>
    <row r="35720">
      <c r="P35720" s="42"/>
      <c r="AB35720" s="38"/>
    </row>
    <row r="35721">
      <c r="P35721" s="42"/>
      <c r="AB35721" s="38"/>
    </row>
    <row r="35722">
      <c r="P35722" s="42"/>
      <c r="AB35722" s="38"/>
    </row>
    <row r="35723">
      <c r="P35723" s="42"/>
      <c r="AB35723" s="38"/>
    </row>
    <row r="35724">
      <c r="P35724" s="42"/>
      <c r="AB35724" s="38"/>
    </row>
    <row r="35725">
      <c r="P35725" s="42"/>
      <c r="AB35725" s="38"/>
    </row>
    <row r="35726">
      <c r="P35726" s="42"/>
      <c r="AB35726" s="38"/>
    </row>
    <row r="35727">
      <c r="P35727" s="42"/>
      <c r="AB35727" s="38"/>
    </row>
    <row r="35728">
      <c r="P35728" s="42"/>
      <c r="AB35728" s="38"/>
    </row>
    <row r="35729">
      <c r="P35729" s="42"/>
      <c r="AB35729" s="38"/>
    </row>
    <row r="35730">
      <c r="P35730" s="42"/>
      <c r="AB35730" s="38"/>
    </row>
    <row r="35731">
      <c r="P35731" s="42"/>
      <c r="AB35731" s="38"/>
    </row>
    <row r="35732">
      <c r="P35732" s="42"/>
      <c r="AB35732" s="38"/>
    </row>
    <row r="35733">
      <c r="P35733" s="42"/>
      <c r="AB35733" s="38"/>
    </row>
    <row r="35734">
      <c r="P35734" s="42"/>
      <c r="AB35734" s="38"/>
    </row>
    <row r="35735">
      <c r="P35735" s="42"/>
      <c r="AB35735" s="38"/>
    </row>
    <row r="35736">
      <c r="P35736" s="42"/>
      <c r="AB35736" s="38"/>
    </row>
    <row r="35737">
      <c r="P35737" s="42"/>
      <c r="AB35737" s="38"/>
    </row>
    <row r="35738">
      <c r="P35738" s="42"/>
      <c r="AB35738" s="38"/>
    </row>
    <row r="35739">
      <c r="P35739" s="42"/>
      <c r="AB35739" s="38"/>
    </row>
    <row r="35740">
      <c r="P35740" s="42"/>
      <c r="AB35740" s="38"/>
    </row>
    <row r="35741">
      <c r="P35741" s="42"/>
      <c r="AB35741" s="38"/>
    </row>
    <row r="35742">
      <c r="P35742" s="42"/>
      <c r="AB35742" s="38"/>
    </row>
    <row r="35743">
      <c r="P35743" s="42"/>
      <c r="AB35743" s="38"/>
    </row>
    <row r="35744">
      <c r="P35744" s="42"/>
      <c r="AB35744" s="38"/>
    </row>
    <row r="35745">
      <c r="P35745" s="42"/>
      <c r="AB35745" s="38"/>
    </row>
    <row r="35746">
      <c r="P35746" s="42"/>
      <c r="AB35746" s="38"/>
    </row>
    <row r="35747">
      <c r="P35747" s="42"/>
      <c r="AB35747" s="38"/>
    </row>
    <row r="35748">
      <c r="P35748" s="42"/>
      <c r="AB35748" s="38"/>
    </row>
    <row r="35749">
      <c r="P35749" s="42"/>
      <c r="AB35749" s="38"/>
    </row>
    <row r="35750">
      <c r="P35750" s="42"/>
      <c r="AB35750" s="38"/>
    </row>
    <row r="35751">
      <c r="P35751" s="42"/>
      <c r="AB35751" s="38"/>
    </row>
    <row r="35752">
      <c r="P35752" s="42"/>
      <c r="AB35752" s="38"/>
    </row>
    <row r="35753">
      <c r="P35753" s="42"/>
      <c r="AB35753" s="38"/>
    </row>
    <row r="35754">
      <c r="P35754" s="42"/>
      <c r="AB35754" s="38"/>
    </row>
    <row r="35755">
      <c r="P35755" s="42"/>
      <c r="AB35755" s="38"/>
    </row>
    <row r="35756">
      <c r="P35756" s="42"/>
      <c r="AB35756" s="38"/>
    </row>
    <row r="35757">
      <c r="P35757" s="42"/>
      <c r="AB35757" s="38"/>
    </row>
    <row r="35758">
      <c r="P35758" s="42"/>
      <c r="AB35758" s="38"/>
    </row>
    <row r="35759">
      <c r="P35759" s="42"/>
      <c r="AB35759" s="38"/>
    </row>
    <row r="35760">
      <c r="P35760" s="42"/>
      <c r="AB35760" s="38"/>
    </row>
    <row r="35761">
      <c r="P35761" s="42"/>
      <c r="AB35761" s="38"/>
    </row>
    <row r="35762">
      <c r="P35762" s="42"/>
      <c r="AB35762" s="38"/>
    </row>
    <row r="35763">
      <c r="P35763" s="42"/>
      <c r="AB35763" s="38"/>
    </row>
    <row r="35764">
      <c r="P35764" s="42"/>
      <c r="AB35764" s="38"/>
    </row>
    <row r="35765">
      <c r="P35765" s="42"/>
      <c r="AB35765" s="38"/>
    </row>
    <row r="35766">
      <c r="P35766" s="42"/>
      <c r="AB35766" s="38"/>
    </row>
    <row r="35767">
      <c r="P35767" s="42"/>
      <c r="AB35767" s="38"/>
    </row>
    <row r="35768">
      <c r="P35768" s="42"/>
      <c r="AB35768" s="38"/>
    </row>
    <row r="35769">
      <c r="P35769" s="42"/>
      <c r="AB35769" s="38"/>
    </row>
    <row r="35770">
      <c r="P35770" s="42"/>
      <c r="AB35770" s="38"/>
    </row>
    <row r="35771">
      <c r="P35771" s="42"/>
      <c r="AB35771" s="38"/>
    </row>
    <row r="35772">
      <c r="P35772" s="42"/>
      <c r="AB35772" s="38"/>
    </row>
    <row r="35773">
      <c r="P35773" s="42"/>
      <c r="AB35773" s="38"/>
    </row>
    <row r="35774">
      <c r="P35774" s="42"/>
      <c r="AB35774" s="38"/>
    </row>
    <row r="35775">
      <c r="P35775" s="42"/>
      <c r="AB35775" s="38"/>
    </row>
    <row r="35776">
      <c r="P35776" s="42"/>
      <c r="AB35776" s="38"/>
    </row>
    <row r="35777">
      <c r="P35777" s="42"/>
      <c r="AB35777" s="38"/>
    </row>
    <row r="35778">
      <c r="P35778" s="42"/>
      <c r="AB35778" s="38"/>
    </row>
    <row r="35779">
      <c r="P35779" s="42"/>
      <c r="AB35779" s="38"/>
    </row>
    <row r="35780">
      <c r="P35780" s="42"/>
      <c r="AB35780" s="38"/>
    </row>
    <row r="35781">
      <c r="P35781" s="42"/>
      <c r="AB35781" s="38"/>
    </row>
    <row r="35782">
      <c r="P35782" s="42"/>
      <c r="AB35782" s="38"/>
    </row>
    <row r="35783">
      <c r="P35783" s="42"/>
      <c r="AB35783" s="38"/>
    </row>
    <row r="35784">
      <c r="P35784" s="42"/>
      <c r="AB35784" s="38"/>
    </row>
    <row r="35785">
      <c r="P35785" s="42"/>
      <c r="AB35785" s="38"/>
    </row>
    <row r="35786">
      <c r="P35786" s="42"/>
      <c r="AB35786" s="38"/>
    </row>
    <row r="35787">
      <c r="P35787" s="42"/>
      <c r="AB35787" s="38"/>
    </row>
    <row r="35788">
      <c r="P35788" s="42"/>
      <c r="AB35788" s="38"/>
    </row>
    <row r="35789">
      <c r="P35789" s="42"/>
      <c r="AB35789" s="38"/>
    </row>
    <row r="35790">
      <c r="P35790" s="42"/>
      <c r="AB35790" s="38"/>
    </row>
    <row r="35791">
      <c r="P35791" s="42"/>
      <c r="AB35791" s="38"/>
    </row>
    <row r="35792">
      <c r="P35792" s="42"/>
      <c r="AB35792" s="38"/>
    </row>
    <row r="35793">
      <c r="P35793" s="42"/>
      <c r="AB35793" s="38"/>
    </row>
    <row r="35794">
      <c r="P35794" s="42"/>
      <c r="AB35794" s="38"/>
    </row>
    <row r="35795">
      <c r="P35795" s="42"/>
      <c r="AB35795" s="38"/>
    </row>
    <row r="35796">
      <c r="P35796" s="42"/>
      <c r="AB35796" s="38"/>
    </row>
    <row r="35797">
      <c r="P35797" s="42"/>
      <c r="AB35797" s="38"/>
    </row>
    <row r="35798">
      <c r="P35798" s="42"/>
      <c r="AB35798" s="38"/>
    </row>
    <row r="35799">
      <c r="P35799" s="42"/>
      <c r="AB35799" s="38"/>
    </row>
    <row r="35800">
      <c r="P35800" s="42"/>
      <c r="AB35800" s="38"/>
    </row>
    <row r="35801">
      <c r="P35801" s="42"/>
      <c r="AB35801" s="38"/>
    </row>
    <row r="35802">
      <c r="P35802" s="42"/>
      <c r="AB35802" s="38"/>
    </row>
    <row r="35803">
      <c r="P35803" s="42"/>
      <c r="AB35803" s="38"/>
    </row>
    <row r="35804">
      <c r="P35804" s="42"/>
      <c r="AB35804" s="38"/>
    </row>
    <row r="35805">
      <c r="P35805" s="42"/>
      <c r="AB35805" s="38"/>
    </row>
    <row r="35806">
      <c r="P35806" s="42"/>
      <c r="AB35806" s="38"/>
    </row>
    <row r="35807">
      <c r="P35807" s="42"/>
      <c r="AB35807" s="38"/>
    </row>
    <row r="35808">
      <c r="P35808" s="42"/>
      <c r="AB35808" s="38"/>
    </row>
    <row r="35809">
      <c r="P35809" s="42"/>
      <c r="AB35809" s="38"/>
    </row>
    <row r="35810">
      <c r="P35810" s="42"/>
      <c r="AB35810" s="38"/>
    </row>
    <row r="35811">
      <c r="P35811" s="42"/>
      <c r="AB35811" s="38"/>
    </row>
    <row r="35812">
      <c r="P35812" s="42"/>
      <c r="AB35812" s="38"/>
    </row>
    <row r="35813">
      <c r="P35813" s="42"/>
      <c r="AB35813" s="38"/>
    </row>
    <row r="35814">
      <c r="P35814" s="42"/>
      <c r="AB35814" s="38"/>
    </row>
    <row r="35815">
      <c r="P35815" s="42"/>
      <c r="AB35815" s="38"/>
    </row>
    <row r="35816">
      <c r="P35816" s="42"/>
      <c r="AB35816" s="38"/>
    </row>
    <row r="35817">
      <c r="P35817" s="42"/>
      <c r="AB35817" s="38"/>
    </row>
    <row r="35818">
      <c r="P35818" s="42"/>
      <c r="AB35818" s="38"/>
    </row>
    <row r="35819">
      <c r="P35819" s="42"/>
      <c r="AB35819" s="38"/>
    </row>
    <row r="35820">
      <c r="P35820" s="42"/>
      <c r="AB35820" s="38"/>
    </row>
    <row r="35821">
      <c r="P35821" s="42"/>
      <c r="AB35821" s="38"/>
    </row>
    <row r="35822">
      <c r="P35822" s="42"/>
      <c r="AB35822" s="38"/>
    </row>
    <row r="35823">
      <c r="P35823" s="42"/>
      <c r="AB35823" s="38"/>
    </row>
    <row r="35824">
      <c r="P35824" s="42"/>
      <c r="AB35824" s="38"/>
    </row>
    <row r="35825">
      <c r="P35825" s="42"/>
      <c r="AB35825" s="38"/>
    </row>
    <row r="35826">
      <c r="P35826" s="42"/>
      <c r="AB35826" s="38"/>
    </row>
    <row r="35827">
      <c r="P35827" s="42"/>
      <c r="AB35827" s="38"/>
    </row>
    <row r="35828">
      <c r="P35828" s="42"/>
      <c r="AB35828" s="38"/>
    </row>
    <row r="35829">
      <c r="P35829" s="42"/>
      <c r="AB35829" s="38"/>
    </row>
    <row r="35830">
      <c r="P35830" s="42"/>
      <c r="AB35830" s="38"/>
    </row>
    <row r="35831">
      <c r="P35831" s="42"/>
      <c r="AB35831" s="38"/>
    </row>
    <row r="35832">
      <c r="P35832" s="42"/>
      <c r="AB35832" s="38"/>
    </row>
    <row r="35833">
      <c r="P35833" s="42"/>
      <c r="AB35833" s="38"/>
    </row>
    <row r="35834">
      <c r="P35834" s="42"/>
      <c r="AB35834" s="38"/>
    </row>
    <row r="35835">
      <c r="P35835" s="42"/>
      <c r="AB35835" s="38"/>
    </row>
    <row r="35836">
      <c r="P35836" s="42"/>
      <c r="AB35836" s="38"/>
    </row>
    <row r="35837">
      <c r="P35837" s="42"/>
      <c r="AB35837" s="38"/>
    </row>
    <row r="35838">
      <c r="P35838" s="42"/>
      <c r="AB35838" s="38"/>
    </row>
    <row r="35839">
      <c r="P35839" s="42"/>
      <c r="AB35839" s="38"/>
    </row>
    <row r="35840">
      <c r="P35840" s="42"/>
      <c r="AB35840" s="38"/>
    </row>
    <row r="35841">
      <c r="P35841" s="42"/>
      <c r="AB35841" s="38"/>
    </row>
    <row r="35842">
      <c r="P35842" s="42"/>
      <c r="AB35842" s="38"/>
    </row>
    <row r="35843">
      <c r="P35843" s="42"/>
      <c r="AB35843" s="38"/>
    </row>
    <row r="35844">
      <c r="P35844" s="42"/>
      <c r="AB35844" s="38"/>
    </row>
    <row r="35845">
      <c r="P35845" s="42"/>
      <c r="AB35845" s="38"/>
    </row>
    <row r="35846">
      <c r="P35846" s="42"/>
      <c r="AB35846" s="38"/>
    </row>
    <row r="35847">
      <c r="P35847" s="42"/>
      <c r="AB35847" s="38"/>
    </row>
    <row r="35848">
      <c r="P35848" s="42"/>
      <c r="AB35848" s="38"/>
    </row>
    <row r="35849">
      <c r="P35849" s="42"/>
      <c r="AB35849" s="38"/>
    </row>
    <row r="35850">
      <c r="P35850" s="42"/>
      <c r="AB35850" s="38"/>
    </row>
    <row r="35851">
      <c r="P35851" s="42"/>
      <c r="AB35851" s="38"/>
    </row>
    <row r="35852">
      <c r="P35852" s="42"/>
      <c r="AB35852" s="38"/>
    </row>
    <row r="35853">
      <c r="P35853" s="42"/>
      <c r="AB35853" s="38"/>
    </row>
    <row r="35854">
      <c r="P35854" s="42"/>
      <c r="AB35854" s="38"/>
    </row>
    <row r="35855">
      <c r="P35855" s="42"/>
      <c r="AB35855" s="38"/>
    </row>
    <row r="35856">
      <c r="P35856" s="42"/>
      <c r="AB35856" s="38"/>
    </row>
    <row r="35857">
      <c r="P35857" s="42"/>
      <c r="AB35857" s="38"/>
    </row>
    <row r="35858">
      <c r="P35858" s="42"/>
      <c r="AB35858" s="38"/>
    </row>
    <row r="35859">
      <c r="P35859" s="42"/>
      <c r="AB35859" s="38"/>
    </row>
    <row r="35860">
      <c r="P35860" s="42"/>
      <c r="AB35860" s="38"/>
    </row>
    <row r="35861">
      <c r="P35861" s="42"/>
      <c r="AB35861" s="38"/>
    </row>
    <row r="35862">
      <c r="P35862" s="42"/>
      <c r="AB35862" s="38"/>
    </row>
    <row r="35863">
      <c r="P35863" s="42"/>
      <c r="AB35863" s="38"/>
    </row>
    <row r="35864">
      <c r="P35864" s="42"/>
      <c r="AB35864" s="38"/>
    </row>
    <row r="35865">
      <c r="P35865" s="42"/>
      <c r="AB35865" s="38"/>
    </row>
    <row r="35866">
      <c r="P35866" s="42"/>
      <c r="AB35866" s="38"/>
    </row>
    <row r="35867">
      <c r="P35867" s="42"/>
      <c r="AB35867" s="38"/>
    </row>
    <row r="35868">
      <c r="P35868" s="42"/>
      <c r="AB35868" s="38"/>
    </row>
    <row r="35869">
      <c r="P35869" s="42"/>
      <c r="AB35869" s="38"/>
    </row>
    <row r="35870">
      <c r="P35870" s="42"/>
      <c r="AB35870" s="38"/>
    </row>
    <row r="35871">
      <c r="P35871" s="42"/>
      <c r="AB35871" s="38"/>
    </row>
    <row r="35872">
      <c r="P35872" s="42"/>
      <c r="AB35872" s="38"/>
    </row>
    <row r="35873">
      <c r="P35873" s="42"/>
      <c r="AB35873" s="38"/>
    </row>
    <row r="35874">
      <c r="P35874" s="42"/>
      <c r="AB35874" s="38"/>
    </row>
    <row r="35875">
      <c r="P35875" s="42"/>
      <c r="AB35875" s="38"/>
    </row>
    <row r="35876">
      <c r="P35876" s="42"/>
      <c r="AB35876" s="38"/>
    </row>
    <row r="35877">
      <c r="P35877" s="42"/>
      <c r="AB35877" s="38"/>
    </row>
    <row r="35878">
      <c r="P35878" s="42"/>
      <c r="AB35878" s="38"/>
    </row>
    <row r="35879">
      <c r="P35879" s="42"/>
      <c r="AB35879" s="38"/>
    </row>
    <row r="35880">
      <c r="P35880" s="42"/>
      <c r="AB35880" s="38"/>
    </row>
    <row r="35881">
      <c r="P35881" s="42"/>
      <c r="AB35881" s="38"/>
    </row>
    <row r="35882">
      <c r="P35882" s="42"/>
      <c r="AB35882" s="38"/>
    </row>
    <row r="35883">
      <c r="P35883" s="42"/>
      <c r="AB35883" s="38"/>
    </row>
    <row r="35884">
      <c r="P35884" s="42"/>
      <c r="AB35884" s="38"/>
    </row>
    <row r="35885">
      <c r="P35885" s="42"/>
      <c r="AB35885" s="38"/>
    </row>
    <row r="35886">
      <c r="P35886" s="42"/>
      <c r="AB35886" s="38"/>
    </row>
    <row r="35887">
      <c r="P35887" s="42"/>
      <c r="AB35887" s="38"/>
    </row>
    <row r="35888">
      <c r="P35888" s="42"/>
      <c r="AB35888" s="38"/>
    </row>
    <row r="35889">
      <c r="P35889" s="42"/>
      <c r="AB35889" s="38"/>
    </row>
    <row r="35890">
      <c r="P35890" s="42"/>
      <c r="AB35890" s="38"/>
    </row>
    <row r="35891">
      <c r="P35891" s="42"/>
      <c r="AB35891" s="38"/>
    </row>
    <row r="35892">
      <c r="P35892" s="42"/>
      <c r="AB35892" s="38"/>
    </row>
    <row r="35893">
      <c r="P35893" s="42"/>
      <c r="AB35893" s="38"/>
    </row>
    <row r="35894">
      <c r="P35894" s="42"/>
      <c r="AB35894" s="38"/>
    </row>
    <row r="35895">
      <c r="P35895" s="42"/>
      <c r="AB35895" s="38"/>
    </row>
    <row r="35896">
      <c r="P35896" s="42"/>
      <c r="AB35896" s="38"/>
    </row>
    <row r="35897">
      <c r="P35897" s="42"/>
      <c r="AB35897" s="38"/>
    </row>
    <row r="35898">
      <c r="P35898" s="42"/>
      <c r="AB35898" s="38"/>
    </row>
    <row r="35899">
      <c r="P35899" s="42"/>
      <c r="AB35899" s="38"/>
    </row>
    <row r="35900">
      <c r="P35900" s="42"/>
      <c r="AB35900" s="38"/>
    </row>
    <row r="35901">
      <c r="P35901" s="42"/>
      <c r="AB35901" s="38"/>
    </row>
    <row r="35902">
      <c r="P35902" s="42"/>
      <c r="AB35902" s="38"/>
    </row>
    <row r="35903">
      <c r="P35903" s="42"/>
      <c r="AB35903" s="38"/>
    </row>
    <row r="35904">
      <c r="P35904" s="42"/>
      <c r="AB35904" s="38"/>
    </row>
    <row r="35905">
      <c r="P35905" s="42"/>
      <c r="AB35905" s="38"/>
    </row>
    <row r="35906">
      <c r="P35906" s="42"/>
      <c r="AB35906" s="38"/>
    </row>
    <row r="35907">
      <c r="P35907" s="42"/>
      <c r="AB35907" s="38"/>
    </row>
    <row r="35908">
      <c r="P35908" s="42"/>
      <c r="AB35908" s="38"/>
    </row>
    <row r="35909">
      <c r="P35909" s="42"/>
      <c r="AB35909" s="38"/>
    </row>
    <row r="35910">
      <c r="P35910" s="42"/>
      <c r="AB35910" s="38"/>
    </row>
    <row r="35911">
      <c r="P35911" s="42"/>
      <c r="AB35911" s="38"/>
    </row>
    <row r="35912">
      <c r="P35912" s="42"/>
      <c r="AB35912" s="38"/>
    </row>
    <row r="35913">
      <c r="P35913" s="42"/>
      <c r="AB35913" s="38"/>
    </row>
    <row r="35914">
      <c r="P35914" s="42"/>
      <c r="AB35914" s="38"/>
    </row>
    <row r="35915">
      <c r="P35915" s="42"/>
      <c r="AB35915" s="38"/>
    </row>
    <row r="35916">
      <c r="P35916" s="42"/>
      <c r="AB35916" s="38"/>
    </row>
    <row r="35917">
      <c r="P35917" s="42"/>
      <c r="AB35917" s="38"/>
    </row>
    <row r="35918">
      <c r="P35918" s="42"/>
      <c r="AB35918" s="38"/>
    </row>
    <row r="35919">
      <c r="P35919" s="42"/>
      <c r="AB35919" s="38"/>
    </row>
    <row r="35920">
      <c r="P35920" s="42"/>
      <c r="AB35920" s="38"/>
    </row>
    <row r="35921">
      <c r="P35921" s="42"/>
      <c r="AB35921" s="38"/>
    </row>
    <row r="35922">
      <c r="P35922" s="42"/>
      <c r="AB35922" s="38"/>
    </row>
    <row r="35923">
      <c r="P35923" s="42"/>
      <c r="AB35923" s="38"/>
    </row>
    <row r="35924">
      <c r="P35924" s="42"/>
      <c r="AB35924" s="38"/>
    </row>
    <row r="35925">
      <c r="P35925" s="42"/>
      <c r="AB35925" s="38"/>
    </row>
    <row r="35926">
      <c r="P35926" s="42"/>
      <c r="AB35926" s="38"/>
    </row>
    <row r="35927">
      <c r="P35927" s="42"/>
      <c r="AB35927" s="38"/>
    </row>
    <row r="35928">
      <c r="P35928" s="42"/>
      <c r="AB35928" s="38"/>
    </row>
    <row r="35929">
      <c r="P35929" s="42"/>
      <c r="AB35929" s="38"/>
    </row>
    <row r="35930">
      <c r="P35930" s="42"/>
      <c r="AB35930" s="38"/>
    </row>
    <row r="35931">
      <c r="P35931" s="42"/>
      <c r="AB35931" s="38"/>
    </row>
    <row r="35932">
      <c r="P35932" s="42"/>
      <c r="AB35932" s="38"/>
    </row>
    <row r="35933">
      <c r="P35933" s="42"/>
      <c r="AB35933" s="38"/>
    </row>
    <row r="35934">
      <c r="P35934" s="42"/>
      <c r="AB35934" s="38"/>
    </row>
    <row r="35935">
      <c r="P35935" s="42"/>
      <c r="AB35935" s="38"/>
    </row>
    <row r="35936">
      <c r="P35936" s="42"/>
      <c r="AB35936" s="38"/>
    </row>
    <row r="35937">
      <c r="P35937" s="42"/>
      <c r="AB35937" s="38"/>
    </row>
    <row r="35938">
      <c r="P35938" s="42"/>
      <c r="AB35938" s="38"/>
    </row>
    <row r="35939">
      <c r="P35939" s="42"/>
      <c r="AB35939" s="38"/>
    </row>
    <row r="35940">
      <c r="P35940" s="42"/>
      <c r="AB35940" s="38"/>
    </row>
    <row r="35941">
      <c r="P35941" s="42"/>
      <c r="AB35941" s="38"/>
    </row>
    <row r="35942">
      <c r="P35942" s="42"/>
      <c r="AB35942" s="38"/>
    </row>
    <row r="35943">
      <c r="P35943" s="42"/>
      <c r="AB35943" s="38"/>
    </row>
    <row r="35944">
      <c r="P35944" s="42"/>
      <c r="AB35944" s="38"/>
    </row>
    <row r="35945">
      <c r="P35945" s="42"/>
      <c r="AB35945" s="38"/>
    </row>
    <row r="35946">
      <c r="P35946" s="42"/>
      <c r="AB35946" s="38"/>
    </row>
    <row r="35947">
      <c r="P35947" s="42"/>
      <c r="AB35947" s="38"/>
    </row>
    <row r="35948">
      <c r="P35948" s="42"/>
      <c r="AB35948" s="38"/>
    </row>
    <row r="35949">
      <c r="P35949" s="42"/>
      <c r="AB35949" s="38"/>
    </row>
    <row r="35950">
      <c r="P35950" s="42"/>
      <c r="AB35950" s="38"/>
    </row>
    <row r="35951">
      <c r="P35951" s="42"/>
      <c r="AB35951" s="38"/>
    </row>
    <row r="35952">
      <c r="P35952" s="42"/>
      <c r="AB35952" s="38"/>
    </row>
    <row r="35953">
      <c r="P35953" s="42"/>
      <c r="AB35953" s="38"/>
    </row>
    <row r="35954">
      <c r="P35954" s="42"/>
      <c r="AB35954" s="38"/>
    </row>
    <row r="35955">
      <c r="P35955" s="42"/>
      <c r="AB35955" s="38"/>
    </row>
    <row r="35956">
      <c r="P35956" s="42"/>
      <c r="AB35956" s="38"/>
    </row>
    <row r="35957">
      <c r="P35957" s="42"/>
      <c r="AB35957" s="38"/>
    </row>
    <row r="35958">
      <c r="P35958" s="42"/>
      <c r="AB35958" s="38"/>
    </row>
    <row r="35959">
      <c r="P35959" s="42"/>
      <c r="AB35959" s="38"/>
    </row>
    <row r="35960">
      <c r="P35960" s="42"/>
      <c r="AB35960" s="38"/>
    </row>
    <row r="35961">
      <c r="P35961" s="42"/>
      <c r="AB35961" s="38"/>
    </row>
    <row r="35962">
      <c r="P35962" s="42"/>
      <c r="AB35962" s="38"/>
    </row>
    <row r="35963">
      <c r="P35963" s="42"/>
      <c r="AB35963" s="38"/>
    </row>
    <row r="35964">
      <c r="P35964" s="42"/>
      <c r="AB35964" s="38"/>
    </row>
    <row r="35965">
      <c r="P35965" s="42"/>
      <c r="AB35965" s="38"/>
    </row>
    <row r="35966">
      <c r="P35966" s="42"/>
      <c r="AB35966" s="38"/>
    </row>
    <row r="35967">
      <c r="P35967" s="42"/>
      <c r="AB35967" s="38"/>
    </row>
    <row r="35968">
      <c r="P35968" s="42"/>
      <c r="AB35968" s="38"/>
    </row>
    <row r="35969">
      <c r="P35969" s="42"/>
      <c r="AB35969" s="38"/>
    </row>
    <row r="35970">
      <c r="P35970" s="42"/>
      <c r="AB35970" s="38"/>
    </row>
    <row r="35971">
      <c r="P35971" s="42"/>
      <c r="AB35971" s="38"/>
    </row>
    <row r="35972">
      <c r="P35972" s="42"/>
      <c r="AB35972" s="38"/>
    </row>
    <row r="35973">
      <c r="P35973" s="42"/>
      <c r="AB35973" s="38"/>
    </row>
    <row r="35974">
      <c r="P35974" s="42"/>
      <c r="AB35974" s="38"/>
    </row>
    <row r="35975">
      <c r="P35975" s="42"/>
      <c r="AB35975" s="38"/>
    </row>
    <row r="35976">
      <c r="P35976" s="42"/>
      <c r="AB35976" s="38"/>
    </row>
    <row r="35977">
      <c r="P35977" s="42"/>
      <c r="AB35977" s="38"/>
    </row>
    <row r="35978">
      <c r="P35978" s="42"/>
      <c r="AB35978" s="38"/>
    </row>
    <row r="35979">
      <c r="P35979" s="42"/>
      <c r="AB35979" s="38"/>
    </row>
    <row r="35980">
      <c r="P35980" s="42"/>
      <c r="AB35980" s="38"/>
    </row>
    <row r="35981">
      <c r="P35981" s="42"/>
      <c r="AB35981" s="38"/>
    </row>
    <row r="35982">
      <c r="P35982" s="42"/>
      <c r="AB35982" s="38"/>
    </row>
    <row r="35983">
      <c r="P35983" s="42"/>
      <c r="AB35983" s="38"/>
    </row>
    <row r="35984">
      <c r="P35984" s="42"/>
      <c r="AB35984" s="38"/>
    </row>
    <row r="35985">
      <c r="P35985" s="42"/>
      <c r="AB35985" s="38"/>
    </row>
    <row r="35986">
      <c r="P35986" s="42"/>
      <c r="AB35986" s="38"/>
    </row>
    <row r="35987">
      <c r="P35987" s="42"/>
      <c r="AB35987" s="38"/>
    </row>
    <row r="35988">
      <c r="P35988" s="42"/>
      <c r="AB35988" s="38"/>
    </row>
    <row r="35989">
      <c r="P35989" s="42"/>
      <c r="AB35989" s="38"/>
    </row>
    <row r="35990">
      <c r="P35990" s="42"/>
      <c r="AB35990" s="38"/>
    </row>
    <row r="35991">
      <c r="P35991" s="42"/>
      <c r="AB35991" s="38"/>
    </row>
    <row r="35992">
      <c r="P35992" s="42"/>
      <c r="AB35992" s="38"/>
    </row>
    <row r="35993">
      <c r="P35993" s="42"/>
      <c r="AB35993" s="38"/>
    </row>
    <row r="35994">
      <c r="P35994" s="42"/>
      <c r="AB35994" s="38"/>
    </row>
    <row r="35995">
      <c r="P35995" s="42"/>
      <c r="AB35995" s="38"/>
    </row>
    <row r="35996">
      <c r="P35996" s="42"/>
      <c r="AB35996" s="38"/>
    </row>
    <row r="35997">
      <c r="P35997" s="42"/>
      <c r="AB35997" s="38"/>
    </row>
    <row r="35998">
      <c r="P35998" s="42"/>
      <c r="AB35998" s="38"/>
    </row>
    <row r="35999">
      <c r="P35999" s="42"/>
      <c r="AB35999" s="38"/>
    </row>
    <row r="36000">
      <c r="P36000" s="42"/>
      <c r="AB36000" s="38"/>
    </row>
    <row r="36001">
      <c r="P36001" s="42"/>
      <c r="AB36001" s="38"/>
    </row>
    <row r="36002">
      <c r="P36002" s="42"/>
      <c r="AB36002" s="38"/>
    </row>
    <row r="36003">
      <c r="P36003" s="42"/>
      <c r="AB36003" s="38"/>
    </row>
    <row r="36004">
      <c r="P36004" s="42"/>
      <c r="AB36004" s="38"/>
    </row>
    <row r="36005">
      <c r="P36005" s="42"/>
      <c r="AB36005" s="38"/>
    </row>
    <row r="36006">
      <c r="P36006" s="42"/>
      <c r="AB36006" s="38"/>
    </row>
    <row r="36007">
      <c r="P36007" s="42"/>
      <c r="AB36007" s="38"/>
    </row>
    <row r="36008">
      <c r="P36008" s="42"/>
      <c r="AB36008" s="38"/>
    </row>
    <row r="36009">
      <c r="P36009" s="42"/>
      <c r="AB36009" s="38"/>
    </row>
    <row r="36010">
      <c r="P36010" s="42"/>
      <c r="AB36010" s="38"/>
    </row>
    <row r="36011">
      <c r="P36011" s="42"/>
      <c r="AB36011" s="38"/>
    </row>
    <row r="36012">
      <c r="P36012" s="42"/>
      <c r="AB36012" s="38"/>
    </row>
    <row r="36013">
      <c r="P36013" s="42"/>
      <c r="AB36013" s="38"/>
    </row>
    <row r="36014">
      <c r="P36014" s="42"/>
      <c r="AB36014" s="38"/>
    </row>
    <row r="36015">
      <c r="P36015" s="42"/>
      <c r="AB36015" s="38"/>
    </row>
    <row r="36016">
      <c r="P36016" s="42"/>
      <c r="AB36016" s="38"/>
    </row>
    <row r="36017">
      <c r="P36017" s="42"/>
      <c r="AB36017" s="38"/>
    </row>
    <row r="36018">
      <c r="P36018" s="42"/>
      <c r="AB36018" s="38"/>
    </row>
    <row r="36019">
      <c r="P36019" s="42"/>
      <c r="AB36019" s="38"/>
    </row>
    <row r="36020">
      <c r="P36020" s="42"/>
      <c r="AB36020" s="38"/>
    </row>
    <row r="36021">
      <c r="P36021" s="42"/>
      <c r="AB36021" s="38"/>
    </row>
    <row r="36022">
      <c r="P36022" s="42"/>
      <c r="AB36022" s="38"/>
    </row>
    <row r="36023">
      <c r="P36023" s="42"/>
      <c r="AB36023" s="38"/>
    </row>
    <row r="36024">
      <c r="P36024" s="42"/>
      <c r="AB36024" s="38"/>
    </row>
    <row r="36025">
      <c r="P36025" s="42"/>
      <c r="AB36025" s="38"/>
    </row>
    <row r="36026">
      <c r="P36026" s="42"/>
      <c r="AB36026" s="38"/>
    </row>
    <row r="36027">
      <c r="P36027" s="42"/>
      <c r="AB36027" s="38"/>
    </row>
    <row r="36028">
      <c r="P36028" s="42"/>
      <c r="AB36028" s="38"/>
    </row>
    <row r="36029">
      <c r="P36029" s="42"/>
      <c r="AB36029" s="38"/>
    </row>
    <row r="36030">
      <c r="P36030" s="42"/>
      <c r="AB36030" s="38"/>
    </row>
    <row r="36031">
      <c r="P36031" s="42"/>
      <c r="AB36031" s="38"/>
    </row>
    <row r="36032">
      <c r="P36032" s="42"/>
      <c r="AB36032" s="38"/>
    </row>
    <row r="36033">
      <c r="P36033" s="42"/>
      <c r="AB36033" s="38"/>
    </row>
    <row r="36034">
      <c r="P36034" s="42"/>
      <c r="AB36034" s="38"/>
    </row>
    <row r="36035">
      <c r="P36035" s="42"/>
      <c r="AB36035" s="38"/>
    </row>
    <row r="36036">
      <c r="P36036" s="42"/>
      <c r="AB36036" s="38"/>
    </row>
    <row r="36037">
      <c r="P36037" s="42"/>
      <c r="AB36037" s="38"/>
    </row>
    <row r="36038">
      <c r="P36038" s="42"/>
      <c r="AB36038" s="38"/>
    </row>
    <row r="36039">
      <c r="P36039" s="42"/>
      <c r="AB36039" s="38"/>
    </row>
    <row r="36040">
      <c r="P36040" s="42"/>
      <c r="AB36040" s="38"/>
    </row>
    <row r="36041">
      <c r="P36041" s="42"/>
      <c r="AB36041" s="38"/>
    </row>
    <row r="36042">
      <c r="P36042" s="42"/>
      <c r="AB36042" s="38"/>
    </row>
    <row r="36043">
      <c r="P36043" s="42"/>
      <c r="AB36043" s="38"/>
    </row>
    <row r="36044">
      <c r="P36044" s="42"/>
      <c r="AB36044" s="38"/>
    </row>
    <row r="36045">
      <c r="P36045" s="42"/>
      <c r="AB36045" s="38"/>
    </row>
    <row r="36046">
      <c r="P36046" s="42"/>
      <c r="AB36046" s="38"/>
    </row>
    <row r="36047">
      <c r="P36047" s="42"/>
      <c r="AB36047" s="38"/>
    </row>
    <row r="36048">
      <c r="P36048" s="42"/>
      <c r="AB36048" s="38"/>
    </row>
    <row r="36049">
      <c r="P36049" s="42"/>
      <c r="AB36049" s="38"/>
    </row>
    <row r="36050">
      <c r="P36050" s="42"/>
      <c r="AB36050" s="38"/>
    </row>
    <row r="36051">
      <c r="P36051" s="42"/>
      <c r="AB36051" s="38"/>
    </row>
    <row r="36052">
      <c r="P36052" s="42"/>
      <c r="AB36052" s="38"/>
    </row>
    <row r="36053">
      <c r="P36053" s="42"/>
      <c r="AB36053" s="38"/>
    </row>
    <row r="36054">
      <c r="P36054" s="42"/>
      <c r="AB36054" s="38"/>
    </row>
    <row r="36055">
      <c r="P36055" s="42"/>
      <c r="AB36055" s="38"/>
    </row>
    <row r="36056">
      <c r="P36056" s="42"/>
      <c r="AB36056" s="38"/>
    </row>
    <row r="36057">
      <c r="P36057" s="42"/>
      <c r="AB36057" s="38"/>
    </row>
    <row r="36058">
      <c r="P36058" s="42"/>
      <c r="AB36058" s="38"/>
    </row>
    <row r="36059">
      <c r="P36059" s="42"/>
      <c r="AB36059" s="38"/>
    </row>
    <row r="36060">
      <c r="P36060" s="42"/>
      <c r="AB36060" s="38"/>
    </row>
    <row r="36061">
      <c r="P36061" s="42"/>
      <c r="AB36061" s="38"/>
    </row>
    <row r="36062">
      <c r="P36062" s="42"/>
      <c r="AB36062" s="38"/>
    </row>
    <row r="36063">
      <c r="P36063" s="42"/>
      <c r="AB36063" s="38"/>
    </row>
    <row r="36064">
      <c r="P36064" s="42"/>
      <c r="AB36064" s="38"/>
    </row>
    <row r="36065">
      <c r="P36065" s="42"/>
      <c r="AB36065" s="38"/>
    </row>
    <row r="36066">
      <c r="P36066" s="42"/>
      <c r="AB36066" s="38"/>
    </row>
    <row r="36067">
      <c r="P36067" s="42"/>
      <c r="AB36067" s="38"/>
    </row>
    <row r="36068">
      <c r="P36068" s="42"/>
      <c r="AB36068" s="38"/>
    </row>
    <row r="36069">
      <c r="P36069" s="42"/>
      <c r="AB36069" s="38"/>
    </row>
    <row r="36070">
      <c r="P36070" s="42"/>
      <c r="AB36070" s="38"/>
    </row>
    <row r="36071">
      <c r="P36071" s="42"/>
      <c r="AB36071" s="38"/>
    </row>
    <row r="36072">
      <c r="P36072" s="42"/>
      <c r="AB36072" s="38"/>
    </row>
    <row r="36073">
      <c r="P36073" s="42"/>
      <c r="AB36073" s="38"/>
    </row>
    <row r="36074">
      <c r="P36074" s="42"/>
      <c r="AB36074" s="38"/>
    </row>
    <row r="36075">
      <c r="P36075" s="42"/>
      <c r="AB36075" s="38"/>
    </row>
    <row r="36076">
      <c r="P36076" s="42"/>
      <c r="AB36076" s="38"/>
    </row>
    <row r="36077">
      <c r="P36077" s="42"/>
      <c r="AB36077" s="38"/>
    </row>
    <row r="36078">
      <c r="P36078" s="42"/>
      <c r="AB36078" s="38"/>
    </row>
    <row r="36079">
      <c r="P36079" s="42"/>
      <c r="AB36079" s="38"/>
    </row>
    <row r="36080">
      <c r="P36080" s="42"/>
      <c r="AB36080" s="38"/>
    </row>
    <row r="36081">
      <c r="P36081" s="42"/>
      <c r="AB36081" s="38"/>
    </row>
    <row r="36082">
      <c r="P36082" s="42"/>
      <c r="AB36082" s="38"/>
    </row>
    <row r="36083">
      <c r="P36083" s="42"/>
      <c r="AB36083" s="38"/>
    </row>
    <row r="36084">
      <c r="P36084" s="42"/>
      <c r="AB36084" s="38"/>
    </row>
    <row r="36085">
      <c r="P36085" s="42"/>
      <c r="AB36085" s="38"/>
    </row>
    <row r="36086">
      <c r="P36086" s="42"/>
      <c r="AB36086" s="38"/>
    </row>
    <row r="36087">
      <c r="P36087" s="42"/>
      <c r="AB36087" s="38"/>
    </row>
    <row r="36088">
      <c r="P36088" s="42"/>
      <c r="AB36088" s="38"/>
    </row>
    <row r="36089">
      <c r="P36089" s="42"/>
      <c r="AB36089" s="38"/>
    </row>
    <row r="36090">
      <c r="P36090" s="42"/>
      <c r="AB36090" s="38"/>
    </row>
    <row r="36091">
      <c r="P36091" s="42"/>
      <c r="AB36091" s="38"/>
    </row>
    <row r="36092">
      <c r="P36092" s="42"/>
      <c r="AB36092" s="38"/>
    </row>
    <row r="36093">
      <c r="P36093" s="42"/>
      <c r="AB36093" s="38"/>
    </row>
    <row r="36094">
      <c r="P36094" s="42"/>
      <c r="AB36094" s="38"/>
    </row>
    <row r="36095">
      <c r="P36095" s="42"/>
      <c r="AB36095" s="38"/>
    </row>
    <row r="36096">
      <c r="P36096" s="42"/>
      <c r="AB36096" s="38"/>
    </row>
    <row r="36097">
      <c r="P36097" s="42"/>
      <c r="AB36097" s="38"/>
    </row>
    <row r="36098">
      <c r="P36098" s="42"/>
      <c r="AB36098" s="38"/>
    </row>
    <row r="36099">
      <c r="P36099" s="42"/>
      <c r="AB36099" s="38"/>
    </row>
    <row r="36100">
      <c r="P36100" s="42"/>
      <c r="AB36100" s="38"/>
    </row>
    <row r="36101">
      <c r="P36101" s="42"/>
      <c r="AB36101" s="38"/>
    </row>
    <row r="36102">
      <c r="P36102" s="42"/>
      <c r="AB36102" s="38"/>
    </row>
    <row r="36103">
      <c r="P36103" s="42"/>
      <c r="AB36103" s="38"/>
    </row>
    <row r="36104">
      <c r="P36104" s="42"/>
      <c r="AB36104" s="38"/>
    </row>
    <row r="36105">
      <c r="P36105" s="42"/>
      <c r="AB36105" s="38"/>
    </row>
    <row r="36106">
      <c r="P36106" s="42"/>
      <c r="AB36106" s="38"/>
    </row>
    <row r="36107">
      <c r="P36107" s="42"/>
      <c r="AB36107" s="38"/>
    </row>
    <row r="36108">
      <c r="P36108" s="42"/>
      <c r="AB36108" s="38"/>
    </row>
    <row r="36109">
      <c r="P36109" s="42"/>
      <c r="AB36109" s="38"/>
    </row>
    <row r="36110">
      <c r="P36110" s="42"/>
      <c r="AB36110" s="38"/>
    </row>
    <row r="36111">
      <c r="P36111" s="42"/>
      <c r="AB36111" s="38"/>
    </row>
    <row r="36112">
      <c r="P36112" s="42"/>
      <c r="AB36112" s="38"/>
    </row>
    <row r="36113">
      <c r="P36113" s="42"/>
      <c r="AB36113" s="38"/>
    </row>
    <row r="36114">
      <c r="P36114" s="42"/>
      <c r="AB36114" s="38"/>
    </row>
    <row r="36115">
      <c r="P36115" s="42"/>
      <c r="AB36115" s="38"/>
    </row>
    <row r="36116">
      <c r="P36116" s="42"/>
      <c r="AB36116" s="38"/>
    </row>
    <row r="36117">
      <c r="P36117" s="42"/>
      <c r="AB36117" s="38"/>
    </row>
    <row r="36118">
      <c r="P36118" s="42"/>
      <c r="AB36118" s="38"/>
    </row>
    <row r="36119">
      <c r="P36119" s="42"/>
      <c r="AB36119" s="38"/>
    </row>
    <row r="36120">
      <c r="P36120" s="42"/>
      <c r="AB36120" s="38"/>
    </row>
    <row r="36121">
      <c r="P36121" s="42"/>
      <c r="AB36121" s="38"/>
    </row>
    <row r="36122">
      <c r="P36122" s="42"/>
      <c r="AB36122" s="38"/>
    </row>
    <row r="36123">
      <c r="P36123" s="42"/>
      <c r="AB36123" s="38"/>
    </row>
    <row r="36124">
      <c r="P36124" s="42"/>
      <c r="AB36124" s="38"/>
    </row>
    <row r="36125">
      <c r="P36125" s="42"/>
      <c r="AB36125" s="38"/>
    </row>
    <row r="36126">
      <c r="P36126" s="42"/>
      <c r="AB36126" s="38"/>
    </row>
    <row r="36127">
      <c r="P36127" s="42"/>
      <c r="AB36127" s="38"/>
    </row>
    <row r="36128">
      <c r="P36128" s="42"/>
      <c r="AB36128" s="38"/>
    </row>
    <row r="36129">
      <c r="P36129" s="42"/>
      <c r="AB36129" s="38"/>
    </row>
    <row r="36130">
      <c r="P36130" s="42"/>
      <c r="AB36130" s="38"/>
    </row>
    <row r="36131">
      <c r="P36131" s="42"/>
      <c r="AB36131" s="38"/>
    </row>
    <row r="36132">
      <c r="P36132" s="42"/>
      <c r="AB36132" s="38"/>
    </row>
    <row r="36133">
      <c r="P36133" s="42"/>
      <c r="AB36133" s="38"/>
    </row>
    <row r="36134">
      <c r="P36134" s="42"/>
      <c r="AB36134" s="38"/>
    </row>
    <row r="36135">
      <c r="P36135" s="42"/>
      <c r="AB36135" s="38"/>
    </row>
    <row r="36136">
      <c r="P36136" s="42"/>
      <c r="AB36136" s="38"/>
    </row>
    <row r="36137">
      <c r="P36137" s="42"/>
      <c r="AB36137" s="38"/>
    </row>
    <row r="36138">
      <c r="P36138" s="42"/>
      <c r="AB36138" s="38"/>
    </row>
    <row r="36139">
      <c r="P36139" s="42"/>
      <c r="AB36139" s="38"/>
    </row>
    <row r="36140">
      <c r="P36140" s="42"/>
      <c r="AB36140" s="38"/>
    </row>
    <row r="36141">
      <c r="P36141" s="42"/>
      <c r="AB36141" s="38"/>
    </row>
    <row r="36142">
      <c r="P36142" s="42"/>
      <c r="AB36142" s="38"/>
    </row>
    <row r="36143">
      <c r="P36143" s="42"/>
      <c r="AB36143" s="38"/>
    </row>
    <row r="36144">
      <c r="P36144" s="42"/>
      <c r="AB36144" s="38"/>
    </row>
    <row r="36145">
      <c r="P36145" s="42"/>
      <c r="AB36145" s="38"/>
    </row>
    <row r="36146">
      <c r="P36146" s="42"/>
      <c r="AB36146" s="38"/>
    </row>
    <row r="36147">
      <c r="P36147" s="42"/>
      <c r="AB36147" s="38"/>
    </row>
    <row r="36148">
      <c r="P36148" s="42"/>
      <c r="AB36148" s="38"/>
    </row>
    <row r="36149">
      <c r="P36149" s="42"/>
      <c r="AB36149" s="38"/>
    </row>
    <row r="36150">
      <c r="P36150" s="42"/>
      <c r="AB36150" s="38"/>
    </row>
    <row r="36151">
      <c r="P36151" s="42"/>
      <c r="AB36151" s="38"/>
    </row>
    <row r="36152">
      <c r="P36152" s="42"/>
      <c r="AB36152" s="38"/>
    </row>
    <row r="36153">
      <c r="P36153" s="42"/>
      <c r="AB36153" s="38"/>
    </row>
    <row r="36154">
      <c r="P36154" s="42"/>
      <c r="AB36154" s="38"/>
    </row>
    <row r="36155">
      <c r="P36155" s="42"/>
      <c r="AB36155" s="38"/>
    </row>
    <row r="36156">
      <c r="P36156" s="42"/>
      <c r="AB36156" s="38"/>
    </row>
    <row r="36157">
      <c r="P36157" s="42"/>
      <c r="AB36157" s="38"/>
    </row>
    <row r="36158">
      <c r="P36158" s="42"/>
      <c r="AB36158" s="38"/>
    </row>
    <row r="36159">
      <c r="P36159" s="42"/>
      <c r="AB36159" s="38"/>
    </row>
    <row r="36160">
      <c r="P36160" s="42"/>
      <c r="AB36160" s="38"/>
    </row>
    <row r="36161">
      <c r="P36161" s="42"/>
      <c r="AB36161" s="38"/>
    </row>
    <row r="36162">
      <c r="P36162" s="42"/>
      <c r="AB36162" s="38"/>
    </row>
    <row r="36163">
      <c r="P36163" s="42"/>
      <c r="AB36163" s="38"/>
    </row>
    <row r="36164">
      <c r="P36164" s="42"/>
      <c r="AB36164" s="38"/>
    </row>
    <row r="36165">
      <c r="P36165" s="42"/>
      <c r="AB36165" s="38"/>
    </row>
    <row r="36166">
      <c r="P36166" s="42"/>
      <c r="AB36166" s="38"/>
    </row>
    <row r="36167">
      <c r="P36167" s="42"/>
      <c r="AB36167" s="38"/>
    </row>
    <row r="36168">
      <c r="P36168" s="42"/>
      <c r="AB36168" s="38"/>
    </row>
    <row r="36169">
      <c r="P36169" s="42"/>
      <c r="AB36169" s="38"/>
    </row>
    <row r="36170">
      <c r="P36170" s="42"/>
      <c r="AB36170" s="38"/>
    </row>
    <row r="36171">
      <c r="P36171" s="42"/>
      <c r="AB36171" s="38"/>
    </row>
    <row r="36172">
      <c r="P36172" s="42"/>
      <c r="AB36172" s="38"/>
    </row>
    <row r="36173">
      <c r="P36173" s="42"/>
      <c r="AB36173" s="38"/>
    </row>
    <row r="36174">
      <c r="P36174" s="42"/>
      <c r="AB36174" s="38"/>
    </row>
    <row r="36175">
      <c r="P36175" s="42"/>
      <c r="AB36175" s="38"/>
    </row>
    <row r="36176">
      <c r="P36176" s="42"/>
      <c r="AB36176" s="38"/>
    </row>
    <row r="36177">
      <c r="P36177" s="42"/>
      <c r="AB36177" s="38"/>
    </row>
    <row r="36178">
      <c r="P36178" s="42"/>
      <c r="AB36178" s="38"/>
    </row>
    <row r="36179">
      <c r="P36179" s="42"/>
      <c r="AB36179" s="38"/>
    </row>
    <row r="36180">
      <c r="P36180" s="42"/>
      <c r="AB36180" s="38"/>
    </row>
    <row r="36181">
      <c r="P36181" s="42"/>
      <c r="AB36181" s="38"/>
    </row>
    <row r="36182">
      <c r="P36182" s="42"/>
      <c r="AB36182" s="38"/>
    </row>
    <row r="36183">
      <c r="P36183" s="42"/>
      <c r="AB36183" s="38"/>
    </row>
    <row r="36184">
      <c r="P36184" s="42"/>
      <c r="AB36184" s="38"/>
    </row>
    <row r="36185">
      <c r="P36185" s="42"/>
      <c r="AB36185" s="38"/>
    </row>
    <row r="36186">
      <c r="P36186" s="42"/>
      <c r="AB36186" s="38"/>
    </row>
    <row r="36187">
      <c r="P36187" s="42"/>
      <c r="AB36187" s="38"/>
    </row>
    <row r="36188">
      <c r="P36188" s="42"/>
      <c r="AB36188" s="38"/>
    </row>
    <row r="36189">
      <c r="P36189" s="42"/>
      <c r="AB36189" s="38"/>
    </row>
    <row r="36190">
      <c r="P36190" s="42"/>
      <c r="AB36190" s="38"/>
    </row>
    <row r="36191">
      <c r="P36191" s="42"/>
      <c r="AB36191" s="38"/>
    </row>
    <row r="36192">
      <c r="P36192" s="42"/>
      <c r="AB36192" s="38"/>
    </row>
    <row r="36193">
      <c r="P36193" s="42"/>
      <c r="AB36193" s="38"/>
    </row>
    <row r="36194">
      <c r="P36194" s="42"/>
      <c r="AB36194" s="38"/>
    </row>
    <row r="36195">
      <c r="P36195" s="42"/>
      <c r="AB36195" s="38"/>
    </row>
    <row r="36196">
      <c r="P36196" s="42"/>
      <c r="AB36196" s="38"/>
    </row>
    <row r="36197">
      <c r="P36197" s="42"/>
      <c r="AB36197" s="38"/>
    </row>
    <row r="36198">
      <c r="P36198" s="42"/>
      <c r="AB36198" s="38"/>
    </row>
    <row r="36199">
      <c r="P36199" s="42"/>
      <c r="AB36199" s="38"/>
    </row>
    <row r="36200">
      <c r="P36200" s="42"/>
      <c r="AB36200" s="38"/>
    </row>
    <row r="36201">
      <c r="P36201" s="42"/>
      <c r="AB36201" s="38"/>
    </row>
    <row r="36202">
      <c r="P36202" s="42"/>
      <c r="AB36202" s="38"/>
    </row>
    <row r="36203">
      <c r="P36203" s="42"/>
      <c r="AB36203" s="38"/>
    </row>
    <row r="36204">
      <c r="P36204" s="42"/>
      <c r="AB36204" s="38"/>
    </row>
    <row r="36205">
      <c r="P36205" s="42"/>
      <c r="AB36205" s="38"/>
    </row>
    <row r="36206">
      <c r="P36206" s="42"/>
      <c r="AB36206" s="38"/>
    </row>
    <row r="36207">
      <c r="P36207" s="42"/>
      <c r="AB36207" s="38"/>
    </row>
    <row r="36208">
      <c r="P36208" s="42"/>
      <c r="AB36208" s="38"/>
    </row>
    <row r="36209">
      <c r="P36209" s="42"/>
      <c r="AB36209" s="38"/>
    </row>
    <row r="36210">
      <c r="P36210" s="42"/>
      <c r="AB36210" s="38"/>
    </row>
    <row r="36211">
      <c r="P36211" s="42"/>
      <c r="AB36211" s="38"/>
    </row>
    <row r="36212">
      <c r="P36212" s="42"/>
      <c r="AB36212" s="38"/>
    </row>
    <row r="36213">
      <c r="P36213" s="42"/>
      <c r="AB36213" s="38"/>
    </row>
    <row r="36214">
      <c r="P36214" s="42"/>
      <c r="AB36214" s="38"/>
    </row>
    <row r="36215">
      <c r="P36215" s="42"/>
      <c r="AB36215" s="38"/>
    </row>
    <row r="36216">
      <c r="P36216" s="42"/>
      <c r="AB36216" s="38"/>
    </row>
    <row r="36217">
      <c r="P36217" s="42"/>
      <c r="AB36217" s="38"/>
    </row>
    <row r="36218">
      <c r="P36218" s="42"/>
      <c r="AB36218" s="38"/>
    </row>
    <row r="36219">
      <c r="P36219" s="42"/>
      <c r="AB36219" s="38"/>
    </row>
    <row r="36220">
      <c r="P36220" s="42"/>
      <c r="AB36220" s="38"/>
    </row>
    <row r="36221">
      <c r="P36221" s="42"/>
      <c r="AB36221" s="38"/>
    </row>
    <row r="36222">
      <c r="P36222" s="42"/>
      <c r="AB36222" s="38"/>
    </row>
    <row r="36223">
      <c r="P36223" s="42"/>
      <c r="AB36223" s="38"/>
    </row>
    <row r="36224">
      <c r="P36224" s="42"/>
      <c r="AB36224" s="38"/>
    </row>
    <row r="36225">
      <c r="P36225" s="42"/>
      <c r="AB36225" s="38"/>
    </row>
    <row r="36226">
      <c r="P36226" s="42"/>
      <c r="AB36226" s="38"/>
    </row>
    <row r="36227">
      <c r="P36227" s="42"/>
      <c r="AB36227" s="38"/>
    </row>
    <row r="36228">
      <c r="P36228" s="42"/>
      <c r="AB36228" s="38"/>
    </row>
    <row r="36229">
      <c r="P36229" s="42"/>
      <c r="AB36229" s="38"/>
    </row>
    <row r="36230">
      <c r="P36230" s="42"/>
      <c r="AB36230" s="38"/>
    </row>
    <row r="36231">
      <c r="P36231" s="42"/>
      <c r="AB36231" s="38"/>
    </row>
    <row r="36232">
      <c r="P36232" s="42"/>
      <c r="AB36232" s="38"/>
    </row>
    <row r="36233">
      <c r="P36233" s="42"/>
      <c r="AB36233" s="38"/>
    </row>
    <row r="36234">
      <c r="P36234" s="42"/>
      <c r="AB36234" s="38"/>
    </row>
    <row r="36235">
      <c r="P36235" s="42"/>
      <c r="AB36235" s="38"/>
    </row>
    <row r="36236">
      <c r="P36236" s="42"/>
      <c r="AB36236" s="38"/>
    </row>
    <row r="36237">
      <c r="P36237" s="42"/>
      <c r="AB36237" s="38"/>
    </row>
    <row r="36238">
      <c r="P36238" s="42"/>
      <c r="AB36238" s="38"/>
    </row>
    <row r="36239">
      <c r="P36239" s="42"/>
      <c r="AB36239" s="38"/>
    </row>
    <row r="36240">
      <c r="P36240" s="42"/>
      <c r="AB36240" s="38"/>
    </row>
    <row r="36241">
      <c r="P36241" s="42"/>
      <c r="AB36241" s="38"/>
    </row>
    <row r="36242">
      <c r="P36242" s="42"/>
      <c r="AB36242" s="38"/>
    </row>
    <row r="36243">
      <c r="P36243" s="42"/>
      <c r="AB36243" s="38"/>
    </row>
    <row r="36244">
      <c r="P36244" s="42"/>
      <c r="AB36244" s="38"/>
    </row>
    <row r="36245">
      <c r="P36245" s="42"/>
      <c r="AB36245" s="38"/>
    </row>
    <row r="36246">
      <c r="P36246" s="42"/>
      <c r="AB36246" s="38"/>
    </row>
    <row r="36247">
      <c r="P36247" s="42"/>
      <c r="AB36247" s="38"/>
    </row>
    <row r="36248">
      <c r="P36248" s="42"/>
      <c r="AB36248" s="38"/>
    </row>
    <row r="36249">
      <c r="P36249" s="42"/>
      <c r="AB36249" s="38"/>
    </row>
    <row r="36250">
      <c r="P36250" s="42"/>
      <c r="AB36250" s="38"/>
    </row>
    <row r="36251">
      <c r="P36251" s="42"/>
      <c r="AB36251" s="38"/>
    </row>
    <row r="36252">
      <c r="P36252" s="42"/>
      <c r="AB36252" s="38"/>
    </row>
    <row r="36253">
      <c r="P36253" s="42"/>
      <c r="AB36253" s="38"/>
    </row>
    <row r="36254">
      <c r="P36254" s="42"/>
      <c r="AB36254" s="38"/>
    </row>
    <row r="36255">
      <c r="P36255" s="42"/>
      <c r="AB36255" s="38"/>
    </row>
    <row r="36256">
      <c r="P36256" s="42"/>
      <c r="AB36256" s="38"/>
    </row>
    <row r="36257">
      <c r="P36257" s="42"/>
      <c r="AB36257" s="38"/>
    </row>
    <row r="36258">
      <c r="P36258" s="42"/>
      <c r="AB36258" s="38"/>
    </row>
    <row r="36259">
      <c r="P36259" s="42"/>
      <c r="AB36259" s="38"/>
    </row>
    <row r="36260">
      <c r="P36260" s="42"/>
      <c r="AB36260" s="38"/>
    </row>
    <row r="36261">
      <c r="P36261" s="42"/>
      <c r="AB36261" s="38"/>
    </row>
    <row r="36262">
      <c r="P36262" s="42"/>
      <c r="AB36262" s="38"/>
    </row>
    <row r="36263">
      <c r="P36263" s="42"/>
      <c r="AB36263" s="38"/>
    </row>
    <row r="36264">
      <c r="P36264" s="42"/>
      <c r="AB36264" s="38"/>
    </row>
    <row r="36265">
      <c r="P36265" s="42"/>
      <c r="AB36265" s="38"/>
    </row>
    <row r="36266">
      <c r="P36266" s="42"/>
      <c r="AB36266" s="38"/>
    </row>
    <row r="36267">
      <c r="P36267" s="42"/>
      <c r="AB36267" s="38"/>
    </row>
    <row r="36268">
      <c r="P36268" s="42"/>
      <c r="AB36268" s="38"/>
    </row>
    <row r="36269">
      <c r="P36269" s="42"/>
      <c r="AB36269" s="38"/>
    </row>
    <row r="36270">
      <c r="P36270" s="42"/>
      <c r="AB36270" s="38"/>
    </row>
    <row r="36271">
      <c r="P36271" s="42"/>
      <c r="AB36271" s="38"/>
    </row>
    <row r="36272">
      <c r="P36272" s="42"/>
      <c r="AB36272" s="38"/>
    </row>
    <row r="36273">
      <c r="P36273" s="42"/>
      <c r="AB36273" s="38"/>
    </row>
    <row r="36274">
      <c r="P36274" s="42"/>
      <c r="AB36274" s="38"/>
    </row>
    <row r="36275">
      <c r="P36275" s="42"/>
      <c r="AB36275" s="38"/>
    </row>
    <row r="36276">
      <c r="P36276" s="42"/>
      <c r="AB36276" s="38"/>
    </row>
    <row r="36277">
      <c r="P36277" s="42"/>
      <c r="AB36277" s="38"/>
    </row>
    <row r="36278">
      <c r="P36278" s="42"/>
      <c r="AB36278" s="38"/>
    </row>
    <row r="36279">
      <c r="P36279" s="42"/>
      <c r="AB36279" s="38"/>
    </row>
    <row r="36280">
      <c r="P36280" s="42"/>
      <c r="AB36280" s="38"/>
    </row>
    <row r="36281">
      <c r="P36281" s="42"/>
      <c r="AB36281" s="38"/>
    </row>
    <row r="36282">
      <c r="P36282" s="42"/>
      <c r="AB36282" s="38"/>
    </row>
    <row r="36283">
      <c r="P36283" s="42"/>
      <c r="AB36283" s="38"/>
    </row>
    <row r="36284">
      <c r="P36284" s="42"/>
      <c r="AB36284" s="38"/>
    </row>
    <row r="36285">
      <c r="P36285" s="42"/>
      <c r="AB36285" s="38"/>
    </row>
    <row r="36286">
      <c r="P36286" s="42"/>
      <c r="AB36286" s="38"/>
    </row>
    <row r="36287">
      <c r="P36287" s="42"/>
      <c r="AB36287" s="38"/>
    </row>
    <row r="36288">
      <c r="P36288" s="42"/>
      <c r="AB36288" s="38"/>
    </row>
    <row r="36289">
      <c r="P36289" s="42"/>
      <c r="AB36289" s="38"/>
    </row>
    <row r="36290">
      <c r="P36290" s="42"/>
      <c r="AB36290" s="38"/>
    </row>
    <row r="36291">
      <c r="P36291" s="42"/>
      <c r="AB36291" s="38"/>
    </row>
    <row r="36292">
      <c r="P36292" s="42"/>
      <c r="AB36292" s="38"/>
    </row>
    <row r="36293">
      <c r="P36293" s="42"/>
      <c r="AB36293" s="38"/>
    </row>
    <row r="36294">
      <c r="P36294" s="42"/>
      <c r="AB36294" s="38"/>
    </row>
    <row r="36295">
      <c r="P36295" s="42"/>
      <c r="AB36295" s="38"/>
    </row>
    <row r="36296">
      <c r="P36296" s="42"/>
      <c r="AB36296" s="38"/>
    </row>
    <row r="36297">
      <c r="P36297" s="42"/>
      <c r="AB36297" s="38"/>
    </row>
    <row r="36298">
      <c r="P36298" s="42"/>
      <c r="AB36298" s="38"/>
    </row>
    <row r="36299">
      <c r="P36299" s="42"/>
      <c r="AB36299" s="38"/>
    </row>
    <row r="36300">
      <c r="P36300" s="42"/>
      <c r="AB36300" s="38"/>
    </row>
    <row r="36301">
      <c r="P36301" s="42"/>
      <c r="AB36301" s="38"/>
    </row>
    <row r="36302">
      <c r="P36302" s="42"/>
      <c r="AB36302" s="38"/>
    </row>
    <row r="36303">
      <c r="P36303" s="42"/>
      <c r="AB36303" s="38"/>
    </row>
    <row r="36304">
      <c r="P36304" s="42"/>
      <c r="AB36304" s="38"/>
    </row>
    <row r="36305">
      <c r="P36305" s="42"/>
      <c r="AB36305" s="38"/>
    </row>
    <row r="36306">
      <c r="P36306" s="42"/>
      <c r="AB36306" s="38"/>
    </row>
    <row r="36307">
      <c r="P36307" s="42"/>
      <c r="AB36307" s="38"/>
    </row>
    <row r="36308">
      <c r="P36308" s="42"/>
      <c r="AB36308" s="38"/>
    </row>
    <row r="36309">
      <c r="P36309" s="42"/>
      <c r="AB36309" s="38"/>
    </row>
    <row r="36310">
      <c r="P36310" s="42"/>
      <c r="AB36310" s="38"/>
    </row>
    <row r="36311">
      <c r="P36311" s="42"/>
      <c r="AB36311" s="38"/>
    </row>
    <row r="36312">
      <c r="P36312" s="42"/>
      <c r="AB36312" s="38"/>
    </row>
    <row r="36313">
      <c r="P36313" s="42"/>
      <c r="AB36313" s="38"/>
    </row>
    <row r="36314">
      <c r="P36314" s="42"/>
      <c r="AB36314" s="38"/>
    </row>
    <row r="36315">
      <c r="P36315" s="42"/>
      <c r="AB36315" s="38"/>
    </row>
    <row r="36316">
      <c r="P36316" s="42"/>
      <c r="AB36316" s="38"/>
    </row>
    <row r="36317">
      <c r="P36317" s="42"/>
      <c r="AB36317" s="38"/>
    </row>
    <row r="36318">
      <c r="P36318" s="42"/>
      <c r="AB36318" s="38"/>
    </row>
    <row r="36319">
      <c r="P36319" s="42"/>
      <c r="AB36319" s="38"/>
    </row>
    <row r="36320">
      <c r="P36320" s="42"/>
      <c r="AB36320" s="38"/>
    </row>
    <row r="36321">
      <c r="P36321" s="42"/>
      <c r="AB36321" s="38"/>
    </row>
    <row r="36322">
      <c r="P36322" s="42"/>
      <c r="AB36322" s="38"/>
    </row>
    <row r="36323">
      <c r="P36323" s="42"/>
      <c r="AB36323" s="38"/>
    </row>
    <row r="36324">
      <c r="P36324" s="42"/>
      <c r="AB36324" s="38"/>
    </row>
    <row r="36325">
      <c r="P36325" s="42"/>
      <c r="AB36325" s="38"/>
    </row>
    <row r="36326">
      <c r="P36326" s="42"/>
      <c r="AB36326" s="38"/>
    </row>
    <row r="36327">
      <c r="P36327" s="42"/>
      <c r="AB36327" s="38"/>
    </row>
    <row r="36328">
      <c r="P36328" s="42"/>
      <c r="AB36328" s="38"/>
    </row>
    <row r="36329">
      <c r="P36329" s="42"/>
      <c r="AB36329" s="38"/>
    </row>
    <row r="36330">
      <c r="P36330" s="42"/>
      <c r="AB36330" s="38"/>
    </row>
    <row r="36331">
      <c r="P36331" s="42"/>
      <c r="AB36331" s="38"/>
    </row>
    <row r="36332">
      <c r="P36332" s="42"/>
      <c r="AB36332" s="38"/>
    </row>
    <row r="36333">
      <c r="P36333" s="42"/>
      <c r="AB36333" s="38"/>
    </row>
    <row r="36334">
      <c r="P36334" s="42"/>
      <c r="AB36334" s="38"/>
    </row>
    <row r="36335">
      <c r="P36335" s="42"/>
      <c r="AB36335" s="38"/>
    </row>
    <row r="36336">
      <c r="P36336" s="42"/>
      <c r="AB36336" s="38"/>
    </row>
    <row r="36337">
      <c r="P36337" s="42"/>
      <c r="AB36337" s="38"/>
    </row>
    <row r="36338">
      <c r="P36338" s="42"/>
      <c r="AB36338" s="38"/>
    </row>
    <row r="36339">
      <c r="P36339" s="42"/>
      <c r="AB36339" s="38"/>
    </row>
    <row r="36340">
      <c r="P36340" s="42"/>
      <c r="AB36340" s="38"/>
    </row>
    <row r="36341">
      <c r="P36341" s="42"/>
      <c r="AB36341" s="38"/>
    </row>
    <row r="36342">
      <c r="P36342" s="42"/>
      <c r="AB36342" s="38"/>
    </row>
    <row r="36343">
      <c r="P36343" s="42"/>
      <c r="AB36343" s="38"/>
    </row>
    <row r="36344">
      <c r="P36344" s="42"/>
      <c r="AB36344" s="38"/>
    </row>
    <row r="36345">
      <c r="P36345" s="42"/>
      <c r="AB36345" s="38"/>
    </row>
    <row r="36346">
      <c r="P36346" s="42"/>
      <c r="AB36346" s="38"/>
    </row>
    <row r="36347">
      <c r="P36347" s="42"/>
      <c r="AB36347" s="38"/>
    </row>
    <row r="36348">
      <c r="P36348" s="42"/>
      <c r="AB36348" s="38"/>
    </row>
    <row r="36349">
      <c r="P36349" s="42"/>
      <c r="AB36349" s="38"/>
    </row>
    <row r="36350">
      <c r="P36350" s="42"/>
      <c r="AB36350" s="38"/>
    </row>
    <row r="36351">
      <c r="P36351" s="42"/>
      <c r="AB36351" s="38"/>
    </row>
    <row r="36352">
      <c r="P36352" s="42"/>
      <c r="AB36352" s="38"/>
    </row>
    <row r="36353">
      <c r="P36353" s="42"/>
      <c r="AB36353" s="38"/>
    </row>
    <row r="36354">
      <c r="P36354" s="42"/>
      <c r="AB36354" s="38"/>
    </row>
    <row r="36355">
      <c r="P36355" s="42"/>
      <c r="AB36355" s="38"/>
    </row>
    <row r="36356">
      <c r="P36356" s="42"/>
      <c r="AB36356" s="38"/>
    </row>
    <row r="36357">
      <c r="P36357" s="42"/>
      <c r="AB36357" s="38"/>
    </row>
    <row r="36358">
      <c r="P36358" s="42"/>
      <c r="AB36358" s="38"/>
    </row>
    <row r="36359">
      <c r="P36359" s="42"/>
      <c r="AB36359" s="38"/>
    </row>
    <row r="36360">
      <c r="P36360" s="42"/>
      <c r="AB36360" s="38"/>
    </row>
    <row r="36361">
      <c r="P36361" s="42"/>
      <c r="AB36361" s="38"/>
    </row>
    <row r="36362">
      <c r="P36362" s="42"/>
      <c r="AB36362" s="38"/>
    </row>
    <row r="36363">
      <c r="P36363" s="42"/>
      <c r="AB36363" s="38"/>
    </row>
    <row r="36364">
      <c r="P36364" s="42"/>
      <c r="AB36364" s="38"/>
    </row>
    <row r="36365">
      <c r="P36365" s="42"/>
      <c r="AB36365" s="38"/>
    </row>
    <row r="36366">
      <c r="P36366" s="42"/>
      <c r="AB36366" s="38"/>
    </row>
    <row r="36367">
      <c r="P36367" s="42"/>
      <c r="AB36367" s="38"/>
    </row>
    <row r="36368">
      <c r="P36368" s="42"/>
      <c r="AB36368" s="38"/>
    </row>
    <row r="36369">
      <c r="P36369" s="42"/>
      <c r="AB36369" s="38"/>
    </row>
    <row r="36370">
      <c r="P36370" s="42"/>
      <c r="AB36370" s="38"/>
    </row>
    <row r="36371">
      <c r="P36371" s="42"/>
      <c r="AB36371" s="38"/>
    </row>
    <row r="36372">
      <c r="P36372" s="42"/>
      <c r="AB36372" s="38"/>
    </row>
    <row r="36373">
      <c r="P36373" s="42"/>
      <c r="AB36373" s="38"/>
    </row>
    <row r="36374">
      <c r="P36374" s="42"/>
      <c r="AB36374" s="38"/>
    </row>
    <row r="36375">
      <c r="P36375" s="42"/>
      <c r="AB36375" s="38"/>
    </row>
    <row r="36376">
      <c r="P36376" s="42"/>
      <c r="AB36376" s="38"/>
    </row>
    <row r="36377">
      <c r="P36377" s="42"/>
      <c r="AB36377" s="38"/>
    </row>
    <row r="36378">
      <c r="P36378" s="42"/>
      <c r="AB36378" s="38"/>
    </row>
    <row r="36379">
      <c r="P36379" s="42"/>
      <c r="AB36379" s="38"/>
    </row>
    <row r="36380">
      <c r="P36380" s="42"/>
      <c r="AB36380" s="38"/>
    </row>
    <row r="36381">
      <c r="P36381" s="42"/>
      <c r="AB36381" s="38"/>
    </row>
    <row r="36382">
      <c r="P36382" s="42"/>
      <c r="AB36382" s="38"/>
    </row>
    <row r="36383">
      <c r="P36383" s="42"/>
      <c r="AB36383" s="38"/>
    </row>
    <row r="36384">
      <c r="P36384" s="42"/>
      <c r="AB36384" s="38"/>
    </row>
    <row r="36385">
      <c r="P36385" s="42"/>
      <c r="AB36385" s="38"/>
    </row>
    <row r="36386">
      <c r="P36386" s="42"/>
      <c r="AB36386" s="38"/>
    </row>
    <row r="36387">
      <c r="P36387" s="42"/>
      <c r="AB36387" s="38"/>
    </row>
    <row r="36388">
      <c r="P36388" s="42"/>
      <c r="AB36388" s="38"/>
    </row>
    <row r="36389">
      <c r="P36389" s="42"/>
      <c r="AB36389" s="38"/>
    </row>
    <row r="36390">
      <c r="P36390" s="42"/>
      <c r="AB36390" s="38"/>
    </row>
    <row r="36391">
      <c r="P36391" s="42"/>
      <c r="AB36391" s="38"/>
    </row>
    <row r="36392">
      <c r="P36392" s="42"/>
      <c r="AB36392" s="38"/>
    </row>
    <row r="36393">
      <c r="P36393" s="42"/>
      <c r="AB36393" s="38"/>
    </row>
    <row r="36394">
      <c r="P36394" s="42"/>
      <c r="AB36394" s="38"/>
    </row>
    <row r="36395">
      <c r="P36395" s="42"/>
      <c r="AB36395" s="38"/>
    </row>
    <row r="36396">
      <c r="P36396" s="42"/>
      <c r="AB36396" s="38"/>
    </row>
    <row r="36397">
      <c r="P36397" s="42"/>
      <c r="AB36397" s="38"/>
    </row>
    <row r="36398">
      <c r="P36398" s="42"/>
      <c r="AB36398" s="38"/>
    </row>
    <row r="36399">
      <c r="P36399" s="42"/>
      <c r="AB36399" s="38"/>
    </row>
    <row r="36400">
      <c r="P36400" s="42"/>
      <c r="AB36400" s="38"/>
    </row>
    <row r="36401">
      <c r="P36401" s="42"/>
      <c r="AB36401" s="38"/>
    </row>
    <row r="36402">
      <c r="P36402" s="42"/>
      <c r="AB36402" s="38"/>
    </row>
    <row r="36403">
      <c r="P36403" s="42"/>
      <c r="AB36403" s="38"/>
    </row>
    <row r="36404">
      <c r="P36404" s="42"/>
      <c r="AB36404" s="38"/>
    </row>
    <row r="36405">
      <c r="P36405" s="42"/>
      <c r="AB36405" s="38"/>
    </row>
    <row r="36406">
      <c r="P36406" s="42"/>
      <c r="AB36406" s="38"/>
    </row>
    <row r="36407">
      <c r="P36407" s="42"/>
      <c r="AB36407" s="38"/>
    </row>
    <row r="36408">
      <c r="P36408" s="42"/>
      <c r="AB36408" s="38"/>
    </row>
    <row r="36409">
      <c r="P36409" s="42"/>
      <c r="AB36409" s="38"/>
    </row>
    <row r="36410">
      <c r="P36410" s="42"/>
      <c r="AB36410" s="38"/>
    </row>
    <row r="36411">
      <c r="P36411" s="42"/>
      <c r="AB36411" s="38"/>
    </row>
    <row r="36412">
      <c r="P36412" s="42"/>
      <c r="AB36412" s="38"/>
    </row>
    <row r="36413">
      <c r="P36413" s="42"/>
      <c r="AB36413" s="38"/>
    </row>
    <row r="36414">
      <c r="P36414" s="42"/>
      <c r="AB36414" s="38"/>
    </row>
    <row r="36415">
      <c r="P36415" s="42"/>
      <c r="AB36415" s="38"/>
    </row>
    <row r="36416">
      <c r="P36416" s="42"/>
      <c r="AB36416" s="38"/>
    </row>
    <row r="36417">
      <c r="P36417" s="42"/>
      <c r="AB36417" s="38"/>
    </row>
    <row r="36418">
      <c r="P36418" s="42"/>
      <c r="AB36418" s="38"/>
    </row>
    <row r="36419">
      <c r="P36419" s="42"/>
      <c r="AB36419" s="38"/>
    </row>
    <row r="36420">
      <c r="P36420" s="42"/>
      <c r="AB36420" s="38"/>
    </row>
    <row r="36421">
      <c r="P36421" s="42"/>
      <c r="AB36421" s="38"/>
    </row>
    <row r="36422">
      <c r="P36422" s="42"/>
      <c r="AB36422" s="38"/>
    </row>
    <row r="36423">
      <c r="P36423" s="42"/>
      <c r="AB36423" s="38"/>
    </row>
    <row r="36424">
      <c r="P36424" s="42"/>
      <c r="AB36424" s="38"/>
    </row>
    <row r="36425">
      <c r="P36425" s="42"/>
      <c r="AB36425" s="38"/>
    </row>
    <row r="36426">
      <c r="P36426" s="42"/>
      <c r="AB36426" s="38"/>
    </row>
    <row r="36427">
      <c r="P36427" s="42"/>
      <c r="AB36427" s="38"/>
    </row>
    <row r="36428">
      <c r="P36428" s="42"/>
      <c r="AB36428" s="38"/>
    </row>
    <row r="36429">
      <c r="P36429" s="42"/>
      <c r="AB36429" s="38"/>
    </row>
    <row r="36430">
      <c r="P36430" s="42"/>
      <c r="AB36430" s="38"/>
    </row>
    <row r="36431">
      <c r="P36431" s="42"/>
      <c r="AB36431" s="38"/>
    </row>
    <row r="36432">
      <c r="P36432" s="42"/>
      <c r="AB36432" s="38"/>
    </row>
    <row r="36433">
      <c r="P36433" s="42"/>
      <c r="AB36433" s="38"/>
    </row>
    <row r="36434">
      <c r="P36434" s="42"/>
      <c r="AB36434" s="38"/>
    </row>
    <row r="36435">
      <c r="P36435" s="42"/>
      <c r="AB36435" s="38"/>
    </row>
    <row r="36436">
      <c r="P36436" s="42"/>
      <c r="AB36436" s="38"/>
    </row>
    <row r="36437">
      <c r="P36437" s="42"/>
      <c r="AB36437" s="38"/>
    </row>
    <row r="36438">
      <c r="P36438" s="42"/>
      <c r="AB36438" s="38"/>
    </row>
    <row r="36439">
      <c r="P36439" s="42"/>
      <c r="AB36439" s="38"/>
    </row>
    <row r="36440">
      <c r="P36440" s="42"/>
      <c r="AB36440" s="38"/>
    </row>
    <row r="36441">
      <c r="P36441" s="42"/>
      <c r="AB36441" s="38"/>
    </row>
    <row r="36442">
      <c r="P36442" s="42"/>
      <c r="AB36442" s="38"/>
    </row>
    <row r="36443">
      <c r="P36443" s="42"/>
      <c r="AB36443" s="38"/>
    </row>
    <row r="36444">
      <c r="P36444" s="42"/>
      <c r="AB36444" s="38"/>
    </row>
    <row r="36445">
      <c r="P36445" s="42"/>
      <c r="AB36445" s="38"/>
    </row>
    <row r="36446">
      <c r="P36446" s="42"/>
      <c r="AB36446" s="38"/>
    </row>
    <row r="36447">
      <c r="P36447" s="42"/>
      <c r="AB36447" s="38"/>
    </row>
    <row r="36448">
      <c r="P36448" s="42"/>
      <c r="AB36448" s="38"/>
    </row>
    <row r="36449">
      <c r="P36449" s="42"/>
      <c r="AB36449" s="38"/>
    </row>
    <row r="36450">
      <c r="P36450" s="42"/>
      <c r="AB36450" s="38"/>
    </row>
    <row r="36451">
      <c r="P36451" s="42"/>
      <c r="AB36451" s="38"/>
    </row>
    <row r="36452">
      <c r="P36452" s="42"/>
      <c r="AB36452" s="38"/>
    </row>
    <row r="36453">
      <c r="P36453" s="42"/>
      <c r="AB36453" s="38"/>
    </row>
    <row r="36454">
      <c r="P36454" s="42"/>
      <c r="AB36454" s="38"/>
    </row>
    <row r="36455">
      <c r="P36455" s="42"/>
      <c r="AB36455" s="38"/>
    </row>
    <row r="36456">
      <c r="P36456" s="42"/>
      <c r="AB36456" s="38"/>
    </row>
    <row r="36457">
      <c r="P36457" s="42"/>
      <c r="AB36457" s="38"/>
    </row>
    <row r="36458">
      <c r="P36458" s="42"/>
      <c r="AB36458" s="38"/>
    </row>
    <row r="36459">
      <c r="P36459" s="42"/>
      <c r="AB36459" s="38"/>
    </row>
    <row r="36460">
      <c r="P36460" s="42"/>
      <c r="AB36460" s="38"/>
    </row>
    <row r="36461">
      <c r="P36461" s="42"/>
      <c r="AB36461" s="38"/>
    </row>
    <row r="36462">
      <c r="P36462" s="42"/>
      <c r="AB36462" s="38"/>
    </row>
    <row r="36463">
      <c r="P36463" s="42"/>
      <c r="AB36463" s="38"/>
    </row>
    <row r="36464">
      <c r="P36464" s="42"/>
      <c r="AB36464" s="38"/>
    </row>
    <row r="36465">
      <c r="P36465" s="42"/>
      <c r="AB36465" s="38"/>
    </row>
    <row r="36466">
      <c r="P36466" s="42"/>
      <c r="AB36466" s="38"/>
    </row>
    <row r="36467">
      <c r="P36467" s="42"/>
      <c r="AB36467" s="38"/>
    </row>
    <row r="36468">
      <c r="P36468" s="42"/>
      <c r="AB36468" s="38"/>
    </row>
    <row r="36469">
      <c r="P36469" s="42"/>
      <c r="AB36469" s="38"/>
    </row>
    <row r="36470">
      <c r="P36470" s="42"/>
      <c r="AB36470" s="38"/>
    </row>
    <row r="36471">
      <c r="P36471" s="42"/>
      <c r="AB36471" s="38"/>
    </row>
    <row r="36472">
      <c r="P36472" s="42"/>
      <c r="AB36472" s="38"/>
    </row>
    <row r="36473">
      <c r="P36473" s="42"/>
      <c r="AB36473" s="38"/>
    </row>
    <row r="36474">
      <c r="P36474" s="42"/>
      <c r="AB36474" s="38"/>
    </row>
    <row r="36475">
      <c r="P36475" s="42"/>
      <c r="AB36475" s="38"/>
    </row>
    <row r="36476">
      <c r="P36476" s="42"/>
      <c r="AB36476" s="38"/>
    </row>
    <row r="36477">
      <c r="P36477" s="42"/>
      <c r="AB36477" s="38"/>
    </row>
    <row r="36478">
      <c r="P36478" s="42"/>
      <c r="AB36478" s="38"/>
    </row>
    <row r="36479">
      <c r="P36479" s="42"/>
      <c r="AB36479" s="38"/>
    </row>
    <row r="36480">
      <c r="P36480" s="42"/>
      <c r="AB36480" s="38"/>
    </row>
    <row r="36481">
      <c r="P36481" s="42"/>
      <c r="AB36481" s="38"/>
    </row>
    <row r="36482">
      <c r="P36482" s="42"/>
      <c r="AB36482" s="38"/>
    </row>
    <row r="36483">
      <c r="P36483" s="42"/>
      <c r="AB36483" s="38"/>
    </row>
    <row r="36484">
      <c r="P36484" s="42"/>
      <c r="AB36484" s="38"/>
    </row>
    <row r="36485">
      <c r="P36485" s="42"/>
      <c r="AB36485" s="38"/>
    </row>
    <row r="36486">
      <c r="P36486" s="42"/>
      <c r="AB36486" s="38"/>
    </row>
    <row r="36487">
      <c r="P36487" s="42"/>
      <c r="AB36487" s="38"/>
    </row>
    <row r="36488">
      <c r="P36488" s="42"/>
      <c r="AB36488" s="38"/>
    </row>
    <row r="36489">
      <c r="P36489" s="42"/>
      <c r="AB36489" s="38"/>
    </row>
    <row r="36490">
      <c r="P36490" s="42"/>
      <c r="AB36490" s="38"/>
    </row>
    <row r="36491">
      <c r="P36491" s="42"/>
      <c r="AB36491" s="38"/>
    </row>
    <row r="36492">
      <c r="P36492" s="42"/>
      <c r="AB36492" s="38"/>
    </row>
    <row r="36493">
      <c r="P36493" s="42"/>
      <c r="AB36493" s="38"/>
    </row>
    <row r="36494">
      <c r="P36494" s="42"/>
      <c r="AB36494" s="38"/>
    </row>
    <row r="36495">
      <c r="P36495" s="42"/>
      <c r="AB36495" s="38"/>
    </row>
    <row r="36496">
      <c r="P36496" s="42"/>
      <c r="AB36496" s="38"/>
    </row>
    <row r="36497">
      <c r="P36497" s="42"/>
      <c r="AB36497" s="38"/>
    </row>
    <row r="36498">
      <c r="P36498" s="42"/>
      <c r="AB36498" s="38"/>
    </row>
    <row r="36499">
      <c r="P36499" s="42"/>
      <c r="AB36499" s="38"/>
    </row>
    <row r="36500">
      <c r="P36500" s="42"/>
      <c r="AB36500" s="38"/>
    </row>
    <row r="36501">
      <c r="P36501" s="42"/>
      <c r="AB36501" s="38"/>
    </row>
    <row r="36502">
      <c r="P36502" s="42"/>
      <c r="AB36502" s="38"/>
    </row>
    <row r="36503">
      <c r="P36503" s="42"/>
      <c r="AB36503" s="38"/>
    </row>
    <row r="36504">
      <c r="P36504" s="42"/>
      <c r="AB36504" s="38"/>
    </row>
    <row r="36505">
      <c r="P36505" s="42"/>
      <c r="AB36505" s="38"/>
    </row>
    <row r="36506">
      <c r="P36506" s="42"/>
      <c r="AB36506" s="38"/>
    </row>
    <row r="36507">
      <c r="P36507" s="42"/>
      <c r="AB36507" s="38"/>
    </row>
    <row r="36508">
      <c r="P36508" s="42"/>
      <c r="AB36508" s="38"/>
    </row>
    <row r="36509">
      <c r="P36509" s="42"/>
      <c r="AB36509" s="38"/>
    </row>
    <row r="36510">
      <c r="P36510" s="42"/>
      <c r="AB36510" s="38"/>
    </row>
    <row r="36511">
      <c r="P36511" s="42"/>
      <c r="AB36511" s="38"/>
    </row>
    <row r="36512">
      <c r="P36512" s="42"/>
      <c r="AB36512" s="38"/>
    </row>
    <row r="36513">
      <c r="P36513" s="42"/>
      <c r="AB36513" s="38"/>
    </row>
    <row r="36514">
      <c r="P36514" s="42"/>
      <c r="AB36514" s="38"/>
    </row>
    <row r="36515">
      <c r="P36515" s="42"/>
      <c r="AB36515" s="38"/>
    </row>
    <row r="36516">
      <c r="P36516" s="42"/>
      <c r="AB36516" s="38"/>
    </row>
    <row r="36517">
      <c r="P36517" s="42"/>
      <c r="AB36517" s="38"/>
    </row>
    <row r="36518">
      <c r="P36518" s="42"/>
      <c r="AB36518" s="38"/>
    </row>
    <row r="36519">
      <c r="P36519" s="42"/>
      <c r="AB36519" s="38"/>
    </row>
    <row r="36520">
      <c r="P36520" s="42"/>
      <c r="AB36520" s="38"/>
    </row>
    <row r="36521">
      <c r="P36521" s="42"/>
      <c r="AB36521" s="38"/>
    </row>
    <row r="36522">
      <c r="P36522" s="42"/>
      <c r="AB36522" s="38"/>
    </row>
    <row r="36523">
      <c r="P36523" s="42"/>
      <c r="AB36523" s="38"/>
    </row>
    <row r="36524">
      <c r="P36524" s="42"/>
      <c r="AB36524" s="38"/>
    </row>
    <row r="36525">
      <c r="P36525" s="42"/>
      <c r="AB36525" s="38"/>
    </row>
    <row r="36526">
      <c r="P36526" s="42"/>
      <c r="AB36526" s="38"/>
    </row>
    <row r="36527">
      <c r="P36527" s="42"/>
      <c r="AB36527" s="38"/>
    </row>
    <row r="36528">
      <c r="P36528" s="42"/>
      <c r="AB36528" s="38"/>
    </row>
    <row r="36529">
      <c r="P36529" s="42"/>
      <c r="AB36529" s="38"/>
    </row>
    <row r="36530">
      <c r="P36530" s="42"/>
      <c r="AB36530" s="38"/>
    </row>
    <row r="36531">
      <c r="P36531" s="42"/>
      <c r="AB36531" s="38"/>
    </row>
    <row r="36532">
      <c r="P36532" s="42"/>
      <c r="AB36532" s="38"/>
    </row>
    <row r="36533">
      <c r="P36533" s="42"/>
      <c r="AB36533" s="38"/>
    </row>
    <row r="36534">
      <c r="P36534" s="42"/>
      <c r="AB36534" s="38"/>
    </row>
    <row r="36535">
      <c r="P36535" s="42"/>
      <c r="AB36535" s="38"/>
    </row>
    <row r="36536">
      <c r="P36536" s="42"/>
      <c r="AB36536" s="38"/>
    </row>
    <row r="36537">
      <c r="P36537" s="42"/>
      <c r="AB36537" s="38"/>
    </row>
    <row r="36538">
      <c r="P36538" s="42"/>
      <c r="AB36538" s="38"/>
    </row>
    <row r="36539">
      <c r="P36539" s="42"/>
      <c r="AB36539" s="38"/>
    </row>
    <row r="36540">
      <c r="P36540" s="42"/>
      <c r="AB36540" s="38"/>
    </row>
    <row r="36541">
      <c r="P36541" s="42"/>
      <c r="AB36541" s="38"/>
    </row>
    <row r="36542">
      <c r="P36542" s="42"/>
      <c r="AB36542" s="38"/>
    </row>
    <row r="36543">
      <c r="P36543" s="42"/>
      <c r="AB36543" s="38"/>
    </row>
    <row r="36544">
      <c r="P36544" s="42"/>
      <c r="AB36544" s="38"/>
    </row>
    <row r="36545">
      <c r="P36545" s="42"/>
      <c r="AB36545" s="38"/>
    </row>
    <row r="36546">
      <c r="P36546" s="42"/>
      <c r="AB36546" s="38"/>
    </row>
    <row r="36547">
      <c r="P36547" s="42"/>
      <c r="AB36547" s="38"/>
    </row>
    <row r="36548">
      <c r="P36548" s="42"/>
      <c r="AB36548" s="38"/>
    </row>
    <row r="36549">
      <c r="P36549" s="42"/>
      <c r="AB36549" s="38"/>
    </row>
    <row r="36550">
      <c r="P36550" s="42"/>
      <c r="AB36550" s="38"/>
    </row>
    <row r="36551">
      <c r="P36551" s="42"/>
      <c r="AB36551" s="38"/>
    </row>
    <row r="36552">
      <c r="P36552" s="42"/>
      <c r="AB36552" s="38"/>
    </row>
    <row r="36553">
      <c r="P36553" s="42"/>
      <c r="AB36553" s="38"/>
    </row>
    <row r="36554">
      <c r="P36554" s="42"/>
      <c r="AB36554" s="38"/>
    </row>
    <row r="36555">
      <c r="P36555" s="42"/>
      <c r="AB36555" s="38"/>
    </row>
    <row r="36556">
      <c r="P36556" s="42"/>
      <c r="AB36556" s="38"/>
    </row>
    <row r="36557">
      <c r="P36557" s="42"/>
      <c r="AB36557" s="38"/>
    </row>
    <row r="36558">
      <c r="P36558" s="42"/>
      <c r="AB36558" s="38"/>
    </row>
    <row r="36559">
      <c r="P36559" s="42"/>
      <c r="AB36559" s="38"/>
    </row>
    <row r="36560">
      <c r="P36560" s="42"/>
      <c r="AB36560" s="38"/>
    </row>
    <row r="36561">
      <c r="P36561" s="42"/>
      <c r="AB36561" s="38"/>
    </row>
    <row r="36562">
      <c r="P36562" s="42"/>
      <c r="AB36562" s="38"/>
    </row>
    <row r="36563">
      <c r="P36563" s="42"/>
      <c r="AB36563" s="38"/>
    </row>
    <row r="36564">
      <c r="P36564" s="42"/>
      <c r="AB36564" s="38"/>
    </row>
    <row r="36565">
      <c r="P36565" s="42"/>
      <c r="AB36565" s="38"/>
    </row>
    <row r="36566">
      <c r="P36566" s="42"/>
      <c r="AB36566" s="38"/>
    </row>
    <row r="36567">
      <c r="P36567" s="42"/>
      <c r="AB36567" s="38"/>
    </row>
    <row r="36568">
      <c r="P36568" s="42"/>
      <c r="AB36568" s="38"/>
    </row>
    <row r="36569">
      <c r="P36569" s="42"/>
      <c r="AB36569" s="38"/>
    </row>
    <row r="36570">
      <c r="P36570" s="42"/>
      <c r="AB36570" s="38"/>
    </row>
    <row r="36571">
      <c r="P36571" s="42"/>
      <c r="AB36571" s="38"/>
    </row>
    <row r="36572">
      <c r="P36572" s="42"/>
      <c r="AB36572" s="38"/>
    </row>
    <row r="36573">
      <c r="P36573" s="42"/>
      <c r="AB36573" s="38"/>
    </row>
    <row r="36574">
      <c r="P36574" s="42"/>
      <c r="AB36574" s="38"/>
    </row>
    <row r="36575">
      <c r="P36575" s="42"/>
      <c r="AB36575" s="38"/>
    </row>
    <row r="36576">
      <c r="P36576" s="42"/>
      <c r="AB36576" s="38"/>
    </row>
    <row r="36577">
      <c r="P36577" s="42"/>
      <c r="AB36577" s="38"/>
    </row>
    <row r="36578">
      <c r="P36578" s="42"/>
      <c r="AB36578" s="38"/>
    </row>
    <row r="36579">
      <c r="P36579" s="42"/>
      <c r="AB36579" s="38"/>
    </row>
    <row r="36580">
      <c r="P36580" s="42"/>
      <c r="AB36580" s="38"/>
    </row>
    <row r="36581">
      <c r="P36581" s="42"/>
      <c r="AB36581" s="38"/>
    </row>
    <row r="36582">
      <c r="P36582" s="42"/>
      <c r="AB36582" s="38"/>
    </row>
    <row r="36583">
      <c r="P36583" s="42"/>
      <c r="AB36583" s="38"/>
    </row>
    <row r="36584">
      <c r="P36584" s="42"/>
      <c r="AB36584" s="38"/>
    </row>
    <row r="36585">
      <c r="P36585" s="42"/>
      <c r="AB36585" s="38"/>
    </row>
    <row r="36586">
      <c r="P36586" s="42"/>
      <c r="AB36586" s="38"/>
    </row>
    <row r="36587">
      <c r="P36587" s="42"/>
      <c r="AB36587" s="38"/>
    </row>
    <row r="36588">
      <c r="P36588" s="42"/>
      <c r="AB36588" s="38"/>
    </row>
    <row r="36589">
      <c r="P36589" s="42"/>
      <c r="AB36589" s="38"/>
    </row>
    <row r="36590">
      <c r="P36590" s="42"/>
      <c r="AB36590" s="38"/>
    </row>
    <row r="36591">
      <c r="P36591" s="42"/>
      <c r="AB36591" s="38"/>
    </row>
    <row r="36592">
      <c r="P36592" s="42"/>
      <c r="AB36592" s="38"/>
    </row>
    <row r="36593">
      <c r="P36593" s="42"/>
      <c r="AB36593" s="38"/>
    </row>
    <row r="36594">
      <c r="P36594" s="42"/>
      <c r="AB36594" s="38"/>
    </row>
    <row r="36595">
      <c r="P36595" s="42"/>
      <c r="AB36595" s="38"/>
    </row>
    <row r="36596">
      <c r="P36596" s="42"/>
      <c r="AB36596" s="38"/>
    </row>
    <row r="36597">
      <c r="P36597" s="42"/>
      <c r="AB36597" s="38"/>
    </row>
    <row r="36598">
      <c r="P36598" s="42"/>
      <c r="AB36598" s="38"/>
    </row>
    <row r="36599">
      <c r="P36599" s="42"/>
      <c r="AB36599" s="38"/>
    </row>
    <row r="36600">
      <c r="P36600" s="42"/>
      <c r="AB36600" s="38"/>
    </row>
    <row r="36601">
      <c r="P36601" s="42"/>
      <c r="AB36601" s="38"/>
    </row>
    <row r="36602">
      <c r="P36602" s="42"/>
      <c r="AB36602" s="38"/>
    </row>
    <row r="36603">
      <c r="P36603" s="42"/>
      <c r="AB36603" s="38"/>
    </row>
    <row r="36604">
      <c r="P36604" s="42"/>
      <c r="AB36604" s="38"/>
    </row>
    <row r="36605">
      <c r="P36605" s="42"/>
      <c r="AB36605" s="38"/>
    </row>
    <row r="36606">
      <c r="P36606" s="42"/>
      <c r="AB36606" s="38"/>
    </row>
    <row r="36607">
      <c r="P36607" s="42"/>
      <c r="AB36607" s="38"/>
    </row>
    <row r="36608">
      <c r="P36608" s="42"/>
      <c r="AB36608" s="38"/>
    </row>
    <row r="36609">
      <c r="P36609" s="42"/>
      <c r="AB36609" s="38"/>
    </row>
    <row r="36610">
      <c r="P36610" s="42"/>
      <c r="AB36610" s="38"/>
    </row>
    <row r="36611">
      <c r="P36611" s="42"/>
      <c r="AB36611" s="38"/>
    </row>
    <row r="36612">
      <c r="P36612" s="42"/>
      <c r="AB36612" s="38"/>
    </row>
    <row r="36613">
      <c r="P36613" s="42"/>
      <c r="AB36613" s="38"/>
    </row>
    <row r="36614">
      <c r="P36614" s="42"/>
      <c r="AB36614" s="38"/>
    </row>
    <row r="36615">
      <c r="P36615" s="42"/>
      <c r="AB36615" s="38"/>
    </row>
    <row r="36616">
      <c r="P36616" s="42"/>
      <c r="AB36616" s="38"/>
    </row>
    <row r="36617">
      <c r="P36617" s="42"/>
      <c r="AB36617" s="38"/>
    </row>
    <row r="36618">
      <c r="P36618" s="42"/>
      <c r="AB36618" s="38"/>
    </row>
    <row r="36619">
      <c r="P36619" s="42"/>
      <c r="AB36619" s="38"/>
    </row>
    <row r="36620">
      <c r="P36620" s="42"/>
      <c r="AB36620" s="38"/>
    </row>
    <row r="36621">
      <c r="P36621" s="42"/>
      <c r="AB36621" s="38"/>
    </row>
    <row r="36622">
      <c r="P36622" s="42"/>
      <c r="AB36622" s="38"/>
    </row>
    <row r="36623">
      <c r="P36623" s="42"/>
      <c r="AB36623" s="38"/>
    </row>
    <row r="36624">
      <c r="P36624" s="42"/>
      <c r="AB36624" s="38"/>
    </row>
    <row r="36625">
      <c r="P36625" s="42"/>
      <c r="AB36625" s="38"/>
    </row>
    <row r="36626">
      <c r="P36626" s="42"/>
      <c r="AB36626" s="38"/>
    </row>
    <row r="36627">
      <c r="P36627" s="42"/>
      <c r="AB36627" s="38"/>
    </row>
    <row r="36628">
      <c r="P36628" s="42"/>
      <c r="AB36628" s="38"/>
    </row>
    <row r="36629">
      <c r="P36629" s="42"/>
      <c r="AB36629" s="38"/>
    </row>
    <row r="36630">
      <c r="P36630" s="42"/>
      <c r="AB36630" s="38"/>
    </row>
    <row r="36631">
      <c r="P36631" s="42"/>
      <c r="AB36631" s="38"/>
    </row>
    <row r="36632">
      <c r="P36632" s="42"/>
      <c r="AB36632" s="38"/>
    </row>
    <row r="36633">
      <c r="P36633" s="42"/>
      <c r="AB36633" s="38"/>
    </row>
    <row r="36634">
      <c r="P36634" s="42"/>
      <c r="AB36634" s="38"/>
    </row>
    <row r="36635">
      <c r="P36635" s="42"/>
      <c r="AB36635" s="38"/>
    </row>
    <row r="36636">
      <c r="P36636" s="42"/>
      <c r="AB36636" s="38"/>
    </row>
    <row r="36637">
      <c r="P36637" s="42"/>
      <c r="AB36637" s="38"/>
    </row>
    <row r="36638">
      <c r="P36638" s="42"/>
      <c r="AB36638" s="38"/>
    </row>
    <row r="36639">
      <c r="P36639" s="42"/>
      <c r="AB36639" s="38"/>
    </row>
    <row r="36640">
      <c r="P36640" s="42"/>
      <c r="AB36640" s="38"/>
    </row>
    <row r="36641">
      <c r="P36641" s="42"/>
      <c r="AB36641" s="38"/>
    </row>
    <row r="36642">
      <c r="P36642" s="42"/>
      <c r="AB36642" s="38"/>
    </row>
    <row r="36643">
      <c r="P36643" s="42"/>
      <c r="AB36643" s="38"/>
    </row>
    <row r="36644">
      <c r="P36644" s="42"/>
      <c r="AB36644" s="38"/>
    </row>
    <row r="36645">
      <c r="P36645" s="42"/>
      <c r="AB36645" s="38"/>
    </row>
    <row r="36646">
      <c r="P36646" s="42"/>
      <c r="AB36646" s="38"/>
    </row>
    <row r="36647">
      <c r="P36647" s="42"/>
      <c r="AB36647" s="38"/>
    </row>
    <row r="36648">
      <c r="P36648" s="42"/>
      <c r="AB36648" s="38"/>
    </row>
    <row r="36649">
      <c r="P36649" s="42"/>
      <c r="AB36649" s="38"/>
    </row>
    <row r="36650">
      <c r="P36650" s="42"/>
      <c r="AB36650" s="38"/>
    </row>
    <row r="36651">
      <c r="P36651" s="42"/>
      <c r="AB36651" s="38"/>
    </row>
    <row r="36652">
      <c r="P36652" s="42"/>
      <c r="AB36652" s="38"/>
    </row>
    <row r="36653">
      <c r="P36653" s="42"/>
      <c r="AB36653" s="38"/>
    </row>
    <row r="36654">
      <c r="P36654" s="42"/>
      <c r="AB36654" s="38"/>
    </row>
    <row r="36655">
      <c r="P36655" s="42"/>
      <c r="AB36655" s="38"/>
    </row>
    <row r="36656">
      <c r="P36656" s="42"/>
      <c r="AB36656" s="38"/>
    </row>
    <row r="36657">
      <c r="P36657" s="42"/>
      <c r="AB36657" s="38"/>
    </row>
    <row r="36658">
      <c r="P36658" s="42"/>
      <c r="AB36658" s="38"/>
    </row>
    <row r="36659">
      <c r="P36659" s="42"/>
      <c r="AB36659" s="38"/>
    </row>
    <row r="36660">
      <c r="P36660" s="42"/>
      <c r="AB36660" s="38"/>
    </row>
    <row r="36661">
      <c r="P36661" s="42"/>
      <c r="AB36661" s="38"/>
    </row>
    <row r="36662">
      <c r="P36662" s="42"/>
      <c r="AB36662" s="38"/>
    </row>
    <row r="36663">
      <c r="P36663" s="42"/>
      <c r="AB36663" s="38"/>
    </row>
    <row r="36664">
      <c r="P36664" s="42"/>
      <c r="AB36664" s="38"/>
    </row>
    <row r="36665">
      <c r="P36665" s="42"/>
      <c r="AB36665" s="38"/>
    </row>
    <row r="36666">
      <c r="P36666" s="42"/>
      <c r="AB36666" s="38"/>
    </row>
    <row r="36667">
      <c r="P36667" s="42"/>
      <c r="AB36667" s="38"/>
    </row>
    <row r="36668">
      <c r="P36668" s="42"/>
      <c r="AB36668" s="38"/>
    </row>
    <row r="36669">
      <c r="P36669" s="42"/>
      <c r="AB36669" s="38"/>
    </row>
    <row r="36670">
      <c r="P36670" s="42"/>
      <c r="AB36670" s="38"/>
    </row>
    <row r="36671">
      <c r="P36671" s="42"/>
      <c r="AB36671" s="38"/>
    </row>
    <row r="36672">
      <c r="P36672" s="42"/>
      <c r="AB36672" s="38"/>
    </row>
    <row r="36673">
      <c r="P36673" s="42"/>
      <c r="AB36673" s="38"/>
    </row>
    <row r="36674">
      <c r="P36674" s="42"/>
      <c r="AB36674" s="38"/>
    </row>
    <row r="36675">
      <c r="P36675" s="42"/>
      <c r="AB36675" s="38"/>
    </row>
    <row r="36676">
      <c r="P36676" s="42"/>
      <c r="AB36676" s="38"/>
    </row>
    <row r="36677">
      <c r="P36677" s="42"/>
      <c r="AB36677" s="38"/>
    </row>
    <row r="36678">
      <c r="P36678" s="42"/>
      <c r="AB36678" s="38"/>
    </row>
    <row r="36679">
      <c r="P36679" s="42"/>
      <c r="AB36679" s="38"/>
    </row>
    <row r="36680">
      <c r="P36680" s="42"/>
      <c r="AB36680" s="38"/>
    </row>
    <row r="36681">
      <c r="P36681" s="42"/>
      <c r="AB36681" s="38"/>
    </row>
    <row r="36682">
      <c r="P36682" s="42"/>
      <c r="AB36682" s="38"/>
    </row>
    <row r="36683">
      <c r="P36683" s="42"/>
      <c r="AB36683" s="38"/>
    </row>
    <row r="36684">
      <c r="P36684" s="42"/>
      <c r="AB36684" s="38"/>
    </row>
    <row r="36685">
      <c r="P36685" s="42"/>
      <c r="AB36685" s="38"/>
    </row>
    <row r="36686">
      <c r="P36686" s="42"/>
      <c r="AB36686" s="38"/>
    </row>
    <row r="36687">
      <c r="P36687" s="42"/>
      <c r="AB36687" s="38"/>
    </row>
    <row r="36688">
      <c r="P36688" s="42"/>
      <c r="AB36688" s="38"/>
    </row>
    <row r="36689">
      <c r="P36689" s="42"/>
      <c r="AB36689" s="38"/>
    </row>
    <row r="36690">
      <c r="P36690" s="42"/>
      <c r="AB36690" s="38"/>
    </row>
    <row r="36691">
      <c r="P36691" s="42"/>
      <c r="AB36691" s="38"/>
    </row>
    <row r="36692">
      <c r="P36692" s="42"/>
      <c r="AB36692" s="38"/>
    </row>
    <row r="36693">
      <c r="P36693" s="42"/>
      <c r="AB36693" s="38"/>
    </row>
    <row r="36694">
      <c r="P36694" s="42"/>
      <c r="AB36694" s="38"/>
    </row>
    <row r="36695">
      <c r="P36695" s="42"/>
      <c r="AB36695" s="38"/>
    </row>
    <row r="36696">
      <c r="P36696" s="42"/>
      <c r="AB36696" s="38"/>
    </row>
    <row r="36697">
      <c r="P36697" s="42"/>
      <c r="AB36697" s="38"/>
    </row>
    <row r="36698">
      <c r="P36698" s="42"/>
      <c r="AB36698" s="38"/>
    </row>
    <row r="36699">
      <c r="P36699" s="42"/>
      <c r="AB36699" s="38"/>
    </row>
    <row r="36700">
      <c r="P36700" s="42"/>
      <c r="AB36700" s="38"/>
    </row>
    <row r="36701">
      <c r="P36701" s="42"/>
      <c r="AB36701" s="38"/>
    </row>
    <row r="36702">
      <c r="P36702" s="42"/>
      <c r="AB36702" s="38"/>
    </row>
    <row r="36703">
      <c r="P36703" s="42"/>
      <c r="AB36703" s="38"/>
    </row>
    <row r="36704">
      <c r="P36704" s="42"/>
      <c r="AB36704" s="38"/>
    </row>
    <row r="36705">
      <c r="P36705" s="42"/>
      <c r="AB36705" s="38"/>
    </row>
    <row r="36706">
      <c r="P36706" s="42"/>
      <c r="AB36706" s="38"/>
    </row>
    <row r="36707">
      <c r="P36707" s="42"/>
      <c r="AB36707" s="38"/>
    </row>
    <row r="36708">
      <c r="P36708" s="42"/>
      <c r="AB36708" s="38"/>
    </row>
    <row r="36709">
      <c r="P36709" s="42"/>
      <c r="AB36709" s="38"/>
    </row>
    <row r="36710">
      <c r="P36710" s="42"/>
      <c r="AB36710" s="38"/>
    </row>
    <row r="36711">
      <c r="P36711" s="42"/>
      <c r="AB36711" s="38"/>
    </row>
    <row r="36712">
      <c r="P36712" s="42"/>
      <c r="AB36712" s="38"/>
    </row>
    <row r="36713">
      <c r="P36713" s="42"/>
      <c r="AB36713" s="38"/>
    </row>
    <row r="36714">
      <c r="P36714" s="42"/>
      <c r="AB36714" s="38"/>
    </row>
    <row r="36715">
      <c r="P36715" s="42"/>
      <c r="AB36715" s="38"/>
    </row>
    <row r="36716">
      <c r="P36716" s="42"/>
      <c r="AB36716" s="38"/>
    </row>
    <row r="36717">
      <c r="P36717" s="42"/>
      <c r="AB36717" s="38"/>
    </row>
    <row r="36718">
      <c r="P36718" s="42"/>
      <c r="AB36718" s="38"/>
    </row>
    <row r="36719">
      <c r="P36719" s="42"/>
      <c r="AB36719" s="38"/>
    </row>
    <row r="36720">
      <c r="P36720" s="42"/>
      <c r="AB36720" s="38"/>
    </row>
    <row r="36721">
      <c r="P36721" s="42"/>
      <c r="AB36721" s="38"/>
    </row>
    <row r="36722">
      <c r="P36722" s="42"/>
      <c r="AB36722" s="38"/>
    </row>
    <row r="36723">
      <c r="P36723" s="42"/>
      <c r="AB36723" s="38"/>
    </row>
    <row r="36724">
      <c r="P36724" s="42"/>
      <c r="AB36724" s="38"/>
    </row>
    <row r="36725">
      <c r="P36725" s="42"/>
      <c r="AB36725" s="38"/>
    </row>
    <row r="36726">
      <c r="P36726" s="42"/>
      <c r="AB36726" s="38"/>
    </row>
    <row r="36727">
      <c r="P36727" s="42"/>
      <c r="AB36727" s="38"/>
    </row>
    <row r="36728">
      <c r="P36728" s="42"/>
      <c r="AB36728" s="38"/>
    </row>
    <row r="36729">
      <c r="P36729" s="42"/>
      <c r="AB36729" s="38"/>
    </row>
    <row r="36730">
      <c r="P36730" s="42"/>
      <c r="AB36730" s="38"/>
    </row>
    <row r="36731">
      <c r="P36731" s="42"/>
      <c r="AB36731" s="38"/>
    </row>
    <row r="36732">
      <c r="P36732" s="42"/>
      <c r="AB36732" s="38"/>
    </row>
    <row r="36733">
      <c r="P36733" s="42"/>
      <c r="AB36733" s="38"/>
    </row>
    <row r="36734">
      <c r="P36734" s="42"/>
      <c r="AB36734" s="38"/>
    </row>
    <row r="36735">
      <c r="P36735" s="42"/>
      <c r="AB36735" s="38"/>
    </row>
    <row r="36736">
      <c r="P36736" s="42"/>
      <c r="AB36736" s="38"/>
    </row>
    <row r="36737">
      <c r="P36737" s="42"/>
      <c r="AB36737" s="38"/>
    </row>
    <row r="36738">
      <c r="P36738" s="42"/>
      <c r="AB36738" s="38"/>
    </row>
    <row r="36739">
      <c r="P36739" s="42"/>
      <c r="AB36739" s="38"/>
    </row>
    <row r="36740">
      <c r="P36740" s="42"/>
      <c r="AB36740" s="38"/>
    </row>
    <row r="36741">
      <c r="P36741" s="42"/>
      <c r="AB36741" s="38"/>
    </row>
    <row r="36742">
      <c r="P36742" s="42"/>
      <c r="AB36742" s="38"/>
    </row>
    <row r="36743">
      <c r="P36743" s="42"/>
      <c r="AB36743" s="38"/>
    </row>
    <row r="36744">
      <c r="P36744" s="42"/>
      <c r="AB36744" s="38"/>
    </row>
    <row r="36745">
      <c r="P36745" s="42"/>
      <c r="AB36745" s="38"/>
    </row>
    <row r="36746">
      <c r="P36746" s="42"/>
      <c r="AB36746" s="38"/>
    </row>
    <row r="36747">
      <c r="P36747" s="42"/>
      <c r="AB36747" s="38"/>
    </row>
    <row r="36748">
      <c r="P36748" s="42"/>
      <c r="AB36748" s="38"/>
    </row>
    <row r="36749">
      <c r="P36749" s="42"/>
      <c r="AB36749" s="38"/>
    </row>
    <row r="36750">
      <c r="P36750" s="42"/>
      <c r="AB36750" s="38"/>
    </row>
    <row r="36751">
      <c r="P36751" s="42"/>
      <c r="AB36751" s="38"/>
    </row>
    <row r="36752">
      <c r="P36752" s="42"/>
      <c r="AB36752" s="38"/>
    </row>
    <row r="36753">
      <c r="P36753" s="42"/>
      <c r="AB36753" s="38"/>
    </row>
    <row r="36754">
      <c r="P36754" s="42"/>
      <c r="AB36754" s="38"/>
    </row>
    <row r="36755">
      <c r="P36755" s="42"/>
      <c r="AB36755" s="38"/>
    </row>
    <row r="36756">
      <c r="P36756" s="42"/>
      <c r="AB36756" s="38"/>
    </row>
    <row r="36757">
      <c r="P36757" s="42"/>
      <c r="AB36757" s="38"/>
    </row>
    <row r="36758">
      <c r="P36758" s="42"/>
      <c r="AB36758" s="38"/>
    </row>
    <row r="36759">
      <c r="P36759" s="42"/>
      <c r="AB36759" s="38"/>
    </row>
    <row r="36760">
      <c r="P36760" s="42"/>
      <c r="AB36760" s="38"/>
    </row>
    <row r="36761">
      <c r="P36761" s="42"/>
      <c r="AB36761" s="38"/>
    </row>
    <row r="36762">
      <c r="P36762" s="42"/>
      <c r="AB36762" s="38"/>
    </row>
    <row r="36763">
      <c r="P36763" s="42"/>
      <c r="AB36763" s="38"/>
    </row>
    <row r="36764">
      <c r="P36764" s="42"/>
      <c r="AB36764" s="38"/>
    </row>
    <row r="36765">
      <c r="P36765" s="42"/>
      <c r="AB36765" s="38"/>
    </row>
    <row r="36766">
      <c r="P36766" s="42"/>
      <c r="AB36766" s="38"/>
    </row>
    <row r="36767">
      <c r="P36767" s="42"/>
      <c r="AB36767" s="38"/>
    </row>
    <row r="36768">
      <c r="P36768" s="42"/>
      <c r="AB36768" s="38"/>
    </row>
    <row r="36769">
      <c r="P36769" s="42"/>
      <c r="AB36769" s="38"/>
    </row>
    <row r="36770">
      <c r="P36770" s="42"/>
      <c r="AB36770" s="38"/>
    </row>
    <row r="36771">
      <c r="P36771" s="42"/>
      <c r="AB36771" s="38"/>
    </row>
    <row r="36772">
      <c r="P36772" s="42"/>
      <c r="AB36772" s="38"/>
    </row>
    <row r="36773">
      <c r="P36773" s="42"/>
      <c r="AB36773" s="38"/>
    </row>
    <row r="36774">
      <c r="P36774" s="42"/>
      <c r="AB36774" s="38"/>
    </row>
    <row r="36775">
      <c r="P36775" s="42"/>
      <c r="AB36775" s="38"/>
    </row>
    <row r="36776">
      <c r="P36776" s="42"/>
      <c r="AB36776" s="38"/>
    </row>
    <row r="36777">
      <c r="P36777" s="42"/>
      <c r="AB36777" s="38"/>
    </row>
    <row r="36778">
      <c r="P36778" s="42"/>
      <c r="AB36778" s="38"/>
    </row>
    <row r="36779">
      <c r="P36779" s="42"/>
      <c r="AB36779" s="38"/>
    </row>
    <row r="36780">
      <c r="P36780" s="42"/>
      <c r="AB36780" s="38"/>
    </row>
    <row r="36781">
      <c r="P36781" s="42"/>
      <c r="AB36781" s="38"/>
    </row>
    <row r="36782">
      <c r="P36782" s="42"/>
      <c r="AB36782" s="38"/>
    </row>
    <row r="36783">
      <c r="P36783" s="42"/>
      <c r="AB36783" s="38"/>
    </row>
    <row r="36784">
      <c r="P36784" s="42"/>
      <c r="AB36784" s="38"/>
    </row>
    <row r="36785">
      <c r="P36785" s="42"/>
      <c r="AB36785" s="38"/>
    </row>
    <row r="36786">
      <c r="P36786" s="42"/>
      <c r="AB36786" s="38"/>
    </row>
    <row r="36787">
      <c r="P36787" s="42"/>
      <c r="AB36787" s="38"/>
    </row>
    <row r="36788">
      <c r="P36788" s="42"/>
      <c r="AB36788" s="38"/>
    </row>
    <row r="36789">
      <c r="P36789" s="42"/>
      <c r="AB36789" s="38"/>
    </row>
    <row r="36790">
      <c r="P36790" s="42"/>
      <c r="AB36790" s="38"/>
    </row>
    <row r="36791">
      <c r="P36791" s="42"/>
      <c r="AB36791" s="38"/>
    </row>
    <row r="36792">
      <c r="P36792" s="42"/>
      <c r="AB36792" s="38"/>
    </row>
    <row r="36793">
      <c r="P36793" s="42"/>
      <c r="AB36793" s="38"/>
    </row>
    <row r="36794">
      <c r="P36794" s="42"/>
      <c r="AB36794" s="38"/>
    </row>
    <row r="36795">
      <c r="P36795" s="42"/>
      <c r="AB36795" s="38"/>
    </row>
    <row r="36796">
      <c r="P36796" s="42"/>
      <c r="AB36796" s="38"/>
    </row>
    <row r="36797">
      <c r="P36797" s="42"/>
      <c r="AB36797" s="38"/>
    </row>
    <row r="36798">
      <c r="P36798" s="42"/>
      <c r="AB36798" s="38"/>
    </row>
    <row r="36799">
      <c r="P36799" s="42"/>
      <c r="AB36799" s="38"/>
    </row>
    <row r="36800">
      <c r="P36800" s="42"/>
      <c r="AB36800" s="38"/>
    </row>
    <row r="36801">
      <c r="P36801" s="42"/>
      <c r="AB36801" s="38"/>
    </row>
    <row r="36802">
      <c r="P36802" s="42"/>
      <c r="AB36802" s="38"/>
    </row>
    <row r="36803">
      <c r="P36803" s="42"/>
      <c r="AB36803" s="38"/>
    </row>
    <row r="36804">
      <c r="P36804" s="42"/>
      <c r="AB36804" s="38"/>
    </row>
    <row r="36805">
      <c r="P36805" s="42"/>
      <c r="AB36805" s="38"/>
    </row>
    <row r="36806">
      <c r="P36806" s="42"/>
      <c r="AB36806" s="38"/>
    </row>
    <row r="36807">
      <c r="P36807" s="42"/>
      <c r="AB36807" s="38"/>
    </row>
    <row r="36808">
      <c r="P36808" s="42"/>
      <c r="AB36808" s="38"/>
    </row>
    <row r="36809">
      <c r="P36809" s="42"/>
      <c r="AB36809" s="38"/>
    </row>
    <row r="36810">
      <c r="P36810" s="42"/>
      <c r="AB36810" s="38"/>
    </row>
    <row r="36811">
      <c r="P36811" s="42"/>
      <c r="AB36811" s="38"/>
    </row>
    <row r="36812">
      <c r="P36812" s="42"/>
      <c r="AB36812" s="38"/>
    </row>
    <row r="36813">
      <c r="P36813" s="42"/>
      <c r="AB36813" s="38"/>
    </row>
    <row r="36814">
      <c r="P36814" s="42"/>
      <c r="AB36814" s="38"/>
    </row>
    <row r="36815">
      <c r="P36815" s="42"/>
      <c r="AB36815" s="38"/>
    </row>
    <row r="36816">
      <c r="P36816" s="42"/>
      <c r="AB36816" s="38"/>
    </row>
    <row r="36817">
      <c r="P36817" s="42"/>
      <c r="AB36817" s="38"/>
    </row>
    <row r="36818">
      <c r="P36818" s="42"/>
      <c r="AB36818" s="38"/>
    </row>
    <row r="36819">
      <c r="P36819" s="42"/>
      <c r="AB36819" s="38"/>
    </row>
    <row r="36820">
      <c r="P36820" s="42"/>
      <c r="AB36820" s="38"/>
    </row>
    <row r="36821">
      <c r="P36821" s="42"/>
      <c r="AB36821" s="38"/>
    </row>
    <row r="36822">
      <c r="P36822" s="42"/>
      <c r="AB36822" s="38"/>
    </row>
    <row r="36823">
      <c r="P36823" s="42"/>
      <c r="AB36823" s="38"/>
    </row>
    <row r="36824">
      <c r="P36824" s="42"/>
      <c r="AB36824" s="38"/>
    </row>
    <row r="36825">
      <c r="P36825" s="42"/>
      <c r="AB36825" s="38"/>
    </row>
    <row r="36826">
      <c r="P36826" s="42"/>
      <c r="AB36826" s="38"/>
    </row>
    <row r="36827">
      <c r="P36827" s="42"/>
      <c r="AB36827" s="38"/>
    </row>
    <row r="36828">
      <c r="P36828" s="42"/>
      <c r="AB36828" s="38"/>
    </row>
    <row r="36829">
      <c r="P36829" s="42"/>
      <c r="AB36829" s="38"/>
    </row>
    <row r="36830">
      <c r="P36830" s="42"/>
      <c r="AB36830" s="38"/>
    </row>
    <row r="36831">
      <c r="P36831" s="42"/>
      <c r="AB36831" s="38"/>
    </row>
    <row r="36832">
      <c r="P36832" s="42"/>
      <c r="AB36832" s="38"/>
    </row>
    <row r="36833">
      <c r="P36833" s="42"/>
      <c r="AB36833" s="38"/>
    </row>
    <row r="36834">
      <c r="P36834" s="42"/>
      <c r="AB36834" s="38"/>
    </row>
    <row r="36835">
      <c r="P36835" s="42"/>
      <c r="AB36835" s="38"/>
    </row>
    <row r="36836">
      <c r="P36836" s="42"/>
      <c r="AB36836" s="38"/>
    </row>
    <row r="36837">
      <c r="P36837" s="42"/>
      <c r="AB36837" s="38"/>
    </row>
    <row r="36838">
      <c r="P36838" s="42"/>
      <c r="AB36838" s="38"/>
    </row>
    <row r="36839">
      <c r="P36839" s="42"/>
      <c r="AB36839" s="38"/>
    </row>
    <row r="36840">
      <c r="P36840" s="42"/>
      <c r="AB36840" s="38"/>
    </row>
    <row r="36841">
      <c r="P36841" s="42"/>
      <c r="AB36841" s="38"/>
    </row>
    <row r="36842">
      <c r="P36842" s="42"/>
      <c r="AB36842" s="38"/>
    </row>
    <row r="36843">
      <c r="P36843" s="42"/>
      <c r="AB36843" s="38"/>
    </row>
    <row r="36844">
      <c r="P36844" s="42"/>
      <c r="AB36844" s="38"/>
    </row>
    <row r="36845">
      <c r="P36845" s="42"/>
      <c r="AB36845" s="38"/>
    </row>
    <row r="36846">
      <c r="P36846" s="42"/>
      <c r="AB36846" s="38"/>
    </row>
    <row r="36847">
      <c r="P36847" s="42"/>
      <c r="AB36847" s="38"/>
    </row>
    <row r="36848">
      <c r="P36848" s="42"/>
      <c r="AB36848" s="38"/>
    </row>
    <row r="36849">
      <c r="P36849" s="42"/>
      <c r="AB36849" s="38"/>
    </row>
    <row r="36850">
      <c r="P36850" s="42"/>
      <c r="AB36850" s="38"/>
    </row>
    <row r="36851">
      <c r="P36851" s="42"/>
      <c r="AB36851" s="38"/>
    </row>
    <row r="36852">
      <c r="P36852" s="42"/>
      <c r="AB36852" s="38"/>
    </row>
    <row r="36853">
      <c r="P36853" s="42"/>
      <c r="AB36853" s="38"/>
    </row>
    <row r="36854">
      <c r="P36854" s="42"/>
      <c r="AB36854" s="38"/>
    </row>
    <row r="36855">
      <c r="P36855" s="42"/>
      <c r="AB36855" s="38"/>
    </row>
    <row r="36856">
      <c r="P36856" s="42"/>
      <c r="AB36856" s="38"/>
    </row>
    <row r="36857">
      <c r="P36857" s="42"/>
      <c r="AB36857" s="38"/>
    </row>
    <row r="36858">
      <c r="P36858" s="42"/>
      <c r="AB36858" s="38"/>
    </row>
    <row r="36859">
      <c r="P36859" s="42"/>
      <c r="AB36859" s="38"/>
    </row>
    <row r="36860">
      <c r="P36860" s="42"/>
      <c r="AB36860" s="38"/>
    </row>
    <row r="36861">
      <c r="P36861" s="42"/>
      <c r="AB36861" s="38"/>
    </row>
    <row r="36862">
      <c r="P36862" s="42"/>
      <c r="AB36862" s="38"/>
    </row>
    <row r="36863">
      <c r="P36863" s="42"/>
      <c r="AB36863" s="38"/>
    </row>
    <row r="36864">
      <c r="P36864" s="42"/>
      <c r="AB36864" s="38"/>
    </row>
    <row r="36865">
      <c r="P36865" s="42"/>
      <c r="AB36865" s="38"/>
    </row>
    <row r="36866">
      <c r="P36866" s="42"/>
      <c r="AB36866" s="38"/>
    </row>
    <row r="36867">
      <c r="P36867" s="42"/>
      <c r="AB36867" s="38"/>
    </row>
    <row r="36868">
      <c r="P36868" s="42"/>
      <c r="AB36868" s="38"/>
    </row>
    <row r="36869">
      <c r="P36869" s="42"/>
      <c r="AB36869" s="38"/>
    </row>
    <row r="36870">
      <c r="P36870" s="42"/>
      <c r="AB36870" s="38"/>
    </row>
    <row r="36871">
      <c r="P36871" s="42"/>
      <c r="AB36871" s="38"/>
    </row>
    <row r="36872">
      <c r="P36872" s="42"/>
      <c r="AB36872" s="38"/>
    </row>
    <row r="36873">
      <c r="P36873" s="42"/>
      <c r="AB36873" s="38"/>
    </row>
    <row r="36874">
      <c r="P36874" s="42"/>
      <c r="AB36874" s="38"/>
    </row>
    <row r="36875">
      <c r="P36875" s="42"/>
      <c r="AB36875" s="38"/>
    </row>
    <row r="36876">
      <c r="P36876" s="42"/>
      <c r="AB36876" s="38"/>
    </row>
    <row r="36877">
      <c r="P36877" s="42"/>
      <c r="AB36877" s="38"/>
    </row>
    <row r="36878">
      <c r="P36878" s="42"/>
      <c r="AB36878" s="38"/>
    </row>
    <row r="36879">
      <c r="P36879" s="42"/>
      <c r="AB36879" s="38"/>
    </row>
    <row r="36880">
      <c r="P36880" s="42"/>
      <c r="AB36880" s="38"/>
    </row>
    <row r="36881">
      <c r="P36881" s="42"/>
      <c r="AB36881" s="38"/>
    </row>
    <row r="36882">
      <c r="P36882" s="42"/>
      <c r="AB36882" s="38"/>
    </row>
    <row r="36883">
      <c r="P36883" s="42"/>
      <c r="AB36883" s="38"/>
    </row>
    <row r="36884">
      <c r="P36884" s="42"/>
      <c r="AB36884" s="38"/>
    </row>
    <row r="36885">
      <c r="P36885" s="42"/>
      <c r="AB36885" s="38"/>
    </row>
    <row r="36886">
      <c r="P36886" s="42"/>
      <c r="AB36886" s="38"/>
    </row>
    <row r="36887">
      <c r="P36887" s="42"/>
      <c r="AB36887" s="38"/>
    </row>
    <row r="36888">
      <c r="P36888" s="42"/>
      <c r="AB36888" s="38"/>
    </row>
    <row r="36889">
      <c r="P36889" s="42"/>
      <c r="AB36889" s="38"/>
    </row>
    <row r="36890">
      <c r="P36890" s="42"/>
      <c r="AB36890" s="38"/>
    </row>
    <row r="36891">
      <c r="P36891" s="42"/>
      <c r="AB36891" s="38"/>
    </row>
    <row r="36892">
      <c r="P36892" s="42"/>
      <c r="AB36892" s="38"/>
    </row>
    <row r="36893">
      <c r="P36893" s="42"/>
      <c r="AB36893" s="38"/>
    </row>
    <row r="36894">
      <c r="P36894" s="42"/>
      <c r="AB36894" s="38"/>
    </row>
    <row r="36895">
      <c r="P36895" s="42"/>
      <c r="AB36895" s="38"/>
    </row>
    <row r="36896">
      <c r="P36896" s="42"/>
      <c r="AB36896" s="38"/>
    </row>
    <row r="36897">
      <c r="P36897" s="42"/>
      <c r="AB36897" s="38"/>
    </row>
    <row r="36898">
      <c r="P36898" s="42"/>
      <c r="AB36898" s="38"/>
    </row>
    <row r="36899">
      <c r="P36899" s="42"/>
      <c r="AB36899" s="38"/>
    </row>
    <row r="36900">
      <c r="P36900" s="42"/>
      <c r="AB36900" s="38"/>
    </row>
    <row r="36901">
      <c r="P36901" s="42"/>
      <c r="AB36901" s="38"/>
    </row>
    <row r="36902">
      <c r="P36902" s="42"/>
      <c r="AB36902" s="38"/>
    </row>
    <row r="36903">
      <c r="P36903" s="42"/>
      <c r="AB36903" s="38"/>
    </row>
    <row r="36904">
      <c r="P36904" s="42"/>
      <c r="AB36904" s="38"/>
    </row>
    <row r="36905">
      <c r="P36905" s="42"/>
      <c r="AB36905" s="38"/>
    </row>
    <row r="36906">
      <c r="P36906" s="42"/>
      <c r="AB36906" s="38"/>
    </row>
    <row r="36907">
      <c r="P36907" s="42"/>
      <c r="AB36907" s="38"/>
    </row>
    <row r="36908">
      <c r="P36908" s="42"/>
      <c r="AB36908" s="38"/>
    </row>
    <row r="36909">
      <c r="P36909" s="42"/>
      <c r="AB36909" s="38"/>
    </row>
    <row r="36910">
      <c r="P36910" s="42"/>
      <c r="AB36910" s="38"/>
    </row>
    <row r="36911">
      <c r="P36911" s="42"/>
      <c r="AB36911" s="38"/>
    </row>
    <row r="36912">
      <c r="P36912" s="42"/>
      <c r="AB36912" s="38"/>
    </row>
    <row r="36913">
      <c r="P36913" s="42"/>
      <c r="AB36913" s="38"/>
    </row>
    <row r="36914">
      <c r="P36914" s="42"/>
      <c r="AB36914" s="38"/>
    </row>
    <row r="36915">
      <c r="P36915" s="42"/>
      <c r="AB36915" s="38"/>
    </row>
    <row r="36916">
      <c r="P36916" s="42"/>
      <c r="AB36916" s="38"/>
    </row>
    <row r="36917">
      <c r="P36917" s="42"/>
      <c r="AB36917" s="38"/>
    </row>
    <row r="36918">
      <c r="P36918" s="42"/>
      <c r="AB36918" s="38"/>
    </row>
    <row r="36919">
      <c r="P36919" s="42"/>
      <c r="AB36919" s="38"/>
    </row>
    <row r="36920">
      <c r="P36920" s="42"/>
      <c r="AB36920" s="38"/>
    </row>
    <row r="36921">
      <c r="P36921" s="42"/>
      <c r="AB36921" s="38"/>
    </row>
    <row r="36922">
      <c r="P36922" s="42"/>
      <c r="AB36922" s="38"/>
    </row>
    <row r="36923">
      <c r="P36923" s="42"/>
      <c r="AB36923" s="38"/>
    </row>
    <row r="36924">
      <c r="P36924" s="42"/>
      <c r="AB36924" s="38"/>
    </row>
    <row r="36925">
      <c r="P36925" s="42"/>
      <c r="AB36925" s="38"/>
    </row>
    <row r="36926">
      <c r="P36926" s="42"/>
      <c r="AB36926" s="38"/>
    </row>
    <row r="36927">
      <c r="P36927" s="42"/>
      <c r="AB36927" s="38"/>
    </row>
    <row r="36928">
      <c r="P36928" s="42"/>
      <c r="AB36928" s="38"/>
    </row>
    <row r="36929">
      <c r="P36929" s="42"/>
      <c r="AB36929" s="38"/>
    </row>
    <row r="36930">
      <c r="P36930" s="42"/>
      <c r="AB36930" s="38"/>
    </row>
    <row r="36931">
      <c r="P36931" s="42"/>
      <c r="AB36931" s="38"/>
    </row>
    <row r="36932">
      <c r="P36932" s="42"/>
      <c r="AB36932" s="38"/>
    </row>
    <row r="36933">
      <c r="P36933" s="42"/>
      <c r="AB36933" s="38"/>
    </row>
    <row r="36934">
      <c r="P36934" s="42"/>
      <c r="AB36934" s="38"/>
    </row>
    <row r="36935">
      <c r="P36935" s="42"/>
      <c r="AB36935" s="38"/>
    </row>
    <row r="36936">
      <c r="P36936" s="42"/>
      <c r="AB36936" s="38"/>
    </row>
    <row r="36937">
      <c r="P36937" s="42"/>
      <c r="AB36937" s="38"/>
    </row>
    <row r="36938">
      <c r="P36938" s="42"/>
      <c r="AB36938" s="38"/>
    </row>
    <row r="36939">
      <c r="P36939" s="42"/>
      <c r="AB36939" s="38"/>
    </row>
    <row r="36940">
      <c r="P36940" s="42"/>
      <c r="AB36940" s="38"/>
    </row>
    <row r="36941">
      <c r="P36941" s="42"/>
      <c r="AB36941" s="38"/>
    </row>
    <row r="36942">
      <c r="P36942" s="42"/>
      <c r="AB36942" s="38"/>
    </row>
    <row r="36943">
      <c r="P36943" s="42"/>
      <c r="AB36943" s="38"/>
    </row>
    <row r="36944">
      <c r="P36944" s="42"/>
      <c r="AB36944" s="38"/>
    </row>
    <row r="36945">
      <c r="P36945" s="42"/>
      <c r="AB36945" s="38"/>
    </row>
    <row r="36946">
      <c r="P36946" s="42"/>
      <c r="AB36946" s="38"/>
    </row>
    <row r="36947">
      <c r="P36947" s="42"/>
      <c r="AB36947" s="38"/>
    </row>
    <row r="36948">
      <c r="P36948" s="42"/>
      <c r="AB36948" s="38"/>
    </row>
    <row r="36949">
      <c r="P36949" s="42"/>
      <c r="AB36949" s="38"/>
    </row>
    <row r="36950">
      <c r="P36950" s="42"/>
      <c r="AB36950" s="38"/>
    </row>
    <row r="36951">
      <c r="P36951" s="42"/>
      <c r="AB36951" s="38"/>
    </row>
    <row r="36952">
      <c r="P36952" s="42"/>
      <c r="AB36952" s="38"/>
    </row>
    <row r="36953">
      <c r="P36953" s="42"/>
      <c r="AB36953" s="38"/>
    </row>
    <row r="36954">
      <c r="P36954" s="42"/>
      <c r="AB36954" s="38"/>
    </row>
    <row r="36955">
      <c r="P36955" s="42"/>
      <c r="AB36955" s="38"/>
    </row>
    <row r="36956">
      <c r="P36956" s="42"/>
      <c r="AB36956" s="38"/>
    </row>
    <row r="36957">
      <c r="P36957" s="42"/>
      <c r="AB36957" s="38"/>
    </row>
    <row r="36958">
      <c r="P36958" s="42"/>
      <c r="AB36958" s="38"/>
    </row>
    <row r="36959">
      <c r="P36959" s="42"/>
      <c r="AB36959" s="38"/>
    </row>
    <row r="36960">
      <c r="P36960" s="42"/>
      <c r="AB36960" s="38"/>
    </row>
    <row r="36961">
      <c r="P36961" s="42"/>
      <c r="AB36961" s="38"/>
    </row>
    <row r="36962">
      <c r="P36962" s="42"/>
      <c r="AB36962" s="38"/>
    </row>
    <row r="36963">
      <c r="P36963" s="42"/>
      <c r="AB36963" s="38"/>
    </row>
    <row r="36964">
      <c r="P36964" s="42"/>
      <c r="AB36964" s="38"/>
    </row>
    <row r="36965">
      <c r="P36965" s="42"/>
      <c r="AB36965" s="38"/>
    </row>
    <row r="36966">
      <c r="P36966" s="42"/>
      <c r="AB36966" s="38"/>
    </row>
    <row r="36967">
      <c r="P36967" s="42"/>
      <c r="AB36967" s="38"/>
    </row>
    <row r="36968">
      <c r="P36968" s="42"/>
      <c r="AB36968" s="38"/>
    </row>
    <row r="36969">
      <c r="P36969" s="42"/>
      <c r="AB36969" s="38"/>
    </row>
    <row r="36970">
      <c r="P36970" s="42"/>
      <c r="AB36970" s="38"/>
    </row>
    <row r="36971">
      <c r="P36971" s="42"/>
      <c r="AB36971" s="38"/>
    </row>
    <row r="36972">
      <c r="P36972" s="42"/>
      <c r="AB36972" s="38"/>
    </row>
    <row r="36973">
      <c r="P36973" s="42"/>
      <c r="AB36973" s="38"/>
    </row>
    <row r="36974">
      <c r="P36974" s="42"/>
      <c r="AB36974" s="38"/>
    </row>
    <row r="36975">
      <c r="P36975" s="42"/>
      <c r="AB36975" s="38"/>
    </row>
    <row r="36976">
      <c r="P36976" s="42"/>
      <c r="AB36976" s="38"/>
    </row>
    <row r="36977">
      <c r="P36977" s="42"/>
      <c r="AB36977" s="38"/>
    </row>
    <row r="36978">
      <c r="P36978" s="42"/>
      <c r="AB36978" s="38"/>
    </row>
    <row r="36979">
      <c r="P36979" s="42"/>
      <c r="AB36979" s="38"/>
    </row>
    <row r="36980">
      <c r="P36980" s="42"/>
      <c r="AB36980" s="38"/>
    </row>
    <row r="36981">
      <c r="P36981" s="42"/>
      <c r="AB36981" s="38"/>
    </row>
    <row r="36982">
      <c r="P36982" s="42"/>
      <c r="AB36982" s="38"/>
    </row>
    <row r="36983">
      <c r="P36983" s="42"/>
      <c r="AB36983" s="38"/>
    </row>
    <row r="36984">
      <c r="P36984" s="42"/>
      <c r="AB36984" s="38"/>
    </row>
    <row r="36985">
      <c r="P36985" s="42"/>
      <c r="AB36985" s="38"/>
    </row>
    <row r="36986">
      <c r="P36986" s="42"/>
      <c r="AB36986" s="38"/>
    </row>
    <row r="36987">
      <c r="P36987" s="42"/>
      <c r="AB36987" s="38"/>
    </row>
    <row r="36988">
      <c r="P36988" s="42"/>
      <c r="AB36988" s="38"/>
    </row>
    <row r="36989">
      <c r="P36989" s="42"/>
      <c r="AB36989" s="38"/>
    </row>
    <row r="36990">
      <c r="P36990" s="42"/>
      <c r="AB36990" s="38"/>
    </row>
    <row r="36991">
      <c r="P36991" s="42"/>
      <c r="AB36991" s="38"/>
    </row>
    <row r="36992">
      <c r="P36992" s="42"/>
      <c r="AB36992" s="38"/>
    </row>
    <row r="36993">
      <c r="P36993" s="42"/>
      <c r="AB36993" s="38"/>
    </row>
    <row r="36994">
      <c r="P36994" s="42"/>
      <c r="AB36994" s="38"/>
    </row>
    <row r="36995">
      <c r="P36995" s="42"/>
      <c r="AB36995" s="38"/>
    </row>
    <row r="36996">
      <c r="P36996" s="42"/>
      <c r="AB36996" s="38"/>
    </row>
    <row r="36997">
      <c r="P36997" s="42"/>
      <c r="AB36997" s="38"/>
    </row>
    <row r="36998">
      <c r="P36998" s="42"/>
      <c r="AB36998" s="38"/>
    </row>
    <row r="36999">
      <c r="P36999" s="42"/>
      <c r="AB36999" s="38"/>
    </row>
    <row r="37000">
      <c r="P37000" s="42"/>
      <c r="AB37000" s="38"/>
    </row>
    <row r="37001">
      <c r="P37001" s="42"/>
      <c r="AB37001" s="38"/>
    </row>
    <row r="37002">
      <c r="P37002" s="42"/>
      <c r="AB37002" s="38"/>
    </row>
    <row r="37003">
      <c r="P37003" s="42"/>
      <c r="AB37003" s="38"/>
    </row>
    <row r="37004">
      <c r="P37004" s="42"/>
      <c r="AB37004" s="38"/>
    </row>
    <row r="37005">
      <c r="P37005" s="42"/>
      <c r="AB37005" s="38"/>
    </row>
    <row r="37006">
      <c r="P37006" s="42"/>
      <c r="AB37006" s="38"/>
    </row>
    <row r="37007">
      <c r="P37007" s="42"/>
      <c r="AB37007" s="38"/>
    </row>
    <row r="37008">
      <c r="P37008" s="42"/>
      <c r="AB37008" s="38"/>
    </row>
    <row r="37009">
      <c r="P37009" s="42"/>
      <c r="AB37009" s="38"/>
    </row>
    <row r="37010">
      <c r="P37010" s="42"/>
      <c r="AB37010" s="38"/>
    </row>
    <row r="37011">
      <c r="P37011" s="42"/>
      <c r="AB37011" s="38"/>
    </row>
    <row r="37012">
      <c r="P37012" s="42"/>
      <c r="AB37012" s="38"/>
    </row>
    <row r="37013">
      <c r="P37013" s="42"/>
      <c r="AB37013" s="38"/>
    </row>
    <row r="37014">
      <c r="P37014" s="42"/>
      <c r="AB37014" s="38"/>
    </row>
    <row r="37015">
      <c r="P37015" s="42"/>
      <c r="AB37015" s="38"/>
    </row>
    <row r="37016">
      <c r="P37016" s="42"/>
      <c r="AB37016" s="38"/>
    </row>
    <row r="37017">
      <c r="P37017" s="42"/>
      <c r="AB37017" s="38"/>
    </row>
    <row r="37018">
      <c r="P37018" s="42"/>
      <c r="AB37018" s="38"/>
    </row>
    <row r="37019">
      <c r="P37019" s="42"/>
      <c r="AB37019" s="38"/>
    </row>
    <row r="37020">
      <c r="P37020" s="42"/>
      <c r="AB37020" s="38"/>
    </row>
    <row r="37021">
      <c r="P37021" s="42"/>
      <c r="AB37021" s="38"/>
    </row>
    <row r="37022">
      <c r="P37022" s="42"/>
      <c r="AB37022" s="38"/>
    </row>
    <row r="37023">
      <c r="P37023" s="42"/>
      <c r="AB37023" s="38"/>
    </row>
    <row r="37024">
      <c r="P37024" s="42"/>
      <c r="AB37024" s="38"/>
    </row>
    <row r="37025">
      <c r="P37025" s="42"/>
      <c r="AB37025" s="38"/>
    </row>
    <row r="37026">
      <c r="P37026" s="42"/>
      <c r="AB37026" s="38"/>
    </row>
    <row r="37027">
      <c r="P37027" s="42"/>
      <c r="AB37027" s="38"/>
    </row>
    <row r="37028">
      <c r="P37028" s="42"/>
      <c r="AB37028" s="38"/>
    </row>
    <row r="37029">
      <c r="P37029" s="42"/>
      <c r="AB37029" s="38"/>
    </row>
    <row r="37030">
      <c r="P37030" s="42"/>
      <c r="AB37030" s="38"/>
    </row>
    <row r="37031">
      <c r="P37031" s="42"/>
      <c r="AB37031" s="38"/>
    </row>
    <row r="37032">
      <c r="P37032" s="42"/>
      <c r="AB37032" s="38"/>
    </row>
    <row r="37033">
      <c r="P37033" s="42"/>
      <c r="AB37033" s="38"/>
    </row>
    <row r="37034">
      <c r="P37034" s="42"/>
      <c r="AB37034" s="38"/>
    </row>
    <row r="37035">
      <c r="P37035" s="42"/>
      <c r="AB37035" s="38"/>
    </row>
    <row r="37036">
      <c r="P37036" s="42"/>
      <c r="AB37036" s="38"/>
    </row>
    <row r="37037">
      <c r="P37037" s="42"/>
      <c r="AB37037" s="38"/>
    </row>
    <row r="37038">
      <c r="P37038" s="42"/>
      <c r="AB37038" s="38"/>
    </row>
    <row r="37039">
      <c r="P37039" s="42"/>
      <c r="AB37039" s="38"/>
    </row>
    <row r="37040">
      <c r="P37040" s="42"/>
      <c r="AB37040" s="38"/>
    </row>
    <row r="37041">
      <c r="P37041" s="42"/>
      <c r="AB37041" s="38"/>
    </row>
    <row r="37042">
      <c r="P37042" s="42"/>
      <c r="AB37042" s="38"/>
    </row>
    <row r="37043">
      <c r="P37043" s="42"/>
      <c r="AB37043" s="38"/>
    </row>
    <row r="37044">
      <c r="P37044" s="42"/>
      <c r="AB37044" s="38"/>
    </row>
    <row r="37045">
      <c r="P37045" s="42"/>
      <c r="AB37045" s="38"/>
    </row>
    <row r="37046">
      <c r="P37046" s="42"/>
      <c r="AB37046" s="38"/>
    </row>
    <row r="37047">
      <c r="P37047" s="42"/>
      <c r="AB37047" s="38"/>
    </row>
    <row r="37048">
      <c r="P37048" s="42"/>
      <c r="AB37048" s="38"/>
    </row>
    <row r="37049">
      <c r="P37049" s="42"/>
      <c r="AB37049" s="38"/>
    </row>
    <row r="37050">
      <c r="P37050" s="42"/>
      <c r="AB37050" s="38"/>
    </row>
    <row r="37051">
      <c r="P37051" s="42"/>
      <c r="AB37051" s="38"/>
    </row>
    <row r="37052">
      <c r="P37052" s="42"/>
      <c r="AB37052" s="38"/>
    </row>
    <row r="37053">
      <c r="P37053" s="42"/>
      <c r="AB37053" s="38"/>
    </row>
    <row r="37054">
      <c r="P37054" s="42"/>
      <c r="AB37054" s="38"/>
    </row>
    <row r="37055">
      <c r="P37055" s="42"/>
      <c r="AB37055" s="38"/>
    </row>
    <row r="37056">
      <c r="P37056" s="42"/>
      <c r="AB37056" s="38"/>
    </row>
    <row r="37057">
      <c r="P37057" s="42"/>
      <c r="AB37057" s="38"/>
    </row>
    <row r="37058">
      <c r="P37058" s="42"/>
      <c r="AB37058" s="38"/>
    </row>
    <row r="37059">
      <c r="P37059" s="42"/>
      <c r="AB37059" s="38"/>
    </row>
    <row r="37060">
      <c r="P37060" s="42"/>
      <c r="AB37060" s="38"/>
    </row>
    <row r="37061">
      <c r="P37061" s="42"/>
      <c r="AB37061" s="38"/>
    </row>
    <row r="37062">
      <c r="P37062" s="42"/>
      <c r="AB37062" s="38"/>
    </row>
    <row r="37063">
      <c r="P37063" s="42"/>
      <c r="AB37063" s="38"/>
    </row>
    <row r="37064">
      <c r="P37064" s="42"/>
      <c r="AB37064" s="38"/>
    </row>
    <row r="37065">
      <c r="P37065" s="42"/>
      <c r="AB37065" s="38"/>
    </row>
    <row r="37066">
      <c r="P37066" s="42"/>
      <c r="AB37066" s="38"/>
    </row>
    <row r="37067">
      <c r="P37067" s="42"/>
      <c r="AB37067" s="38"/>
    </row>
    <row r="37068">
      <c r="P37068" s="42"/>
      <c r="AB37068" s="38"/>
    </row>
    <row r="37069">
      <c r="P37069" s="42"/>
      <c r="AB37069" s="38"/>
    </row>
    <row r="37070">
      <c r="P37070" s="42"/>
      <c r="AB37070" s="38"/>
    </row>
    <row r="37071">
      <c r="P37071" s="42"/>
      <c r="AB37071" s="38"/>
    </row>
    <row r="37072">
      <c r="P37072" s="42"/>
      <c r="AB37072" s="38"/>
    </row>
    <row r="37073">
      <c r="P37073" s="42"/>
      <c r="AB37073" s="38"/>
    </row>
    <row r="37074">
      <c r="P37074" s="42"/>
      <c r="AB37074" s="38"/>
    </row>
    <row r="37075">
      <c r="P37075" s="42"/>
      <c r="AB37075" s="38"/>
    </row>
    <row r="37076">
      <c r="P37076" s="42"/>
      <c r="AB37076" s="38"/>
    </row>
    <row r="37077">
      <c r="P37077" s="42"/>
      <c r="AB37077" s="38"/>
    </row>
    <row r="37078">
      <c r="P37078" s="42"/>
      <c r="AB37078" s="38"/>
    </row>
    <row r="37079">
      <c r="P37079" s="42"/>
      <c r="AB37079" s="38"/>
    </row>
    <row r="37080">
      <c r="P37080" s="42"/>
      <c r="AB37080" s="38"/>
    </row>
    <row r="37081">
      <c r="P37081" s="42"/>
      <c r="AB37081" s="38"/>
    </row>
    <row r="37082">
      <c r="P37082" s="42"/>
      <c r="AB37082" s="38"/>
    </row>
    <row r="37083">
      <c r="P37083" s="42"/>
      <c r="AB37083" s="38"/>
    </row>
    <row r="37084">
      <c r="P37084" s="42"/>
      <c r="AB37084" s="38"/>
    </row>
    <row r="37085">
      <c r="P37085" s="42"/>
      <c r="AB37085" s="38"/>
    </row>
    <row r="37086">
      <c r="P37086" s="42"/>
      <c r="AB37086" s="38"/>
    </row>
    <row r="37087">
      <c r="P37087" s="42"/>
      <c r="AB37087" s="38"/>
    </row>
    <row r="37088">
      <c r="P37088" s="42"/>
      <c r="AB37088" s="38"/>
    </row>
    <row r="37089">
      <c r="P37089" s="42"/>
      <c r="AB37089" s="38"/>
    </row>
    <row r="37090">
      <c r="P37090" s="42"/>
      <c r="AB37090" s="38"/>
    </row>
    <row r="37091">
      <c r="P37091" s="42"/>
      <c r="AB37091" s="38"/>
    </row>
    <row r="37092">
      <c r="P37092" s="42"/>
      <c r="AB37092" s="38"/>
    </row>
    <row r="37093">
      <c r="P37093" s="42"/>
      <c r="AB37093" s="38"/>
    </row>
    <row r="37094">
      <c r="P37094" s="42"/>
      <c r="AB37094" s="38"/>
    </row>
    <row r="37095">
      <c r="P37095" s="42"/>
      <c r="AB37095" s="38"/>
    </row>
    <row r="37096">
      <c r="P37096" s="42"/>
      <c r="AB37096" s="38"/>
    </row>
    <row r="37097">
      <c r="P37097" s="42"/>
      <c r="AB37097" s="38"/>
    </row>
    <row r="37098">
      <c r="P37098" s="42"/>
      <c r="AB37098" s="38"/>
    </row>
    <row r="37099">
      <c r="P37099" s="42"/>
      <c r="AB37099" s="38"/>
    </row>
    <row r="37100">
      <c r="P37100" s="42"/>
      <c r="AB37100" s="38"/>
    </row>
    <row r="37101">
      <c r="P37101" s="42"/>
      <c r="AB37101" s="38"/>
    </row>
    <row r="37102">
      <c r="P37102" s="42"/>
      <c r="AB37102" s="38"/>
    </row>
    <row r="37103">
      <c r="P37103" s="42"/>
      <c r="AB37103" s="38"/>
    </row>
    <row r="37104">
      <c r="P37104" s="42"/>
      <c r="AB37104" s="38"/>
    </row>
    <row r="37105">
      <c r="P37105" s="42"/>
      <c r="AB37105" s="38"/>
    </row>
    <row r="37106">
      <c r="P37106" s="42"/>
      <c r="AB37106" s="38"/>
    </row>
    <row r="37107">
      <c r="P37107" s="42"/>
      <c r="AB37107" s="38"/>
    </row>
    <row r="37108">
      <c r="P37108" s="42"/>
      <c r="AB37108" s="38"/>
    </row>
    <row r="37109">
      <c r="P37109" s="42"/>
      <c r="AB37109" s="38"/>
    </row>
    <row r="37110">
      <c r="P37110" s="42"/>
      <c r="AB37110" s="38"/>
    </row>
    <row r="37111">
      <c r="P37111" s="42"/>
      <c r="AB37111" s="38"/>
    </row>
    <row r="37112">
      <c r="P37112" s="42"/>
      <c r="AB37112" s="38"/>
    </row>
    <row r="37113">
      <c r="P37113" s="42"/>
      <c r="AB37113" s="38"/>
    </row>
    <row r="37114">
      <c r="P37114" s="42"/>
      <c r="AB37114" s="38"/>
    </row>
    <row r="37115">
      <c r="P37115" s="42"/>
      <c r="AB37115" s="38"/>
    </row>
    <row r="37116">
      <c r="P37116" s="42"/>
      <c r="AB37116" s="38"/>
    </row>
    <row r="37117">
      <c r="P37117" s="42"/>
      <c r="AB37117" s="38"/>
    </row>
    <row r="37118">
      <c r="P37118" s="42"/>
      <c r="AB37118" s="38"/>
    </row>
    <row r="37119">
      <c r="P37119" s="42"/>
      <c r="AB37119" s="38"/>
    </row>
    <row r="37120">
      <c r="P37120" s="42"/>
      <c r="AB37120" s="38"/>
    </row>
    <row r="37121">
      <c r="P37121" s="42"/>
      <c r="AB37121" s="38"/>
    </row>
    <row r="37122">
      <c r="P37122" s="42"/>
      <c r="AB37122" s="38"/>
    </row>
    <row r="37123">
      <c r="P37123" s="42"/>
      <c r="AB37123" s="38"/>
    </row>
    <row r="37124">
      <c r="P37124" s="42"/>
      <c r="AB37124" s="38"/>
    </row>
    <row r="37125">
      <c r="P37125" s="42"/>
      <c r="AB37125" s="38"/>
    </row>
    <row r="37126">
      <c r="P37126" s="42"/>
      <c r="AB37126" s="38"/>
    </row>
    <row r="37127">
      <c r="P37127" s="42"/>
      <c r="AB37127" s="38"/>
    </row>
    <row r="37128">
      <c r="P37128" s="42"/>
      <c r="AB37128" s="38"/>
    </row>
    <row r="37129">
      <c r="P37129" s="42"/>
      <c r="AB37129" s="38"/>
    </row>
    <row r="37130">
      <c r="P37130" s="42"/>
      <c r="AB37130" s="38"/>
    </row>
    <row r="37131">
      <c r="P37131" s="42"/>
      <c r="AB37131" s="38"/>
    </row>
    <row r="37132">
      <c r="P37132" s="42"/>
      <c r="AB37132" s="38"/>
    </row>
    <row r="37133">
      <c r="P37133" s="42"/>
      <c r="AB37133" s="38"/>
    </row>
    <row r="37134">
      <c r="P37134" s="42"/>
      <c r="AB37134" s="38"/>
    </row>
    <row r="37135">
      <c r="P37135" s="42"/>
      <c r="AB37135" s="38"/>
    </row>
    <row r="37136">
      <c r="P37136" s="42"/>
      <c r="AB37136" s="38"/>
    </row>
    <row r="37137">
      <c r="P37137" s="42"/>
      <c r="AB37137" s="38"/>
    </row>
    <row r="37138">
      <c r="P37138" s="42"/>
      <c r="AB37138" s="38"/>
    </row>
    <row r="37139">
      <c r="P37139" s="42"/>
      <c r="AB37139" s="38"/>
    </row>
    <row r="37140">
      <c r="P37140" s="42"/>
      <c r="AB37140" s="38"/>
    </row>
    <row r="37141">
      <c r="P37141" s="42"/>
      <c r="AB37141" s="38"/>
    </row>
    <row r="37142">
      <c r="P37142" s="42"/>
      <c r="AB37142" s="38"/>
    </row>
    <row r="37143">
      <c r="P37143" s="42"/>
      <c r="AB37143" s="38"/>
    </row>
    <row r="37144">
      <c r="P37144" s="42"/>
      <c r="AB37144" s="38"/>
    </row>
    <row r="37145">
      <c r="P37145" s="42"/>
      <c r="AB37145" s="38"/>
    </row>
    <row r="37146">
      <c r="P37146" s="42"/>
      <c r="AB37146" s="38"/>
    </row>
    <row r="37147">
      <c r="P37147" s="42"/>
      <c r="AB37147" s="38"/>
    </row>
    <row r="37148">
      <c r="P37148" s="42"/>
      <c r="AB37148" s="38"/>
    </row>
    <row r="37149">
      <c r="P37149" s="42"/>
      <c r="AB37149" s="38"/>
    </row>
    <row r="37150">
      <c r="P37150" s="42"/>
      <c r="AB37150" s="38"/>
    </row>
    <row r="37151">
      <c r="P37151" s="42"/>
      <c r="AB37151" s="38"/>
    </row>
    <row r="37152">
      <c r="P37152" s="42"/>
      <c r="AB37152" s="38"/>
    </row>
    <row r="37153">
      <c r="P37153" s="42"/>
      <c r="AB37153" s="38"/>
    </row>
    <row r="37154">
      <c r="P37154" s="42"/>
      <c r="AB37154" s="38"/>
    </row>
    <row r="37155">
      <c r="P37155" s="42"/>
      <c r="AB37155" s="38"/>
    </row>
    <row r="37156">
      <c r="P37156" s="42"/>
      <c r="AB37156" s="38"/>
    </row>
    <row r="37157">
      <c r="P37157" s="42"/>
      <c r="AB37157" s="38"/>
    </row>
    <row r="37158">
      <c r="P37158" s="42"/>
      <c r="AB37158" s="38"/>
    </row>
    <row r="37159">
      <c r="P37159" s="42"/>
      <c r="AB37159" s="38"/>
    </row>
    <row r="37160">
      <c r="P37160" s="42"/>
      <c r="AB37160" s="38"/>
    </row>
    <row r="37161">
      <c r="P37161" s="42"/>
      <c r="AB37161" s="38"/>
    </row>
    <row r="37162">
      <c r="P37162" s="42"/>
      <c r="AB37162" s="38"/>
    </row>
    <row r="37163">
      <c r="P37163" s="42"/>
      <c r="AB37163" s="38"/>
    </row>
    <row r="37164">
      <c r="P37164" s="42"/>
      <c r="AB37164" s="38"/>
    </row>
    <row r="37165">
      <c r="P37165" s="42"/>
      <c r="AB37165" s="38"/>
    </row>
    <row r="37166">
      <c r="P37166" s="42"/>
      <c r="AB37166" s="38"/>
    </row>
    <row r="37167">
      <c r="P37167" s="42"/>
      <c r="AB37167" s="38"/>
    </row>
    <row r="37168">
      <c r="P37168" s="42"/>
      <c r="AB37168" s="38"/>
    </row>
    <row r="37169">
      <c r="P37169" s="42"/>
      <c r="AB37169" s="38"/>
    </row>
    <row r="37170">
      <c r="P37170" s="42"/>
      <c r="AB37170" s="38"/>
    </row>
    <row r="37171">
      <c r="P37171" s="42"/>
      <c r="AB37171" s="38"/>
    </row>
    <row r="37172">
      <c r="P37172" s="42"/>
      <c r="AB37172" s="38"/>
    </row>
    <row r="37173">
      <c r="P37173" s="42"/>
      <c r="AB37173" s="38"/>
    </row>
    <row r="37174">
      <c r="P37174" s="42"/>
      <c r="AB37174" s="38"/>
    </row>
    <row r="37175">
      <c r="P37175" s="42"/>
      <c r="AB37175" s="38"/>
    </row>
    <row r="37176">
      <c r="P37176" s="42"/>
      <c r="AB37176" s="38"/>
    </row>
    <row r="37177">
      <c r="P37177" s="42"/>
      <c r="AB37177" s="38"/>
    </row>
    <row r="37178">
      <c r="P37178" s="42"/>
      <c r="AB37178" s="38"/>
    </row>
    <row r="37179">
      <c r="P37179" s="42"/>
      <c r="AB37179" s="38"/>
    </row>
    <row r="37180">
      <c r="P37180" s="42"/>
      <c r="AB37180" s="38"/>
    </row>
    <row r="37181">
      <c r="P37181" s="42"/>
      <c r="AB37181" s="38"/>
    </row>
    <row r="37182">
      <c r="P37182" s="42"/>
      <c r="AB37182" s="38"/>
    </row>
    <row r="37183">
      <c r="P37183" s="42"/>
      <c r="AB37183" s="38"/>
    </row>
    <row r="37184">
      <c r="P37184" s="42"/>
      <c r="AB37184" s="38"/>
    </row>
    <row r="37185">
      <c r="P37185" s="42"/>
      <c r="AB37185" s="38"/>
    </row>
    <row r="37186">
      <c r="P37186" s="42"/>
      <c r="AB37186" s="38"/>
    </row>
    <row r="37187">
      <c r="P37187" s="42"/>
      <c r="AB37187" s="38"/>
    </row>
    <row r="37188">
      <c r="P37188" s="42"/>
      <c r="AB37188" s="38"/>
    </row>
    <row r="37189">
      <c r="P37189" s="42"/>
      <c r="AB37189" s="38"/>
    </row>
    <row r="37190">
      <c r="P37190" s="42"/>
      <c r="AB37190" s="38"/>
    </row>
    <row r="37191">
      <c r="P37191" s="42"/>
      <c r="AB37191" s="38"/>
    </row>
    <row r="37192">
      <c r="P37192" s="42"/>
      <c r="AB37192" s="38"/>
    </row>
    <row r="37193">
      <c r="P37193" s="42"/>
      <c r="AB37193" s="38"/>
    </row>
    <row r="37194">
      <c r="P37194" s="42"/>
      <c r="AB37194" s="38"/>
    </row>
    <row r="37195">
      <c r="P37195" s="42"/>
      <c r="AB37195" s="38"/>
    </row>
    <row r="37196">
      <c r="P37196" s="42"/>
      <c r="AB37196" s="38"/>
    </row>
    <row r="37197">
      <c r="P37197" s="42"/>
      <c r="AB37197" s="38"/>
    </row>
    <row r="37198">
      <c r="P37198" s="42"/>
      <c r="AB37198" s="38"/>
    </row>
    <row r="37199">
      <c r="P37199" s="42"/>
      <c r="AB37199" s="38"/>
    </row>
    <row r="37200">
      <c r="P37200" s="42"/>
      <c r="AB37200" s="38"/>
    </row>
    <row r="37201">
      <c r="P37201" s="42"/>
      <c r="AB37201" s="38"/>
    </row>
    <row r="37202">
      <c r="P37202" s="42"/>
      <c r="AB37202" s="38"/>
    </row>
    <row r="37203">
      <c r="P37203" s="42"/>
      <c r="AB37203" s="38"/>
    </row>
    <row r="37204">
      <c r="P37204" s="42"/>
      <c r="AB37204" s="38"/>
    </row>
    <row r="37205">
      <c r="P37205" s="42"/>
      <c r="AB37205" s="38"/>
    </row>
    <row r="37206">
      <c r="P37206" s="42"/>
      <c r="AB37206" s="38"/>
    </row>
    <row r="37207">
      <c r="P37207" s="42"/>
      <c r="AB37207" s="38"/>
    </row>
    <row r="37208">
      <c r="P37208" s="42"/>
      <c r="AB37208" s="38"/>
    </row>
    <row r="37209">
      <c r="P37209" s="42"/>
      <c r="AB37209" s="38"/>
    </row>
    <row r="37210">
      <c r="P37210" s="42"/>
      <c r="AB37210" s="38"/>
    </row>
    <row r="37211">
      <c r="P37211" s="42"/>
      <c r="AB37211" s="38"/>
    </row>
    <row r="37212">
      <c r="P37212" s="42"/>
      <c r="AB37212" s="38"/>
    </row>
    <row r="37213">
      <c r="P37213" s="42"/>
      <c r="AB37213" s="38"/>
    </row>
    <row r="37214">
      <c r="P37214" s="42"/>
      <c r="AB37214" s="38"/>
    </row>
    <row r="37215">
      <c r="P37215" s="42"/>
      <c r="AB37215" s="38"/>
    </row>
    <row r="37216">
      <c r="P37216" s="42"/>
      <c r="AB37216" s="38"/>
    </row>
    <row r="37217">
      <c r="P37217" s="42"/>
      <c r="AB37217" s="38"/>
    </row>
    <row r="37218">
      <c r="P37218" s="42"/>
      <c r="AB37218" s="38"/>
    </row>
    <row r="37219">
      <c r="P37219" s="42"/>
      <c r="AB37219" s="38"/>
    </row>
    <row r="37220">
      <c r="P37220" s="42"/>
      <c r="AB37220" s="38"/>
    </row>
    <row r="37221">
      <c r="P37221" s="42"/>
      <c r="AB37221" s="38"/>
    </row>
    <row r="37222">
      <c r="P37222" s="42"/>
      <c r="AB37222" s="38"/>
    </row>
    <row r="37223">
      <c r="P37223" s="42"/>
      <c r="AB37223" s="38"/>
    </row>
    <row r="37224">
      <c r="P37224" s="42"/>
      <c r="AB37224" s="38"/>
    </row>
    <row r="37225">
      <c r="P37225" s="42"/>
      <c r="AB37225" s="38"/>
    </row>
    <row r="37226">
      <c r="P37226" s="42"/>
      <c r="AB37226" s="38"/>
    </row>
    <row r="37227">
      <c r="P37227" s="42"/>
      <c r="AB37227" s="38"/>
    </row>
    <row r="37228">
      <c r="P37228" s="42"/>
      <c r="AB37228" s="38"/>
    </row>
    <row r="37229">
      <c r="P37229" s="42"/>
      <c r="AB37229" s="38"/>
    </row>
    <row r="37230">
      <c r="P37230" s="42"/>
      <c r="AB37230" s="38"/>
    </row>
    <row r="37231">
      <c r="P37231" s="42"/>
      <c r="AB37231" s="38"/>
    </row>
    <row r="37232">
      <c r="P37232" s="42"/>
      <c r="AB37232" s="38"/>
    </row>
    <row r="37233">
      <c r="P37233" s="42"/>
      <c r="AB37233" s="38"/>
    </row>
    <row r="37234">
      <c r="P37234" s="42"/>
      <c r="AB37234" s="38"/>
    </row>
    <row r="37235">
      <c r="P37235" s="42"/>
      <c r="AB37235" s="38"/>
    </row>
    <row r="37236">
      <c r="P37236" s="42"/>
      <c r="AB37236" s="38"/>
    </row>
    <row r="37237">
      <c r="P37237" s="42"/>
      <c r="AB37237" s="38"/>
    </row>
    <row r="37238">
      <c r="P37238" s="42"/>
      <c r="AB37238" s="38"/>
    </row>
    <row r="37239">
      <c r="P37239" s="42"/>
      <c r="AB37239" s="38"/>
    </row>
    <row r="37240">
      <c r="P37240" s="42"/>
      <c r="AB37240" s="38"/>
    </row>
    <row r="37241">
      <c r="P37241" s="42"/>
      <c r="AB37241" s="38"/>
    </row>
    <row r="37242">
      <c r="P37242" s="42"/>
      <c r="AB37242" s="38"/>
    </row>
    <row r="37243">
      <c r="P37243" s="42"/>
      <c r="AB37243" s="38"/>
    </row>
    <row r="37244">
      <c r="P37244" s="42"/>
      <c r="AB37244" s="38"/>
    </row>
    <row r="37245">
      <c r="P37245" s="42"/>
      <c r="AB37245" s="38"/>
    </row>
    <row r="37246">
      <c r="P37246" s="42"/>
      <c r="AB37246" s="38"/>
    </row>
    <row r="37247">
      <c r="P37247" s="42"/>
      <c r="AB37247" s="38"/>
    </row>
    <row r="37248">
      <c r="P37248" s="42"/>
      <c r="AB37248" s="38"/>
    </row>
    <row r="37249">
      <c r="P37249" s="42"/>
      <c r="AB37249" s="38"/>
    </row>
    <row r="37250">
      <c r="P37250" s="42"/>
      <c r="AB37250" s="38"/>
    </row>
    <row r="37251">
      <c r="P37251" s="42"/>
      <c r="AB37251" s="38"/>
    </row>
    <row r="37252">
      <c r="P37252" s="42"/>
      <c r="AB37252" s="38"/>
    </row>
    <row r="37253">
      <c r="P37253" s="42"/>
      <c r="AB37253" s="38"/>
    </row>
    <row r="37254">
      <c r="P37254" s="42"/>
      <c r="AB37254" s="38"/>
    </row>
    <row r="37255">
      <c r="P37255" s="42"/>
      <c r="AB37255" s="38"/>
    </row>
    <row r="37256">
      <c r="P37256" s="42"/>
      <c r="AB37256" s="38"/>
    </row>
    <row r="37257">
      <c r="P37257" s="42"/>
      <c r="AB37257" s="38"/>
    </row>
    <row r="37258">
      <c r="P37258" s="42"/>
      <c r="AB37258" s="38"/>
    </row>
    <row r="37259">
      <c r="P37259" s="42"/>
      <c r="AB37259" s="38"/>
    </row>
    <row r="37260">
      <c r="P37260" s="42"/>
      <c r="AB37260" s="38"/>
    </row>
    <row r="37261">
      <c r="P37261" s="42"/>
      <c r="AB37261" s="38"/>
    </row>
    <row r="37262">
      <c r="P37262" s="42"/>
      <c r="AB37262" s="38"/>
    </row>
    <row r="37263">
      <c r="P37263" s="42"/>
      <c r="AB37263" s="38"/>
    </row>
    <row r="37264">
      <c r="P37264" s="42"/>
      <c r="AB37264" s="38"/>
    </row>
    <row r="37265">
      <c r="P37265" s="42"/>
      <c r="AB37265" s="38"/>
    </row>
    <row r="37266">
      <c r="P37266" s="42"/>
      <c r="AB37266" s="38"/>
    </row>
    <row r="37267">
      <c r="P37267" s="42"/>
      <c r="AB37267" s="38"/>
    </row>
    <row r="37268">
      <c r="P37268" s="42"/>
      <c r="AB37268" s="38"/>
    </row>
    <row r="37269">
      <c r="P37269" s="42"/>
      <c r="AB37269" s="38"/>
    </row>
    <row r="37270">
      <c r="P37270" s="42"/>
      <c r="AB37270" s="38"/>
    </row>
    <row r="37271">
      <c r="P37271" s="42"/>
      <c r="AB37271" s="38"/>
    </row>
    <row r="37272">
      <c r="P37272" s="42"/>
      <c r="AB37272" s="38"/>
    </row>
    <row r="37273">
      <c r="P37273" s="42"/>
      <c r="AB37273" s="38"/>
    </row>
    <row r="37274">
      <c r="P37274" s="42"/>
      <c r="AB37274" s="38"/>
    </row>
    <row r="37275">
      <c r="P37275" s="42"/>
      <c r="AB37275" s="38"/>
    </row>
    <row r="37276">
      <c r="P37276" s="42"/>
      <c r="AB37276" s="38"/>
    </row>
    <row r="37277">
      <c r="P37277" s="42"/>
      <c r="AB37277" s="38"/>
    </row>
    <row r="37278">
      <c r="P37278" s="42"/>
      <c r="AB37278" s="38"/>
    </row>
    <row r="37279">
      <c r="P37279" s="42"/>
      <c r="AB37279" s="38"/>
    </row>
    <row r="37280">
      <c r="P37280" s="42"/>
      <c r="AB37280" s="38"/>
    </row>
    <row r="37281">
      <c r="P37281" s="42"/>
      <c r="AB37281" s="38"/>
    </row>
    <row r="37282">
      <c r="P37282" s="42"/>
      <c r="AB37282" s="38"/>
    </row>
    <row r="37283">
      <c r="P37283" s="42"/>
      <c r="AB37283" s="38"/>
    </row>
    <row r="37284">
      <c r="P37284" s="42"/>
      <c r="AB37284" s="38"/>
    </row>
    <row r="37285">
      <c r="P37285" s="42"/>
      <c r="AB37285" s="38"/>
    </row>
    <row r="37286">
      <c r="P37286" s="42"/>
      <c r="AB37286" s="38"/>
    </row>
    <row r="37287">
      <c r="P37287" s="42"/>
      <c r="AB37287" s="38"/>
    </row>
    <row r="37288">
      <c r="P37288" s="42"/>
      <c r="AB37288" s="38"/>
    </row>
    <row r="37289">
      <c r="P37289" s="42"/>
      <c r="AB37289" s="38"/>
    </row>
    <row r="37290">
      <c r="P37290" s="42"/>
      <c r="AB37290" s="38"/>
    </row>
    <row r="37291">
      <c r="P37291" s="42"/>
      <c r="AB37291" s="38"/>
    </row>
    <row r="37292">
      <c r="P37292" s="42"/>
      <c r="AB37292" s="38"/>
    </row>
    <row r="37293">
      <c r="P37293" s="42"/>
      <c r="AB37293" s="38"/>
    </row>
    <row r="37294">
      <c r="P37294" s="42"/>
      <c r="AB37294" s="38"/>
    </row>
    <row r="37295">
      <c r="P37295" s="42"/>
      <c r="AB37295" s="38"/>
    </row>
    <row r="37296">
      <c r="P37296" s="42"/>
      <c r="AB37296" s="38"/>
    </row>
    <row r="37297">
      <c r="P37297" s="42"/>
      <c r="AB37297" s="38"/>
    </row>
    <row r="37298">
      <c r="P37298" s="42"/>
      <c r="AB37298" s="38"/>
    </row>
    <row r="37299">
      <c r="P37299" s="42"/>
      <c r="AB37299" s="38"/>
    </row>
    <row r="37300">
      <c r="P37300" s="42"/>
      <c r="AB37300" s="38"/>
    </row>
    <row r="37301">
      <c r="P37301" s="42"/>
      <c r="AB37301" s="38"/>
    </row>
    <row r="37302">
      <c r="P37302" s="42"/>
      <c r="AB37302" s="38"/>
    </row>
    <row r="37303">
      <c r="P37303" s="42"/>
      <c r="AB37303" s="38"/>
    </row>
    <row r="37304">
      <c r="P37304" s="42"/>
      <c r="AB37304" s="38"/>
    </row>
    <row r="37305">
      <c r="P37305" s="42"/>
      <c r="AB37305" s="38"/>
    </row>
    <row r="37306">
      <c r="P37306" s="42"/>
      <c r="AB37306" s="38"/>
    </row>
    <row r="37307">
      <c r="P37307" s="42"/>
      <c r="AB37307" s="38"/>
    </row>
    <row r="37308">
      <c r="P37308" s="42"/>
      <c r="AB37308" s="38"/>
    </row>
    <row r="37309">
      <c r="P37309" s="42"/>
      <c r="AB37309" s="38"/>
    </row>
    <row r="37310">
      <c r="P37310" s="42"/>
      <c r="AB37310" s="38"/>
    </row>
    <row r="37311">
      <c r="P37311" s="42"/>
      <c r="AB37311" s="38"/>
    </row>
    <row r="37312">
      <c r="P37312" s="42"/>
      <c r="AB37312" s="38"/>
    </row>
    <row r="37313">
      <c r="P37313" s="42"/>
      <c r="AB37313" s="38"/>
    </row>
    <row r="37314">
      <c r="P37314" s="42"/>
      <c r="AB37314" s="38"/>
    </row>
    <row r="37315">
      <c r="P37315" s="42"/>
      <c r="AB37315" s="38"/>
    </row>
    <row r="37316">
      <c r="P37316" s="42"/>
      <c r="AB37316" s="38"/>
    </row>
    <row r="37317">
      <c r="P37317" s="42"/>
      <c r="AB37317" s="38"/>
    </row>
    <row r="37318">
      <c r="P37318" s="42"/>
      <c r="AB37318" s="38"/>
    </row>
    <row r="37319">
      <c r="P37319" s="42"/>
      <c r="AB37319" s="38"/>
    </row>
    <row r="37320">
      <c r="P37320" s="42"/>
      <c r="AB37320" s="38"/>
    </row>
    <row r="37321">
      <c r="P37321" s="42"/>
      <c r="AB37321" s="38"/>
    </row>
    <row r="37322">
      <c r="P37322" s="42"/>
      <c r="AB37322" s="38"/>
    </row>
    <row r="37323">
      <c r="P37323" s="42"/>
      <c r="AB37323" s="38"/>
    </row>
    <row r="37324">
      <c r="P37324" s="42"/>
      <c r="AB37324" s="38"/>
    </row>
    <row r="37325">
      <c r="P37325" s="42"/>
      <c r="AB37325" s="38"/>
    </row>
    <row r="37326">
      <c r="P37326" s="42"/>
      <c r="AB37326" s="38"/>
    </row>
    <row r="37327">
      <c r="P37327" s="42"/>
      <c r="AB37327" s="38"/>
    </row>
    <row r="37328">
      <c r="P37328" s="42"/>
      <c r="AB37328" s="38"/>
    </row>
    <row r="37329">
      <c r="P37329" s="42"/>
      <c r="AB37329" s="38"/>
    </row>
    <row r="37330">
      <c r="P37330" s="42"/>
      <c r="AB37330" s="38"/>
    </row>
    <row r="37331">
      <c r="P37331" s="42"/>
      <c r="AB37331" s="38"/>
    </row>
    <row r="37332">
      <c r="P37332" s="42"/>
      <c r="AB37332" s="38"/>
    </row>
    <row r="37333">
      <c r="P37333" s="42"/>
      <c r="AB37333" s="38"/>
    </row>
    <row r="37334">
      <c r="P37334" s="42"/>
      <c r="AB37334" s="38"/>
    </row>
    <row r="37335">
      <c r="P37335" s="42"/>
      <c r="AB37335" s="38"/>
    </row>
    <row r="37336">
      <c r="P37336" s="42"/>
      <c r="AB37336" s="38"/>
    </row>
    <row r="37337">
      <c r="P37337" s="42"/>
      <c r="AB37337" s="38"/>
    </row>
    <row r="37338">
      <c r="P37338" s="42"/>
      <c r="AB37338" s="38"/>
    </row>
    <row r="37339">
      <c r="P37339" s="42"/>
      <c r="AB37339" s="38"/>
    </row>
    <row r="37340">
      <c r="P37340" s="42"/>
      <c r="AB37340" s="38"/>
    </row>
    <row r="37341">
      <c r="P37341" s="42"/>
      <c r="AB37341" s="38"/>
    </row>
    <row r="37342">
      <c r="P37342" s="42"/>
      <c r="AB37342" s="38"/>
    </row>
    <row r="37343">
      <c r="P37343" s="42"/>
      <c r="AB37343" s="38"/>
    </row>
    <row r="37344">
      <c r="P37344" s="42"/>
      <c r="AB37344" s="38"/>
    </row>
    <row r="37345">
      <c r="P37345" s="42"/>
      <c r="AB37345" s="38"/>
    </row>
    <row r="37346">
      <c r="P37346" s="42"/>
      <c r="AB37346" s="38"/>
    </row>
    <row r="37347">
      <c r="P37347" s="42"/>
      <c r="AB37347" s="38"/>
    </row>
    <row r="37348">
      <c r="P37348" s="42"/>
      <c r="AB37348" s="38"/>
    </row>
    <row r="37349">
      <c r="P37349" s="42"/>
      <c r="AB37349" s="38"/>
    </row>
    <row r="37350">
      <c r="P37350" s="42"/>
      <c r="AB37350" s="38"/>
    </row>
    <row r="37351">
      <c r="P37351" s="42"/>
      <c r="AB37351" s="38"/>
    </row>
    <row r="37352">
      <c r="P37352" s="42"/>
      <c r="AB37352" s="38"/>
    </row>
    <row r="37353">
      <c r="P37353" s="42"/>
      <c r="AB37353" s="38"/>
    </row>
    <row r="37354">
      <c r="P37354" s="42"/>
      <c r="AB37354" s="38"/>
    </row>
    <row r="37355">
      <c r="P37355" s="42"/>
      <c r="AB37355" s="38"/>
    </row>
    <row r="37356">
      <c r="P37356" s="42"/>
      <c r="AB37356" s="38"/>
    </row>
    <row r="37357">
      <c r="P37357" s="42"/>
      <c r="AB37357" s="38"/>
    </row>
    <row r="37358">
      <c r="P37358" s="42"/>
      <c r="AB37358" s="38"/>
    </row>
    <row r="37359">
      <c r="P37359" s="42"/>
      <c r="AB37359" s="38"/>
    </row>
    <row r="37360">
      <c r="P37360" s="42"/>
      <c r="AB37360" s="38"/>
    </row>
    <row r="37361">
      <c r="P37361" s="42"/>
      <c r="AB37361" s="38"/>
    </row>
    <row r="37362">
      <c r="P37362" s="42"/>
      <c r="AB37362" s="38"/>
    </row>
    <row r="37363">
      <c r="P37363" s="42"/>
      <c r="AB37363" s="38"/>
    </row>
    <row r="37364">
      <c r="P37364" s="42"/>
      <c r="AB37364" s="38"/>
    </row>
    <row r="37365">
      <c r="P37365" s="42"/>
      <c r="AB37365" s="38"/>
    </row>
    <row r="37366">
      <c r="P37366" s="42"/>
      <c r="AB37366" s="38"/>
    </row>
    <row r="37367">
      <c r="P37367" s="42"/>
      <c r="AB37367" s="38"/>
    </row>
    <row r="37368">
      <c r="P37368" s="42"/>
      <c r="AB37368" s="38"/>
    </row>
    <row r="37369">
      <c r="P37369" s="42"/>
      <c r="AB37369" s="38"/>
    </row>
    <row r="37370">
      <c r="P37370" s="42"/>
      <c r="AB37370" s="38"/>
    </row>
    <row r="37371">
      <c r="P37371" s="42"/>
      <c r="AB37371" s="38"/>
    </row>
    <row r="37372">
      <c r="P37372" s="42"/>
      <c r="AB37372" s="38"/>
    </row>
    <row r="37373">
      <c r="P37373" s="42"/>
      <c r="AB37373" s="38"/>
    </row>
    <row r="37374">
      <c r="P37374" s="42"/>
      <c r="AB37374" s="38"/>
    </row>
    <row r="37375">
      <c r="P37375" s="42"/>
      <c r="AB37375" s="38"/>
    </row>
    <row r="37376">
      <c r="P37376" s="42"/>
      <c r="AB37376" s="38"/>
    </row>
    <row r="37377">
      <c r="P37377" s="42"/>
      <c r="AB37377" s="38"/>
    </row>
    <row r="37378">
      <c r="P37378" s="42"/>
      <c r="AB37378" s="38"/>
    </row>
    <row r="37379">
      <c r="P37379" s="42"/>
      <c r="AB37379" s="38"/>
    </row>
    <row r="37380">
      <c r="P37380" s="42"/>
      <c r="AB37380" s="38"/>
    </row>
    <row r="37381">
      <c r="P37381" s="42"/>
      <c r="AB37381" s="38"/>
    </row>
    <row r="37382">
      <c r="P37382" s="42"/>
      <c r="AB37382" s="38"/>
    </row>
    <row r="37383">
      <c r="P37383" s="42"/>
      <c r="AB37383" s="38"/>
    </row>
    <row r="37384">
      <c r="P37384" s="42"/>
      <c r="AB37384" s="38"/>
    </row>
    <row r="37385">
      <c r="P37385" s="42"/>
      <c r="AB37385" s="38"/>
    </row>
    <row r="37386">
      <c r="P37386" s="42"/>
      <c r="AB37386" s="38"/>
    </row>
    <row r="37387">
      <c r="P37387" s="42"/>
      <c r="AB37387" s="38"/>
    </row>
    <row r="37388">
      <c r="P37388" s="42"/>
      <c r="AB37388" s="38"/>
    </row>
    <row r="37389">
      <c r="P37389" s="42"/>
      <c r="AB37389" s="38"/>
    </row>
    <row r="37390">
      <c r="P37390" s="42"/>
      <c r="AB37390" s="38"/>
    </row>
    <row r="37391">
      <c r="P37391" s="42"/>
      <c r="AB37391" s="38"/>
    </row>
    <row r="37392">
      <c r="P37392" s="42"/>
      <c r="AB37392" s="38"/>
    </row>
    <row r="37393">
      <c r="P37393" s="42"/>
      <c r="AB37393" s="38"/>
    </row>
    <row r="37394">
      <c r="P37394" s="42"/>
      <c r="AB37394" s="38"/>
    </row>
    <row r="37395">
      <c r="P37395" s="42"/>
      <c r="AB37395" s="38"/>
    </row>
    <row r="37396">
      <c r="P37396" s="42"/>
      <c r="AB37396" s="38"/>
    </row>
    <row r="37397">
      <c r="P37397" s="42"/>
      <c r="AB37397" s="38"/>
    </row>
    <row r="37398">
      <c r="P37398" s="42"/>
      <c r="AB37398" s="38"/>
    </row>
    <row r="37399">
      <c r="P37399" s="42"/>
      <c r="AB37399" s="38"/>
    </row>
    <row r="37400">
      <c r="P37400" s="42"/>
      <c r="AB37400" s="38"/>
    </row>
    <row r="37401">
      <c r="P37401" s="42"/>
      <c r="AB37401" s="38"/>
    </row>
    <row r="37402">
      <c r="P37402" s="42"/>
      <c r="AB37402" s="38"/>
    </row>
    <row r="37403">
      <c r="P37403" s="42"/>
      <c r="AB37403" s="38"/>
    </row>
    <row r="37404">
      <c r="P37404" s="42"/>
      <c r="AB37404" s="38"/>
    </row>
    <row r="37405">
      <c r="P37405" s="42"/>
      <c r="AB37405" s="38"/>
    </row>
    <row r="37406">
      <c r="P37406" s="42"/>
      <c r="AB37406" s="38"/>
    </row>
    <row r="37407">
      <c r="P37407" s="42"/>
      <c r="AB37407" s="38"/>
    </row>
    <row r="37408">
      <c r="P37408" s="42"/>
      <c r="AB37408" s="38"/>
    </row>
    <row r="37409">
      <c r="P37409" s="42"/>
      <c r="AB37409" s="38"/>
    </row>
    <row r="37410">
      <c r="P37410" s="42"/>
      <c r="AB37410" s="38"/>
    </row>
    <row r="37411">
      <c r="P37411" s="42"/>
      <c r="AB37411" s="38"/>
    </row>
    <row r="37412">
      <c r="P37412" s="42"/>
      <c r="AB37412" s="38"/>
    </row>
    <row r="37413">
      <c r="P37413" s="42"/>
      <c r="AB37413" s="38"/>
    </row>
    <row r="37414">
      <c r="P37414" s="42"/>
      <c r="AB37414" s="38"/>
    </row>
    <row r="37415">
      <c r="P37415" s="42"/>
      <c r="AB37415" s="38"/>
    </row>
    <row r="37416">
      <c r="P37416" s="42"/>
      <c r="AB37416" s="38"/>
    </row>
    <row r="37417">
      <c r="P37417" s="42"/>
      <c r="AB37417" s="38"/>
    </row>
    <row r="37418">
      <c r="P37418" s="42"/>
      <c r="AB37418" s="38"/>
    </row>
    <row r="37419">
      <c r="P37419" s="42"/>
      <c r="AB37419" s="38"/>
    </row>
    <row r="37420">
      <c r="P37420" s="42"/>
      <c r="AB37420" s="38"/>
    </row>
    <row r="37421">
      <c r="P37421" s="42"/>
      <c r="AB37421" s="38"/>
    </row>
    <row r="37422">
      <c r="P37422" s="42"/>
      <c r="AB37422" s="38"/>
    </row>
    <row r="37423">
      <c r="P37423" s="42"/>
      <c r="AB37423" s="38"/>
    </row>
    <row r="37424">
      <c r="P37424" s="42"/>
      <c r="AB37424" s="38"/>
    </row>
    <row r="37425">
      <c r="P37425" s="42"/>
      <c r="AB37425" s="38"/>
    </row>
    <row r="37426">
      <c r="P37426" s="42"/>
      <c r="AB37426" s="38"/>
    </row>
    <row r="37427">
      <c r="P37427" s="42"/>
      <c r="AB37427" s="38"/>
    </row>
    <row r="37428">
      <c r="P37428" s="42"/>
      <c r="AB37428" s="38"/>
    </row>
    <row r="37429">
      <c r="P37429" s="42"/>
      <c r="AB37429" s="38"/>
    </row>
    <row r="37430">
      <c r="P37430" s="42"/>
      <c r="AB37430" s="38"/>
    </row>
    <row r="37431">
      <c r="P37431" s="42"/>
      <c r="AB37431" s="38"/>
    </row>
    <row r="37432">
      <c r="P37432" s="42"/>
      <c r="AB37432" s="38"/>
    </row>
    <row r="37433">
      <c r="P37433" s="42"/>
      <c r="AB37433" s="38"/>
    </row>
    <row r="37434">
      <c r="P37434" s="42"/>
      <c r="AB37434" s="38"/>
    </row>
    <row r="37435">
      <c r="P37435" s="42"/>
      <c r="AB37435" s="38"/>
    </row>
    <row r="37436">
      <c r="P37436" s="42"/>
      <c r="AB37436" s="38"/>
    </row>
    <row r="37437">
      <c r="P37437" s="42"/>
      <c r="AB37437" s="38"/>
    </row>
    <row r="37438">
      <c r="P37438" s="42"/>
      <c r="AB37438" s="38"/>
    </row>
    <row r="37439">
      <c r="P37439" s="42"/>
      <c r="AB37439" s="38"/>
    </row>
    <row r="37440">
      <c r="P37440" s="42"/>
      <c r="AB37440" s="38"/>
    </row>
    <row r="37441">
      <c r="P37441" s="42"/>
      <c r="AB37441" s="38"/>
    </row>
    <row r="37442">
      <c r="P37442" s="42"/>
      <c r="AB37442" s="38"/>
    </row>
    <row r="37443">
      <c r="P37443" s="42"/>
      <c r="AB37443" s="38"/>
    </row>
    <row r="37444">
      <c r="P37444" s="42"/>
      <c r="AB37444" s="38"/>
    </row>
    <row r="37445">
      <c r="P37445" s="42"/>
      <c r="AB37445" s="38"/>
    </row>
    <row r="37446">
      <c r="P37446" s="42"/>
      <c r="AB37446" s="38"/>
    </row>
    <row r="37447">
      <c r="P37447" s="42"/>
      <c r="AB37447" s="38"/>
    </row>
    <row r="37448">
      <c r="P37448" s="42"/>
      <c r="AB37448" s="38"/>
    </row>
    <row r="37449">
      <c r="P37449" s="42"/>
      <c r="AB37449" s="38"/>
    </row>
    <row r="37450">
      <c r="P37450" s="42"/>
      <c r="AB37450" s="38"/>
    </row>
    <row r="37451">
      <c r="P37451" s="42"/>
      <c r="AB37451" s="38"/>
    </row>
    <row r="37452">
      <c r="P37452" s="42"/>
      <c r="AB37452" s="38"/>
    </row>
    <row r="37453">
      <c r="P37453" s="42"/>
      <c r="AB37453" s="38"/>
    </row>
    <row r="37454">
      <c r="P37454" s="42"/>
      <c r="AB37454" s="38"/>
    </row>
    <row r="37455">
      <c r="P37455" s="42"/>
      <c r="AB37455" s="38"/>
    </row>
    <row r="37456">
      <c r="P37456" s="42"/>
      <c r="AB37456" s="38"/>
    </row>
    <row r="37457">
      <c r="P37457" s="42"/>
      <c r="AB37457" s="38"/>
    </row>
    <row r="37458">
      <c r="P37458" s="42"/>
      <c r="AB37458" s="38"/>
    </row>
    <row r="37459">
      <c r="P37459" s="42"/>
      <c r="AB37459" s="38"/>
    </row>
    <row r="37460">
      <c r="P37460" s="42"/>
      <c r="AB37460" s="38"/>
    </row>
    <row r="37461">
      <c r="P37461" s="42"/>
      <c r="AB37461" s="38"/>
    </row>
    <row r="37462">
      <c r="P37462" s="42"/>
      <c r="AB37462" s="38"/>
    </row>
    <row r="37463">
      <c r="P37463" s="42"/>
      <c r="AB37463" s="38"/>
    </row>
    <row r="37464">
      <c r="P37464" s="42"/>
      <c r="AB37464" s="38"/>
    </row>
    <row r="37465">
      <c r="P37465" s="42"/>
      <c r="AB37465" s="38"/>
    </row>
    <row r="37466">
      <c r="P37466" s="42"/>
      <c r="AB37466" s="38"/>
    </row>
    <row r="37467">
      <c r="P37467" s="42"/>
      <c r="AB37467" s="38"/>
    </row>
    <row r="37468">
      <c r="P37468" s="42"/>
      <c r="AB37468" s="38"/>
    </row>
    <row r="37469">
      <c r="P37469" s="42"/>
      <c r="AB37469" s="38"/>
    </row>
    <row r="37470">
      <c r="P37470" s="42"/>
      <c r="AB37470" s="38"/>
    </row>
    <row r="37471">
      <c r="P37471" s="42"/>
      <c r="AB37471" s="38"/>
    </row>
    <row r="37472">
      <c r="P37472" s="42"/>
      <c r="AB37472" s="38"/>
    </row>
    <row r="37473">
      <c r="P37473" s="42"/>
      <c r="AB37473" s="38"/>
    </row>
    <row r="37474">
      <c r="P37474" s="42"/>
      <c r="AB37474" s="38"/>
    </row>
    <row r="37475">
      <c r="P37475" s="42"/>
      <c r="AB37475" s="38"/>
    </row>
    <row r="37476">
      <c r="P37476" s="42"/>
      <c r="AB37476" s="38"/>
    </row>
    <row r="37477">
      <c r="P37477" s="42"/>
      <c r="AB37477" s="38"/>
    </row>
    <row r="37478">
      <c r="P37478" s="42"/>
      <c r="AB37478" s="38"/>
    </row>
    <row r="37479">
      <c r="P37479" s="42"/>
      <c r="AB37479" s="38"/>
    </row>
    <row r="37480">
      <c r="P37480" s="42"/>
      <c r="AB37480" s="38"/>
    </row>
    <row r="37481">
      <c r="P37481" s="42"/>
      <c r="AB37481" s="38"/>
    </row>
    <row r="37482">
      <c r="P37482" s="42"/>
      <c r="AB37482" s="38"/>
    </row>
    <row r="37483">
      <c r="P37483" s="42"/>
      <c r="AB37483" s="38"/>
    </row>
    <row r="37484">
      <c r="P37484" s="42"/>
      <c r="AB37484" s="38"/>
    </row>
    <row r="37485">
      <c r="P37485" s="42"/>
      <c r="AB37485" s="38"/>
    </row>
    <row r="37486">
      <c r="P37486" s="42"/>
      <c r="AB37486" s="38"/>
    </row>
    <row r="37487">
      <c r="P37487" s="42"/>
      <c r="AB37487" s="38"/>
    </row>
    <row r="37488">
      <c r="P37488" s="42"/>
      <c r="AB37488" s="38"/>
    </row>
    <row r="37489">
      <c r="P37489" s="42"/>
      <c r="AB37489" s="38"/>
    </row>
    <row r="37490">
      <c r="P37490" s="42"/>
      <c r="AB37490" s="38"/>
    </row>
    <row r="37491">
      <c r="P37491" s="42"/>
      <c r="AB37491" s="38"/>
    </row>
    <row r="37492">
      <c r="P37492" s="42"/>
      <c r="AB37492" s="38"/>
    </row>
    <row r="37493">
      <c r="P37493" s="42"/>
      <c r="AB37493" s="38"/>
    </row>
    <row r="37494">
      <c r="P37494" s="42"/>
      <c r="AB37494" s="38"/>
    </row>
    <row r="37495">
      <c r="P37495" s="42"/>
      <c r="AB37495" s="38"/>
    </row>
    <row r="37496">
      <c r="P37496" s="42"/>
      <c r="AB37496" s="38"/>
    </row>
    <row r="37497">
      <c r="P37497" s="42"/>
      <c r="AB37497" s="38"/>
    </row>
    <row r="37498">
      <c r="P37498" s="42"/>
      <c r="AB37498" s="38"/>
    </row>
    <row r="37499">
      <c r="P37499" s="42"/>
      <c r="AB37499" s="38"/>
    </row>
    <row r="37500">
      <c r="P37500" s="42"/>
      <c r="AB37500" s="38"/>
    </row>
    <row r="37501">
      <c r="P37501" s="42"/>
      <c r="AB37501" s="38"/>
    </row>
    <row r="37502">
      <c r="P37502" s="42"/>
      <c r="AB37502" s="38"/>
    </row>
    <row r="37503">
      <c r="P37503" s="42"/>
      <c r="AB37503" s="38"/>
    </row>
    <row r="37504">
      <c r="P37504" s="42"/>
      <c r="AB37504" s="38"/>
    </row>
    <row r="37505">
      <c r="P37505" s="42"/>
      <c r="AB37505" s="38"/>
    </row>
    <row r="37506">
      <c r="P37506" s="42"/>
      <c r="AB37506" s="38"/>
    </row>
    <row r="37507">
      <c r="P37507" s="42"/>
      <c r="AB37507" s="38"/>
    </row>
    <row r="37508">
      <c r="P37508" s="42"/>
      <c r="AB37508" s="38"/>
    </row>
    <row r="37509">
      <c r="P37509" s="42"/>
      <c r="AB37509" s="38"/>
    </row>
    <row r="37510">
      <c r="P37510" s="42"/>
      <c r="AB37510" s="38"/>
    </row>
    <row r="37511">
      <c r="P37511" s="42"/>
      <c r="AB37511" s="38"/>
    </row>
    <row r="37512">
      <c r="P37512" s="42"/>
      <c r="AB37512" s="38"/>
    </row>
    <row r="37513">
      <c r="P37513" s="42"/>
      <c r="AB37513" s="38"/>
    </row>
    <row r="37514">
      <c r="P37514" s="42"/>
      <c r="AB37514" s="38"/>
    </row>
    <row r="37515">
      <c r="P37515" s="42"/>
      <c r="AB37515" s="38"/>
    </row>
    <row r="37516">
      <c r="P37516" s="42"/>
      <c r="AB37516" s="38"/>
    </row>
    <row r="37517">
      <c r="P37517" s="42"/>
      <c r="AB37517" s="38"/>
    </row>
    <row r="37518">
      <c r="P37518" s="42"/>
      <c r="AB37518" s="38"/>
    </row>
    <row r="37519">
      <c r="P37519" s="42"/>
      <c r="AB37519" s="38"/>
    </row>
    <row r="37520">
      <c r="P37520" s="42"/>
      <c r="AB37520" s="38"/>
    </row>
    <row r="37521">
      <c r="P37521" s="42"/>
      <c r="AB37521" s="38"/>
    </row>
    <row r="37522">
      <c r="P37522" s="42"/>
      <c r="AB37522" s="38"/>
    </row>
    <row r="37523">
      <c r="P37523" s="42"/>
      <c r="AB37523" s="38"/>
    </row>
    <row r="37524">
      <c r="P37524" s="42"/>
      <c r="AB37524" s="38"/>
    </row>
    <row r="37525">
      <c r="P37525" s="42"/>
      <c r="AB37525" s="38"/>
    </row>
    <row r="37526">
      <c r="P37526" s="42"/>
      <c r="AB37526" s="38"/>
    </row>
    <row r="37527">
      <c r="P37527" s="42"/>
      <c r="AB37527" s="38"/>
    </row>
    <row r="37528">
      <c r="P37528" s="42"/>
      <c r="AB37528" s="38"/>
    </row>
    <row r="37529">
      <c r="P37529" s="42"/>
      <c r="AB37529" s="38"/>
    </row>
    <row r="37530">
      <c r="P37530" s="42"/>
      <c r="AB37530" s="38"/>
    </row>
    <row r="37531">
      <c r="P37531" s="42"/>
      <c r="AB37531" s="38"/>
    </row>
    <row r="37532">
      <c r="P37532" s="42"/>
      <c r="AB37532" s="38"/>
    </row>
    <row r="37533">
      <c r="P37533" s="42"/>
      <c r="AB37533" s="38"/>
    </row>
    <row r="37534">
      <c r="P37534" s="42"/>
      <c r="AB37534" s="38"/>
    </row>
    <row r="37535">
      <c r="P37535" s="42"/>
      <c r="AB37535" s="38"/>
    </row>
    <row r="37536">
      <c r="P37536" s="42"/>
      <c r="AB37536" s="38"/>
    </row>
    <row r="37537">
      <c r="P37537" s="42"/>
      <c r="AB37537" s="38"/>
    </row>
    <row r="37538">
      <c r="P37538" s="42"/>
      <c r="AB37538" s="38"/>
    </row>
    <row r="37539">
      <c r="P37539" s="42"/>
      <c r="AB37539" s="38"/>
    </row>
    <row r="37540">
      <c r="P37540" s="42"/>
      <c r="AB37540" s="38"/>
    </row>
    <row r="37541">
      <c r="P37541" s="42"/>
      <c r="AB37541" s="38"/>
    </row>
    <row r="37542">
      <c r="P37542" s="42"/>
      <c r="AB37542" s="38"/>
    </row>
    <row r="37543">
      <c r="P37543" s="42"/>
      <c r="AB37543" s="38"/>
    </row>
    <row r="37544">
      <c r="P37544" s="42"/>
      <c r="AB37544" s="38"/>
    </row>
    <row r="37545">
      <c r="P37545" s="42"/>
      <c r="AB37545" s="38"/>
    </row>
    <row r="37546">
      <c r="P37546" s="42"/>
      <c r="AB37546" s="38"/>
    </row>
    <row r="37547">
      <c r="P37547" s="42"/>
      <c r="AB37547" s="38"/>
    </row>
    <row r="37548">
      <c r="P37548" s="42"/>
      <c r="AB37548" s="38"/>
    </row>
    <row r="37549">
      <c r="P37549" s="42"/>
      <c r="AB37549" s="38"/>
    </row>
    <row r="37550">
      <c r="P37550" s="42"/>
      <c r="AB37550" s="38"/>
    </row>
    <row r="37551">
      <c r="P37551" s="42"/>
      <c r="AB37551" s="38"/>
    </row>
    <row r="37552">
      <c r="P37552" s="42"/>
      <c r="AB37552" s="38"/>
    </row>
    <row r="37553">
      <c r="P37553" s="42"/>
      <c r="AB37553" s="38"/>
    </row>
    <row r="37554">
      <c r="P37554" s="42"/>
      <c r="AB37554" s="38"/>
    </row>
    <row r="37555">
      <c r="P37555" s="42"/>
      <c r="AB37555" s="38"/>
    </row>
    <row r="37556">
      <c r="P37556" s="42"/>
      <c r="AB37556" s="38"/>
    </row>
    <row r="37557">
      <c r="P37557" s="42"/>
      <c r="AB37557" s="38"/>
    </row>
    <row r="37558">
      <c r="P37558" s="42"/>
      <c r="AB37558" s="38"/>
    </row>
    <row r="37559">
      <c r="P37559" s="42"/>
      <c r="AB37559" s="38"/>
    </row>
    <row r="37560">
      <c r="P37560" s="42"/>
      <c r="AB37560" s="38"/>
    </row>
    <row r="37561">
      <c r="P37561" s="42"/>
      <c r="AB37561" s="38"/>
    </row>
    <row r="37562">
      <c r="P37562" s="42"/>
      <c r="AB37562" s="38"/>
    </row>
    <row r="37563">
      <c r="P37563" s="42"/>
      <c r="AB37563" s="38"/>
    </row>
    <row r="37564">
      <c r="P37564" s="42"/>
      <c r="AB37564" s="38"/>
    </row>
    <row r="37565">
      <c r="P37565" s="42"/>
      <c r="AB37565" s="38"/>
    </row>
    <row r="37566">
      <c r="P37566" s="42"/>
      <c r="AB37566" s="38"/>
    </row>
    <row r="37567">
      <c r="P37567" s="42"/>
      <c r="AB37567" s="38"/>
    </row>
    <row r="37568">
      <c r="P37568" s="42"/>
      <c r="AB37568" s="38"/>
    </row>
    <row r="37569">
      <c r="P37569" s="42"/>
      <c r="AB37569" s="38"/>
    </row>
    <row r="37570">
      <c r="P37570" s="42"/>
      <c r="AB37570" s="38"/>
    </row>
    <row r="37571">
      <c r="P37571" s="42"/>
      <c r="AB37571" s="38"/>
    </row>
    <row r="37572">
      <c r="P37572" s="42"/>
      <c r="AB37572" s="38"/>
    </row>
    <row r="37573">
      <c r="P37573" s="42"/>
      <c r="AB37573" s="38"/>
    </row>
    <row r="37574">
      <c r="P37574" s="42"/>
      <c r="AB37574" s="38"/>
    </row>
    <row r="37575">
      <c r="P37575" s="42"/>
      <c r="AB37575" s="38"/>
    </row>
    <row r="37576">
      <c r="P37576" s="42"/>
      <c r="AB37576" s="38"/>
    </row>
    <row r="37577">
      <c r="P37577" s="42"/>
      <c r="AB37577" s="38"/>
    </row>
    <row r="37578">
      <c r="P37578" s="42"/>
      <c r="AB37578" s="38"/>
    </row>
    <row r="37579">
      <c r="P37579" s="42"/>
      <c r="AB37579" s="38"/>
    </row>
    <row r="37580">
      <c r="P37580" s="42"/>
      <c r="AB37580" s="38"/>
    </row>
    <row r="37581">
      <c r="P37581" s="42"/>
      <c r="AB37581" s="38"/>
    </row>
    <row r="37582">
      <c r="P37582" s="42"/>
      <c r="AB37582" s="38"/>
    </row>
    <row r="37583">
      <c r="P37583" s="42"/>
      <c r="AB37583" s="38"/>
    </row>
    <row r="37584">
      <c r="P37584" s="42"/>
      <c r="AB37584" s="38"/>
    </row>
    <row r="37585">
      <c r="P37585" s="42"/>
      <c r="AB37585" s="38"/>
    </row>
    <row r="37586">
      <c r="P37586" s="42"/>
      <c r="AB37586" s="38"/>
    </row>
    <row r="37587">
      <c r="P37587" s="42"/>
      <c r="AB37587" s="38"/>
    </row>
    <row r="37588">
      <c r="P37588" s="42"/>
      <c r="AB37588" s="38"/>
    </row>
    <row r="37589">
      <c r="P37589" s="42"/>
      <c r="AB37589" s="38"/>
    </row>
    <row r="37590">
      <c r="P37590" s="42"/>
      <c r="AB37590" s="38"/>
    </row>
    <row r="37591">
      <c r="P37591" s="42"/>
      <c r="AB37591" s="38"/>
    </row>
    <row r="37592">
      <c r="P37592" s="42"/>
      <c r="AB37592" s="38"/>
    </row>
    <row r="37593">
      <c r="P37593" s="42"/>
      <c r="AB37593" s="38"/>
    </row>
    <row r="37594">
      <c r="P37594" s="42"/>
      <c r="AB37594" s="38"/>
    </row>
    <row r="37595">
      <c r="P37595" s="42"/>
      <c r="AB37595" s="38"/>
    </row>
    <row r="37596">
      <c r="P37596" s="42"/>
      <c r="AB37596" s="38"/>
    </row>
    <row r="37597">
      <c r="P37597" s="42"/>
      <c r="AB37597" s="38"/>
    </row>
    <row r="37598">
      <c r="P37598" s="42"/>
      <c r="AB37598" s="38"/>
    </row>
    <row r="37599">
      <c r="P37599" s="42"/>
      <c r="AB37599" s="38"/>
    </row>
    <row r="37600">
      <c r="P37600" s="42"/>
      <c r="AB37600" s="38"/>
    </row>
    <row r="37601">
      <c r="P37601" s="42"/>
      <c r="AB37601" s="38"/>
    </row>
    <row r="37602">
      <c r="P37602" s="42"/>
      <c r="AB37602" s="38"/>
    </row>
    <row r="37603">
      <c r="P37603" s="42"/>
      <c r="AB37603" s="38"/>
    </row>
    <row r="37604">
      <c r="P37604" s="42"/>
      <c r="AB37604" s="38"/>
    </row>
    <row r="37605">
      <c r="P37605" s="42"/>
      <c r="AB37605" s="38"/>
    </row>
    <row r="37606">
      <c r="P37606" s="42"/>
      <c r="AB37606" s="38"/>
    </row>
    <row r="37607">
      <c r="P37607" s="42"/>
      <c r="AB37607" s="38"/>
    </row>
    <row r="37608">
      <c r="P37608" s="42"/>
      <c r="AB37608" s="38"/>
    </row>
    <row r="37609">
      <c r="P37609" s="42"/>
      <c r="AB37609" s="38"/>
    </row>
    <row r="37610">
      <c r="P37610" s="42"/>
      <c r="AB37610" s="38"/>
    </row>
    <row r="37611">
      <c r="P37611" s="42"/>
      <c r="AB37611" s="38"/>
    </row>
    <row r="37612">
      <c r="P37612" s="42"/>
      <c r="AB37612" s="38"/>
    </row>
    <row r="37613">
      <c r="P37613" s="42"/>
      <c r="AB37613" s="38"/>
    </row>
    <row r="37614">
      <c r="P37614" s="42"/>
      <c r="AB37614" s="38"/>
    </row>
    <row r="37615">
      <c r="P37615" s="42"/>
      <c r="AB37615" s="38"/>
    </row>
    <row r="37616">
      <c r="P37616" s="42"/>
      <c r="AB37616" s="38"/>
    </row>
    <row r="37617">
      <c r="P37617" s="42"/>
      <c r="AB37617" s="38"/>
    </row>
    <row r="37618">
      <c r="P37618" s="42"/>
      <c r="AB37618" s="38"/>
    </row>
    <row r="37619">
      <c r="P37619" s="42"/>
      <c r="AB37619" s="38"/>
    </row>
    <row r="37620">
      <c r="P37620" s="42"/>
      <c r="AB37620" s="38"/>
    </row>
    <row r="37621">
      <c r="P37621" s="42"/>
      <c r="AB37621" s="38"/>
    </row>
    <row r="37622">
      <c r="P37622" s="42"/>
      <c r="AB37622" s="38"/>
    </row>
    <row r="37623">
      <c r="P37623" s="42"/>
      <c r="AB37623" s="38"/>
    </row>
    <row r="37624">
      <c r="P37624" s="42"/>
      <c r="AB37624" s="38"/>
    </row>
    <row r="37625">
      <c r="P37625" s="42"/>
      <c r="AB37625" s="38"/>
    </row>
    <row r="37626">
      <c r="P37626" s="42"/>
      <c r="AB37626" s="38"/>
    </row>
    <row r="37627">
      <c r="P37627" s="42"/>
      <c r="AB37627" s="38"/>
    </row>
    <row r="37628">
      <c r="P37628" s="42"/>
      <c r="AB37628" s="38"/>
    </row>
    <row r="37629">
      <c r="P37629" s="42"/>
      <c r="AB37629" s="38"/>
    </row>
    <row r="37630">
      <c r="P37630" s="42"/>
      <c r="AB37630" s="38"/>
    </row>
    <row r="37631">
      <c r="P37631" s="42"/>
      <c r="AB37631" s="38"/>
    </row>
    <row r="37632">
      <c r="P37632" s="42"/>
      <c r="AB37632" s="38"/>
    </row>
    <row r="37633">
      <c r="P37633" s="42"/>
      <c r="AB37633" s="38"/>
    </row>
    <row r="37634">
      <c r="P37634" s="42"/>
      <c r="AB37634" s="38"/>
    </row>
    <row r="37635">
      <c r="P37635" s="42"/>
      <c r="AB37635" s="38"/>
    </row>
    <row r="37636">
      <c r="P37636" s="42"/>
      <c r="AB37636" s="38"/>
    </row>
    <row r="37637">
      <c r="P37637" s="42"/>
      <c r="AB37637" s="38"/>
    </row>
    <row r="37638">
      <c r="P37638" s="42"/>
      <c r="AB37638" s="38"/>
    </row>
    <row r="37639">
      <c r="P37639" s="42"/>
      <c r="AB37639" s="38"/>
    </row>
    <row r="37640">
      <c r="P37640" s="42"/>
      <c r="AB37640" s="38"/>
    </row>
    <row r="37641">
      <c r="P37641" s="42"/>
      <c r="AB37641" s="38"/>
    </row>
    <row r="37642">
      <c r="P37642" s="42"/>
      <c r="AB37642" s="38"/>
    </row>
    <row r="37643">
      <c r="P37643" s="42"/>
      <c r="AB37643" s="38"/>
    </row>
    <row r="37644">
      <c r="P37644" s="42"/>
      <c r="AB37644" s="38"/>
    </row>
    <row r="37645">
      <c r="P37645" s="42"/>
      <c r="AB37645" s="38"/>
    </row>
    <row r="37646">
      <c r="P37646" s="42"/>
      <c r="AB37646" s="38"/>
    </row>
    <row r="37647">
      <c r="P37647" s="42"/>
      <c r="AB37647" s="38"/>
    </row>
    <row r="37648">
      <c r="P37648" s="42"/>
      <c r="AB37648" s="38"/>
    </row>
    <row r="37649">
      <c r="P37649" s="42"/>
      <c r="AB37649" s="38"/>
    </row>
    <row r="37650">
      <c r="P37650" s="42"/>
      <c r="AB37650" s="38"/>
    </row>
    <row r="37651">
      <c r="P37651" s="42"/>
      <c r="AB37651" s="38"/>
    </row>
    <row r="37652">
      <c r="P37652" s="42"/>
      <c r="AB37652" s="38"/>
    </row>
    <row r="37653">
      <c r="P37653" s="42"/>
      <c r="AB37653" s="38"/>
    </row>
    <row r="37654">
      <c r="P37654" s="42"/>
      <c r="AB37654" s="38"/>
    </row>
    <row r="37655">
      <c r="P37655" s="42"/>
      <c r="AB37655" s="38"/>
    </row>
    <row r="37656">
      <c r="P37656" s="42"/>
      <c r="AB37656" s="38"/>
    </row>
    <row r="37657">
      <c r="P37657" s="42"/>
      <c r="AB37657" s="38"/>
    </row>
    <row r="37658">
      <c r="P37658" s="42"/>
      <c r="AB37658" s="38"/>
    </row>
    <row r="37659">
      <c r="P37659" s="42"/>
      <c r="AB37659" s="38"/>
    </row>
    <row r="37660">
      <c r="P37660" s="42"/>
      <c r="AB37660" s="38"/>
    </row>
    <row r="37661">
      <c r="P37661" s="42"/>
      <c r="AB37661" s="38"/>
    </row>
    <row r="37662">
      <c r="P37662" s="42"/>
      <c r="AB37662" s="38"/>
    </row>
    <row r="37663">
      <c r="P37663" s="42"/>
      <c r="AB37663" s="38"/>
    </row>
    <row r="37664">
      <c r="P37664" s="42"/>
      <c r="AB37664" s="38"/>
    </row>
    <row r="37665">
      <c r="P37665" s="42"/>
      <c r="AB37665" s="38"/>
    </row>
    <row r="37666">
      <c r="P37666" s="42"/>
      <c r="AB37666" s="38"/>
    </row>
    <row r="37667">
      <c r="P37667" s="42"/>
      <c r="AB37667" s="38"/>
    </row>
    <row r="37668">
      <c r="P37668" s="42"/>
      <c r="AB37668" s="38"/>
    </row>
    <row r="37669">
      <c r="P37669" s="42"/>
      <c r="AB37669" s="38"/>
    </row>
    <row r="37670">
      <c r="P37670" s="42"/>
      <c r="AB37670" s="38"/>
    </row>
    <row r="37671">
      <c r="P37671" s="42"/>
      <c r="AB37671" s="38"/>
    </row>
    <row r="37672">
      <c r="P37672" s="42"/>
      <c r="AB37672" s="38"/>
    </row>
    <row r="37673">
      <c r="P37673" s="42"/>
      <c r="AB37673" s="38"/>
    </row>
    <row r="37674">
      <c r="P37674" s="42"/>
      <c r="AB37674" s="38"/>
    </row>
    <row r="37675">
      <c r="P37675" s="42"/>
      <c r="AB37675" s="38"/>
    </row>
    <row r="37676">
      <c r="P37676" s="42"/>
      <c r="AB37676" s="38"/>
    </row>
    <row r="37677">
      <c r="P37677" s="42"/>
      <c r="AB37677" s="38"/>
    </row>
    <row r="37678">
      <c r="P37678" s="42"/>
      <c r="AB37678" s="38"/>
    </row>
    <row r="37679">
      <c r="P37679" s="42"/>
      <c r="AB37679" s="38"/>
    </row>
    <row r="37680">
      <c r="P37680" s="42"/>
      <c r="AB37680" s="38"/>
    </row>
    <row r="37681">
      <c r="P37681" s="42"/>
      <c r="AB37681" s="38"/>
    </row>
    <row r="37682">
      <c r="P37682" s="42"/>
      <c r="AB37682" s="38"/>
    </row>
    <row r="37683">
      <c r="P37683" s="42"/>
      <c r="AB37683" s="38"/>
    </row>
    <row r="37684">
      <c r="P37684" s="42"/>
      <c r="AB37684" s="38"/>
    </row>
    <row r="37685">
      <c r="P37685" s="42"/>
      <c r="AB37685" s="38"/>
    </row>
    <row r="37686">
      <c r="P37686" s="42"/>
      <c r="AB37686" s="38"/>
    </row>
    <row r="37687">
      <c r="P37687" s="42"/>
      <c r="AB37687" s="38"/>
    </row>
    <row r="37688">
      <c r="P37688" s="42"/>
      <c r="AB37688" s="38"/>
    </row>
    <row r="37689">
      <c r="P37689" s="42"/>
      <c r="AB37689" s="38"/>
    </row>
    <row r="37690">
      <c r="P37690" s="42"/>
      <c r="AB37690" s="38"/>
    </row>
    <row r="37691">
      <c r="P37691" s="42"/>
      <c r="AB37691" s="38"/>
    </row>
    <row r="37692">
      <c r="P37692" s="42"/>
      <c r="AB37692" s="38"/>
    </row>
    <row r="37693">
      <c r="P37693" s="42"/>
      <c r="AB37693" s="38"/>
    </row>
    <row r="37694">
      <c r="P37694" s="42"/>
      <c r="AB37694" s="38"/>
    </row>
    <row r="37695">
      <c r="P37695" s="42"/>
      <c r="AB37695" s="38"/>
    </row>
    <row r="37696">
      <c r="P37696" s="42"/>
      <c r="AB37696" s="38"/>
    </row>
    <row r="37697">
      <c r="P37697" s="42"/>
      <c r="AB37697" s="38"/>
    </row>
    <row r="37698">
      <c r="P37698" s="42"/>
      <c r="AB37698" s="38"/>
    </row>
    <row r="37699">
      <c r="P37699" s="42"/>
      <c r="AB37699" s="38"/>
    </row>
    <row r="37700">
      <c r="P37700" s="42"/>
      <c r="AB37700" s="38"/>
    </row>
    <row r="37701">
      <c r="P37701" s="42"/>
      <c r="AB37701" s="38"/>
    </row>
    <row r="37702">
      <c r="P37702" s="42"/>
      <c r="AB37702" s="38"/>
    </row>
    <row r="37703">
      <c r="P37703" s="42"/>
      <c r="AB37703" s="38"/>
    </row>
    <row r="37704">
      <c r="P37704" s="42"/>
      <c r="AB37704" s="38"/>
    </row>
    <row r="37705">
      <c r="P37705" s="42"/>
      <c r="AB37705" s="38"/>
    </row>
    <row r="37706">
      <c r="P37706" s="42"/>
      <c r="AB37706" s="38"/>
    </row>
    <row r="37707">
      <c r="P37707" s="42"/>
      <c r="AB37707" s="38"/>
    </row>
    <row r="37708">
      <c r="P37708" s="42"/>
      <c r="AB37708" s="38"/>
    </row>
    <row r="37709">
      <c r="P37709" s="42"/>
      <c r="AB37709" s="38"/>
    </row>
    <row r="37710">
      <c r="P37710" s="42"/>
      <c r="AB37710" s="38"/>
    </row>
    <row r="37711">
      <c r="P37711" s="42"/>
      <c r="AB37711" s="38"/>
    </row>
    <row r="37712">
      <c r="P37712" s="42"/>
      <c r="AB37712" s="38"/>
    </row>
    <row r="37713">
      <c r="P37713" s="42"/>
      <c r="AB37713" s="38"/>
    </row>
    <row r="37714">
      <c r="P37714" s="42"/>
      <c r="AB37714" s="38"/>
    </row>
    <row r="37715">
      <c r="P37715" s="42"/>
      <c r="AB37715" s="38"/>
    </row>
    <row r="37716">
      <c r="P37716" s="42"/>
      <c r="AB37716" s="38"/>
    </row>
    <row r="37717">
      <c r="P37717" s="42"/>
      <c r="AB37717" s="38"/>
    </row>
    <row r="37718">
      <c r="P37718" s="42"/>
      <c r="AB37718" s="38"/>
    </row>
    <row r="37719">
      <c r="P37719" s="42"/>
      <c r="AB37719" s="38"/>
    </row>
    <row r="37720">
      <c r="P37720" s="42"/>
      <c r="AB37720" s="38"/>
    </row>
    <row r="37721">
      <c r="P37721" s="42"/>
      <c r="AB37721" s="38"/>
    </row>
    <row r="37722">
      <c r="P37722" s="42"/>
      <c r="AB37722" s="38"/>
    </row>
    <row r="37723">
      <c r="P37723" s="42"/>
      <c r="AB37723" s="38"/>
    </row>
    <row r="37724">
      <c r="P37724" s="42"/>
      <c r="AB37724" s="38"/>
    </row>
    <row r="37725">
      <c r="P37725" s="42"/>
      <c r="AB37725" s="38"/>
    </row>
    <row r="37726">
      <c r="P37726" s="42"/>
      <c r="AB37726" s="38"/>
    </row>
    <row r="37727">
      <c r="P37727" s="42"/>
      <c r="AB37727" s="38"/>
    </row>
    <row r="37728">
      <c r="P37728" s="42"/>
      <c r="AB37728" s="38"/>
    </row>
    <row r="37729">
      <c r="P37729" s="42"/>
      <c r="AB37729" s="38"/>
    </row>
    <row r="37730">
      <c r="P37730" s="42"/>
      <c r="AB37730" s="38"/>
    </row>
    <row r="37731">
      <c r="P37731" s="42"/>
      <c r="AB37731" s="38"/>
    </row>
    <row r="37732">
      <c r="P37732" s="42"/>
      <c r="AB37732" s="38"/>
    </row>
    <row r="37733">
      <c r="P37733" s="42"/>
      <c r="AB37733" s="38"/>
    </row>
    <row r="37734">
      <c r="P37734" s="42"/>
      <c r="AB37734" s="38"/>
    </row>
    <row r="37735">
      <c r="P37735" s="42"/>
      <c r="AB37735" s="38"/>
    </row>
    <row r="37736">
      <c r="P37736" s="42"/>
      <c r="AB37736" s="38"/>
    </row>
    <row r="37737">
      <c r="P37737" s="42"/>
      <c r="AB37737" s="38"/>
    </row>
    <row r="37738">
      <c r="P37738" s="42"/>
      <c r="AB37738" s="38"/>
    </row>
    <row r="37739">
      <c r="P37739" s="42"/>
      <c r="AB37739" s="38"/>
    </row>
    <row r="37740">
      <c r="P37740" s="42"/>
      <c r="AB37740" s="38"/>
    </row>
    <row r="37741">
      <c r="P37741" s="42"/>
      <c r="AB37741" s="38"/>
    </row>
    <row r="37742">
      <c r="P37742" s="42"/>
      <c r="AB37742" s="38"/>
    </row>
    <row r="37743">
      <c r="P37743" s="42"/>
      <c r="AB37743" s="38"/>
    </row>
    <row r="37744">
      <c r="P37744" s="42"/>
      <c r="AB37744" s="38"/>
    </row>
    <row r="37745">
      <c r="P37745" s="42"/>
      <c r="AB37745" s="38"/>
    </row>
    <row r="37746">
      <c r="P37746" s="42"/>
      <c r="AB37746" s="38"/>
    </row>
    <row r="37747">
      <c r="P37747" s="42"/>
      <c r="AB37747" s="38"/>
    </row>
    <row r="37748">
      <c r="P37748" s="42"/>
      <c r="AB37748" s="38"/>
    </row>
    <row r="37749">
      <c r="P37749" s="42"/>
      <c r="AB37749" s="38"/>
    </row>
    <row r="37750">
      <c r="P37750" s="42"/>
      <c r="AB37750" s="38"/>
    </row>
    <row r="37751">
      <c r="P37751" s="42"/>
      <c r="AB37751" s="38"/>
    </row>
    <row r="37752">
      <c r="P37752" s="42"/>
      <c r="AB37752" s="38"/>
    </row>
    <row r="37753">
      <c r="P37753" s="42"/>
      <c r="AB37753" s="38"/>
    </row>
    <row r="37754">
      <c r="P37754" s="42"/>
      <c r="AB37754" s="38"/>
    </row>
    <row r="37755">
      <c r="P37755" s="42"/>
      <c r="AB37755" s="38"/>
    </row>
    <row r="37756">
      <c r="P37756" s="42"/>
      <c r="AB37756" s="38"/>
    </row>
    <row r="37757">
      <c r="P37757" s="42"/>
      <c r="AB37757" s="38"/>
    </row>
    <row r="37758">
      <c r="P37758" s="42"/>
      <c r="AB37758" s="38"/>
    </row>
    <row r="37759">
      <c r="P37759" s="42"/>
      <c r="AB37759" s="38"/>
    </row>
    <row r="37760">
      <c r="P37760" s="42"/>
      <c r="AB37760" s="38"/>
    </row>
    <row r="37761">
      <c r="P37761" s="42"/>
      <c r="AB37761" s="38"/>
    </row>
    <row r="37762">
      <c r="P37762" s="42"/>
      <c r="AB37762" s="38"/>
    </row>
    <row r="37763">
      <c r="P37763" s="42"/>
      <c r="AB37763" s="38"/>
    </row>
    <row r="37764">
      <c r="P37764" s="42"/>
      <c r="AB37764" s="38"/>
    </row>
    <row r="37765">
      <c r="P37765" s="42"/>
      <c r="AB37765" s="38"/>
    </row>
    <row r="37766">
      <c r="P37766" s="42"/>
      <c r="AB37766" s="38"/>
    </row>
    <row r="37767">
      <c r="P37767" s="42"/>
      <c r="AB37767" s="38"/>
    </row>
    <row r="37768">
      <c r="P37768" s="42"/>
      <c r="AB37768" s="38"/>
    </row>
    <row r="37769">
      <c r="P37769" s="42"/>
      <c r="AB37769" s="38"/>
    </row>
    <row r="37770">
      <c r="P37770" s="42"/>
      <c r="AB37770" s="38"/>
    </row>
    <row r="37771">
      <c r="P37771" s="42"/>
      <c r="AB37771" s="38"/>
    </row>
    <row r="37772">
      <c r="P37772" s="42"/>
      <c r="AB37772" s="38"/>
    </row>
    <row r="37773">
      <c r="P37773" s="42"/>
      <c r="AB37773" s="38"/>
    </row>
    <row r="37774">
      <c r="P37774" s="42"/>
      <c r="AB37774" s="38"/>
    </row>
    <row r="37775">
      <c r="P37775" s="42"/>
      <c r="AB37775" s="38"/>
    </row>
    <row r="37776">
      <c r="P37776" s="42"/>
      <c r="AB37776" s="38"/>
    </row>
    <row r="37777">
      <c r="P37777" s="42"/>
      <c r="AB37777" s="38"/>
    </row>
    <row r="37778">
      <c r="P37778" s="42"/>
      <c r="AB37778" s="38"/>
    </row>
    <row r="37779">
      <c r="P37779" s="42"/>
      <c r="AB37779" s="38"/>
    </row>
    <row r="37780">
      <c r="P37780" s="42"/>
      <c r="AB37780" s="38"/>
    </row>
    <row r="37781">
      <c r="P37781" s="42"/>
      <c r="AB37781" s="38"/>
    </row>
    <row r="37782">
      <c r="P37782" s="42"/>
      <c r="AB37782" s="38"/>
    </row>
    <row r="37783">
      <c r="P37783" s="42"/>
      <c r="AB37783" s="38"/>
    </row>
    <row r="37784">
      <c r="P37784" s="42"/>
      <c r="AB37784" s="38"/>
    </row>
    <row r="37785">
      <c r="P37785" s="42"/>
      <c r="AB37785" s="38"/>
    </row>
    <row r="37786">
      <c r="P37786" s="42"/>
      <c r="AB37786" s="38"/>
    </row>
    <row r="37787">
      <c r="P37787" s="42"/>
      <c r="AB37787" s="38"/>
    </row>
    <row r="37788">
      <c r="P37788" s="42"/>
      <c r="AB37788" s="38"/>
    </row>
    <row r="37789">
      <c r="P37789" s="42"/>
      <c r="AB37789" s="38"/>
    </row>
    <row r="37790">
      <c r="P37790" s="42"/>
      <c r="AB37790" s="38"/>
    </row>
    <row r="37791">
      <c r="P37791" s="42"/>
      <c r="AB37791" s="38"/>
    </row>
    <row r="37792">
      <c r="P37792" s="42"/>
      <c r="AB37792" s="38"/>
    </row>
    <row r="37793">
      <c r="P37793" s="42"/>
      <c r="AB37793" s="38"/>
    </row>
    <row r="37794">
      <c r="P37794" s="42"/>
      <c r="AB37794" s="38"/>
    </row>
    <row r="37795">
      <c r="P37795" s="42"/>
      <c r="AB37795" s="38"/>
    </row>
    <row r="37796">
      <c r="P37796" s="42"/>
      <c r="AB37796" s="38"/>
    </row>
    <row r="37797">
      <c r="P37797" s="42"/>
      <c r="AB37797" s="38"/>
    </row>
    <row r="37798">
      <c r="P37798" s="42"/>
      <c r="AB37798" s="38"/>
    </row>
    <row r="37799">
      <c r="P37799" s="42"/>
      <c r="AB37799" s="38"/>
    </row>
    <row r="37800">
      <c r="P37800" s="42"/>
      <c r="AB37800" s="38"/>
    </row>
    <row r="37801">
      <c r="P37801" s="42"/>
      <c r="AB37801" s="38"/>
    </row>
    <row r="37802">
      <c r="P37802" s="42"/>
      <c r="AB37802" s="38"/>
    </row>
    <row r="37803">
      <c r="P37803" s="42"/>
      <c r="AB37803" s="38"/>
    </row>
    <row r="37804">
      <c r="P37804" s="42"/>
      <c r="AB37804" s="38"/>
    </row>
    <row r="37805">
      <c r="P37805" s="42"/>
      <c r="AB37805" s="38"/>
    </row>
    <row r="37806">
      <c r="P37806" s="42"/>
      <c r="AB37806" s="38"/>
    </row>
    <row r="37807">
      <c r="P37807" s="42"/>
      <c r="AB37807" s="38"/>
    </row>
    <row r="37808">
      <c r="P37808" s="42"/>
      <c r="AB37808" s="38"/>
    </row>
    <row r="37809">
      <c r="P37809" s="42"/>
      <c r="AB37809" s="38"/>
    </row>
    <row r="37810">
      <c r="P37810" s="42"/>
      <c r="AB37810" s="38"/>
    </row>
    <row r="37811">
      <c r="P37811" s="42"/>
      <c r="AB37811" s="38"/>
    </row>
    <row r="37812">
      <c r="P37812" s="42"/>
      <c r="AB37812" s="38"/>
    </row>
    <row r="37813">
      <c r="P37813" s="42"/>
      <c r="AB37813" s="38"/>
    </row>
    <row r="37814">
      <c r="P37814" s="42"/>
      <c r="AB37814" s="38"/>
    </row>
    <row r="37815">
      <c r="P37815" s="42"/>
      <c r="AB37815" s="38"/>
    </row>
    <row r="37816">
      <c r="P37816" s="42"/>
      <c r="AB37816" s="38"/>
    </row>
    <row r="37817">
      <c r="P37817" s="42"/>
      <c r="AB37817" s="38"/>
    </row>
    <row r="37818">
      <c r="P37818" s="42"/>
      <c r="AB37818" s="38"/>
    </row>
    <row r="37819">
      <c r="P37819" s="42"/>
      <c r="AB37819" s="38"/>
    </row>
    <row r="37820">
      <c r="P37820" s="42"/>
      <c r="AB37820" s="38"/>
    </row>
    <row r="37821">
      <c r="P37821" s="42"/>
      <c r="AB37821" s="38"/>
    </row>
    <row r="37822">
      <c r="P37822" s="42"/>
      <c r="AB37822" s="38"/>
    </row>
    <row r="37823">
      <c r="P37823" s="42"/>
      <c r="AB37823" s="38"/>
    </row>
    <row r="37824">
      <c r="P37824" s="42"/>
      <c r="AB37824" s="38"/>
    </row>
    <row r="37825">
      <c r="P37825" s="42"/>
      <c r="AB37825" s="38"/>
    </row>
    <row r="37826">
      <c r="P37826" s="42"/>
      <c r="AB37826" s="38"/>
    </row>
    <row r="37827">
      <c r="P37827" s="42"/>
      <c r="AB37827" s="38"/>
    </row>
    <row r="37828">
      <c r="P37828" s="42"/>
      <c r="AB37828" s="38"/>
    </row>
    <row r="37829">
      <c r="P37829" s="42"/>
      <c r="AB37829" s="38"/>
    </row>
    <row r="37830">
      <c r="P37830" s="42"/>
      <c r="AB37830" s="38"/>
    </row>
    <row r="37831">
      <c r="P37831" s="42"/>
      <c r="AB37831" s="38"/>
    </row>
    <row r="37832">
      <c r="P37832" s="42"/>
      <c r="AB37832" s="38"/>
    </row>
    <row r="37833">
      <c r="P37833" s="42"/>
      <c r="AB37833" s="38"/>
    </row>
    <row r="37834">
      <c r="P37834" s="42"/>
      <c r="AB37834" s="38"/>
    </row>
    <row r="37835">
      <c r="P37835" s="42"/>
      <c r="AB37835" s="38"/>
    </row>
    <row r="37836">
      <c r="P37836" s="42"/>
      <c r="AB37836" s="38"/>
    </row>
    <row r="37837">
      <c r="P37837" s="42"/>
      <c r="AB37837" s="38"/>
    </row>
    <row r="37838">
      <c r="P37838" s="42"/>
      <c r="AB37838" s="38"/>
    </row>
    <row r="37839">
      <c r="P37839" s="42"/>
      <c r="AB37839" s="38"/>
    </row>
    <row r="37840">
      <c r="P37840" s="42"/>
      <c r="AB37840" s="38"/>
    </row>
    <row r="37841">
      <c r="P37841" s="42"/>
      <c r="AB37841" s="38"/>
    </row>
    <row r="37842">
      <c r="P37842" s="42"/>
      <c r="AB37842" s="38"/>
    </row>
    <row r="37843">
      <c r="P37843" s="42"/>
      <c r="AB37843" s="38"/>
    </row>
    <row r="37844">
      <c r="P37844" s="42"/>
      <c r="AB37844" s="38"/>
    </row>
    <row r="37845">
      <c r="P37845" s="42"/>
      <c r="AB37845" s="38"/>
    </row>
    <row r="37846">
      <c r="P37846" s="42"/>
      <c r="AB37846" s="38"/>
    </row>
    <row r="37847">
      <c r="P37847" s="42"/>
      <c r="AB37847" s="38"/>
    </row>
    <row r="37848">
      <c r="P37848" s="42"/>
      <c r="AB37848" s="38"/>
    </row>
    <row r="37849">
      <c r="P37849" s="42"/>
      <c r="AB37849" s="38"/>
    </row>
    <row r="37850">
      <c r="P37850" s="42"/>
      <c r="AB37850" s="38"/>
    </row>
    <row r="37851">
      <c r="P37851" s="42"/>
      <c r="AB37851" s="38"/>
    </row>
    <row r="37852">
      <c r="P37852" s="42"/>
      <c r="AB37852" s="38"/>
    </row>
    <row r="37853">
      <c r="P37853" s="42"/>
      <c r="AB37853" s="38"/>
    </row>
    <row r="37854">
      <c r="P37854" s="42"/>
      <c r="AB37854" s="38"/>
    </row>
    <row r="37855">
      <c r="P37855" s="42"/>
      <c r="AB37855" s="38"/>
    </row>
    <row r="37856">
      <c r="P37856" s="42"/>
      <c r="AB37856" s="38"/>
    </row>
    <row r="37857">
      <c r="P37857" s="42"/>
      <c r="AB37857" s="38"/>
    </row>
    <row r="37858">
      <c r="P37858" s="42"/>
      <c r="AB37858" s="38"/>
    </row>
    <row r="37859">
      <c r="P37859" s="42"/>
      <c r="AB37859" s="38"/>
    </row>
    <row r="37860">
      <c r="P37860" s="42"/>
      <c r="AB37860" s="38"/>
    </row>
    <row r="37861">
      <c r="P37861" s="42"/>
      <c r="AB37861" s="38"/>
    </row>
    <row r="37862">
      <c r="P37862" s="42"/>
      <c r="AB37862" s="38"/>
    </row>
    <row r="37863">
      <c r="P37863" s="42"/>
      <c r="AB37863" s="38"/>
    </row>
    <row r="37864">
      <c r="P37864" s="42"/>
      <c r="AB37864" s="38"/>
    </row>
    <row r="37865">
      <c r="P37865" s="42"/>
      <c r="AB37865" s="38"/>
    </row>
    <row r="37866">
      <c r="P37866" s="42"/>
      <c r="AB37866" s="38"/>
    </row>
    <row r="37867">
      <c r="P37867" s="42"/>
      <c r="AB37867" s="38"/>
    </row>
    <row r="37868">
      <c r="P37868" s="42"/>
      <c r="AB37868" s="38"/>
    </row>
    <row r="37869">
      <c r="P37869" s="42"/>
      <c r="AB37869" s="38"/>
    </row>
    <row r="37870">
      <c r="P37870" s="42"/>
      <c r="AB37870" s="38"/>
    </row>
    <row r="37871">
      <c r="P37871" s="42"/>
      <c r="AB37871" s="38"/>
    </row>
    <row r="37872">
      <c r="P37872" s="42"/>
      <c r="AB37872" s="38"/>
    </row>
    <row r="37873">
      <c r="P37873" s="42"/>
      <c r="AB37873" s="38"/>
    </row>
    <row r="37874">
      <c r="P37874" s="42"/>
      <c r="AB37874" s="38"/>
    </row>
    <row r="37875">
      <c r="P37875" s="42"/>
      <c r="AB37875" s="38"/>
    </row>
    <row r="37876">
      <c r="P37876" s="42"/>
      <c r="AB37876" s="38"/>
    </row>
    <row r="37877">
      <c r="P37877" s="42"/>
      <c r="AB37877" s="38"/>
    </row>
    <row r="37878">
      <c r="P37878" s="42"/>
      <c r="AB37878" s="38"/>
    </row>
    <row r="37879">
      <c r="P37879" s="42"/>
      <c r="AB37879" s="38"/>
    </row>
    <row r="37880">
      <c r="P37880" s="42"/>
      <c r="AB37880" s="38"/>
    </row>
    <row r="37881">
      <c r="P37881" s="42"/>
      <c r="AB37881" s="38"/>
    </row>
    <row r="37882">
      <c r="P37882" s="42"/>
      <c r="AB37882" s="38"/>
    </row>
    <row r="37883">
      <c r="P37883" s="42"/>
      <c r="AB37883" s="38"/>
    </row>
    <row r="37884">
      <c r="P37884" s="42"/>
      <c r="AB37884" s="38"/>
    </row>
    <row r="37885">
      <c r="P37885" s="42"/>
      <c r="AB37885" s="38"/>
    </row>
    <row r="37886">
      <c r="P37886" s="42"/>
      <c r="AB37886" s="38"/>
    </row>
    <row r="37887">
      <c r="P37887" s="42"/>
      <c r="AB37887" s="38"/>
    </row>
    <row r="37888">
      <c r="P37888" s="42"/>
      <c r="AB37888" s="38"/>
    </row>
    <row r="37889">
      <c r="P37889" s="42"/>
      <c r="AB37889" s="38"/>
    </row>
    <row r="37890">
      <c r="P37890" s="42"/>
      <c r="AB37890" s="38"/>
    </row>
    <row r="37891">
      <c r="P37891" s="42"/>
      <c r="AB37891" s="38"/>
    </row>
    <row r="37892">
      <c r="P37892" s="42"/>
      <c r="AB37892" s="38"/>
    </row>
    <row r="37893">
      <c r="P37893" s="42"/>
      <c r="AB37893" s="38"/>
    </row>
    <row r="37894">
      <c r="P37894" s="42"/>
      <c r="AB37894" s="38"/>
    </row>
    <row r="37895">
      <c r="P37895" s="42"/>
      <c r="AB37895" s="38"/>
    </row>
    <row r="37896">
      <c r="P37896" s="42"/>
      <c r="AB37896" s="38"/>
    </row>
    <row r="37897">
      <c r="P37897" s="42"/>
      <c r="AB37897" s="38"/>
    </row>
    <row r="37898">
      <c r="P37898" s="42"/>
      <c r="AB37898" s="38"/>
    </row>
    <row r="37899">
      <c r="P37899" s="42"/>
      <c r="AB37899" s="38"/>
    </row>
    <row r="37900">
      <c r="P37900" s="42"/>
      <c r="AB37900" s="38"/>
    </row>
    <row r="37901">
      <c r="P37901" s="42"/>
      <c r="AB37901" s="38"/>
    </row>
    <row r="37902">
      <c r="P37902" s="42"/>
      <c r="AB37902" s="38"/>
    </row>
    <row r="37903">
      <c r="P37903" s="42"/>
      <c r="AB37903" s="38"/>
    </row>
    <row r="37904">
      <c r="P37904" s="42"/>
      <c r="AB37904" s="38"/>
    </row>
    <row r="37905">
      <c r="P37905" s="42"/>
      <c r="AB37905" s="38"/>
    </row>
    <row r="37906">
      <c r="P37906" s="42"/>
      <c r="AB37906" s="38"/>
    </row>
    <row r="37907">
      <c r="P37907" s="42"/>
      <c r="AB37907" s="38"/>
    </row>
    <row r="37908">
      <c r="P37908" s="42"/>
      <c r="AB37908" s="38"/>
    </row>
    <row r="37909">
      <c r="P37909" s="42"/>
      <c r="AB37909" s="38"/>
    </row>
    <row r="37910">
      <c r="P37910" s="42"/>
      <c r="AB37910" s="38"/>
    </row>
    <row r="37911">
      <c r="P37911" s="42"/>
      <c r="AB37911" s="38"/>
    </row>
    <row r="37912">
      <c r="P37912" s="42"/>
      <c r="AB37912" s="38"/>
    </row>
    <row r="37913">
      <c r="P37913" s="42"/>
      <c r="AB37913" s="38"/>
    </row>
    <row r="37914">
      <c r="P37914" s="42"/>
      <c r="AB37914" s="38"/>
    </row>
    <row r="37915">
      <c r="P37915" s="42"/>
      <c r="AB37915" s="38"/>
    </row>
    <row r="37916">
      <c r="P37916" s="42"/>
      <c r="AB37916" s="38"/>
    </row>
    <row r="37917">
      <c r="P37917" s="42"/>
      <c r="AB37917" s="38"/>
    </row>
    <row r="37918">
      <c r="P37918" s="42"/>
      <c r="AB37918" s="38"/>
    </row>
    <row r="37919">
      <c r="P37919" s="42"/>
      <c r="AB37919" s="38"/>
    </row>
    <row r="37920">
      <c r="P37920" s="42"/>
      <c r="AB37920" s="38"/>
    </row>
    <row r="37921">
      <c r="P37921" s="42"/>
      <c r="AB37921" s="38"/>
    </row>
    <row r="37922">
      <c r="P37922" s="42"/>
      <c r="AB37922" s="38"/>
    </row>
    <row r="37923">
      <c r="P37923" s="42"/>
      <c r="AB37923" s="38"/>
    </row>
    <row r="37924">
      <c r="P37924" s="42"/>
      <c r="AB37924" s="38"/>
    </row>
    <row r="37925">
      <c r="P37925" s="42"/>
      <c r="AB37925" s="38"/>
    </row>
    <row r="37926">
      <c r="P37926" s="42"/>
      <c r="AB37926" s="38"/>
    </row>
    <row r="37927">
      <c r="P37927" s="42"/>
      <c r="AB37927" s="38"/>
    </row>
    <row r="37928">
      <c r="P37928" s="42"/>
      <c r="AB37928" s="38"/>
    </row>
    <row r="37929">
      <c r="P37929" s="42"/>
      <c r="AB37929" s="38"/>
    </row>
    <row r="37930">
      <c r="P37930" s="42"/>
      <c r="AB37930" s="38"/>
    </row>
    <row r="37931">
      <c r="P37931" s="42"/>
      <c r="AB37931" s="38"/>
    </row>
    <row r="37932">
      <c r="P37932" s="42"/>
      <c r="AB37932" s="38"/>
    </row>
    <row r="37933">
      <c r="P37933" s="42"/>
      <c r="AB37933" s="38"/>
    </row>
    <row r="37934">
      <c r="P37934" s="42"/>
      <c r="AB37934" s="38"/>
    </row>
    <row r="37935">
      <c r="P37935" s="42"/>
      <c r="AB37935" s="38"/>
    </row>
    <row r="37936">
      <c r="P37936" s="42"/>
      <c r="AB37936" s="38"/>
    </row>
    <row r="37937">
      <c r="P37937" s="42"/>
      <c r="AB37937" s="38"/>
    </row>
    <row r="37938">
      <c r="P37938" s="42"/>
      <c r="AB37938" s="38"/>
    </row>
    <row r="37939">
      <c r="P37939" s="42"/>
      <c r="AB37939" s="38"/>
    </row>
    <row r="37940">
      <c r="P37940" s="42"/>
      <c r="AB37940" s="38"/>
    </row>
    <row r="37941">
      <c r="P37941" s="42"/>
      <c r="AB37941" s="38"/>
    </row>
    <row r="37942">
      <c r="P37942" s="42"/>
      <c r="AB37942" s="38"/>
    </row>
    <row r="37943">
      <c r="P37943" s="42"/>
      <c r="AB37943" s="38"/>
    </row>
    <row r="37944">
      <c r="P37944" s="42"/>
      <c r="AB37944" s="38"/>
    </row>
    <row r="37945">
      <c r="P37945" s="42"/>
      <c r="AB37945" s="38"/>
    </row>
    <row r="37946">
      <c r="P37946" s="42"/>
      <c r="AB37946" s="38"/>
    </row>
    <row r="37947">
      <c r="P37947" s="42"/>
      <c r="AB37947" s="38"/>
    </row>
    <row r="37948">
      <c r="P37948" s="42"/>
      <c r="AB37948" s="38"/>
    </row>
    <row r="37949">
      <c r="P37949" s="42"/>
      <c r="AB37949" s="38"/>
    </row>
    <row r="37950">
      <c r="P37950" s="42"/>
      <c r="AB37950" s="38"/>
    </row>
    <row r="37951">
      <c r="P37951" s="42"/>
      <c r="AB37951" s="38"/>
    </row>
    <row r="37952">
      <c r="P37952" s="42"/>
      <c r="AB37952" s="38"/>
    </row>
    <row r="37953">
      <c r="P37953" s="42"/>
      <c r="AB37953" s="38"/>
    </row>
    <row r="37954">
      <c r="P37954" s="42"/>
      <c r="AB37954" s="38"/>
    </row>
    <row r="37955">
      <c r="P37955" s="42"/>
      <c r="AB37955" s="38"/>
    </row>
    <row r="37956">
      <c r="P37956" s="42"/>
      <c r="AB37956" s="38"/>
    </row>
    <row r="37957">
      <c r="P37957" s="42"/>
      <c r="AB37957" s="38"/>
    </row>
    <row r="37958">
      <c r="P37958" s="42"/>
      <c r="AB37958" s="38"/>
    </row>
    <row r="37959">
      <c r="P37959" s="42"/>
      <c r="AB37959" s="38"/>
    </row>
    <row r="37960">
      <c r="P37960" s="42"/>
      <c r="AB37960" s="38"/>
    </row>
    <row r="37961">
      <c r="P37961" s="42"/>
      <c r="AB37961" s="38"/>
    </row>
    <row r="37962">
      <c r="P37962" s="42"/>
      <c r="AB37962" s="38"/>
    </row>
    <row r="37963">
      <c r="P37963" s="42"/>
      <c r="AB37963" s="38"/>
    </row>
    <row r="37964">
      <c r="P37964" s="42"/>
      <c r="AB37964" s="38"/>
    </row>
    <row r="37965">
      <c r="P37965" s="42"/>
      <c r="AB37965" s="38"/>
    </row>
    <row r="37966">
      <c r="P37966" s="42"/>
      <c r="AB37966" s="38"/>
    </row>
    <row r="37967">
      <c r="P37967" s="42"/>
      <c r="AB37967" s="38"/>
    </row>
    <row r="37968">
      <c r="P37968" s="42"/>
      <c r="AB37968" s="38"/>
    </row>
    <row r="37969">
      <c r="P37969" s="42"/>
      <c r="AB37969" s="38"/>
    </row>
    <row r="37970">
      <c r="P37970" s="42"/>
      <c r="AB37970" s="38"/>
    </row>
    <row r="37971">
      <c r="P37971" s="42"/>
      <c r="AB37971" s="38"/>
    </row>
    <row r="37972">
      <c r="P37972" s="42"/>
      <c r="AB37972" s="38"/>
    </row>
    <row r="37973">
      <c r="P37973" s="42"/>
      <c r="AB37973" s="38"/>
    </row>
    <row r="37974">
      <c r="P37974" s="42"/>
      <c r="AB37974" s="38"/>
    </row>
    <row r="37975">
      <c r="P37975" s="42"/>
      <c r="AB37975" s="38"/>
    </row>
    <row r="37976">
      <c r="P37976" s="42"/>
      <c r="AB37976" s="38"/>
    </row>
    <row r="37977">
      <c r="P37977" s="42"/>
      <c r="AB37977" s="38"/>
    </row>
    <row r="37978">
      <c r="P37978" s="42"/>
      <c r="AB37978" s="38"/>
    </row>
    <row r="37979">
      <c r="P37979" s="42"/>
      <c r="AB37979" s="38"/>
    </row>
    <row r="37980">
      <c r="P37980" s="42"/>
      <c r="AB37980" s="38"/>
    </row>
    <row r="37981">
      <c r="P37981" s="42"/>
      <c r="AB37981" s="38"/>
    </row>
    <row r="37982">
      <c r="P37982" s="42"/>
      <c r="AB37982" s="38"/>
    </row>
    <row r="37983">
      <c r="P37983" s="42"/>
      <c r="AB37983" s="38"/>
    </row>
    <row r="37984">
      <c r="P37984" s="42"/>
      <c r="AB37984" s="38"/>
    </row>
    <row r="37985">
      <c r="P37985" s="42"/>
      <c r="AB37985" s="38"/>
    </row>
    <row r="37986">
      <c r="P37986" s="42"/>
      <c r="AB37986" s="38"/>
    </row>
    <row r="37987">
      <c r="P37987" s="42"/>
      <c r="AB37987" s="38"/>
    </row>
    <row r="37988">
      <c r="P37988" s="42"/>
      <c r="AB37988" s="38"/>
    </row>
    <row r="37989">
      <c r="P37989" s="42"/>
      <c r="AB37989" s="38"/>
    </row>
    <row r="37990">
      <c r="P37990" s="42"/>
      <c r="AB37990" s="38"/>
    </row>
    <row r="37991">
      <c r="P37991" s="42"/>
      <c r="AB37991" s="38"/>
    </row>
    <row r="37992">
      <c r="P37992" s="42"/>
      <c r="AB37992" s="38"/>
    </row>
    <row r="37993">
      <c r="P37993" s="42"/>
      <c r="AB37993" s="38"/>
    </row>
    <row r="37994">
      <c r="P37994" s="42"/>
      <c r="AB37994" s="38"/>
    </row>
    <row r="37995">
      <c r="P37995" s="42"/>
      <c r="AB37995" s="38"/>
    </row>
    <row r="37996">
      <c r="P37996" s="42"/>
      <c r="AB37996" s="38"/>
    </row>
    <row r="37997">
      <c r="P37997" s="42"/>
      <c r="AB37997" s="38"/>
    </row>
    <row r="37998">
      <c r="P37998" s="42"/>
      <c r="AB37998" s="38"/>
    </row>
    <row r="37999">
      <c r="P37999" s="42"/>
      <c r="AB37999" s="38"/>
    </row>
    <row r="38000">
      <c r="P38000" s="42"/>
      <c r="AB38000" s="38"/>
    </row>
    <row r="38001">
      <c r="P38001" s="42"/>
      <c r="AB38001" s="38"/>
    </row>
    <row r="38002">
      <c r="P38002" s="42"/>
      <c r="AB38002" s="38"/>
    </row>
    <row r="38003">
      <c r="P38003" s="42"/>
      <c r="AB38003" s="38"/>
    </row>
    <row r="38004">
      <c r="P38004" s="42"/>
      <c r="AB38004" s="38"/>
    </row>
    <row r="38005">
      <c r="P38005" s="42"/>
      <c r="AB38005" s="38"/>
    </row>
    <row r="38006">
      <c r="P38006" s="42"/>
      <c r="AB38006" s="38"/>
    </row>
    <row r="38007">
      <c r="P38007" s="42"/>
      <c r="AB38007" s="38"/>
    </row>
    <row r="38008">
      <c r="P38008" s="42"/>
      <c r="AB38008" s="38"/>
    </row>
    <row r="38009">
      <c r="P38009" s="42"/>
      <c r="AB38009" s="38"/>
    </row>
    <row r="38010">
      <c r="P38010" s="42"/>
      <c r="AB38010" s="38"/>
    </row>
    <row r="38011">
      <c r="P38011" s="42"/>
      <c r="AB38011" s="38"/>
    </row>
    <row r="38012">
      <c r="P38012" s="42"/>
      <c r="AB38012" s="38"/>
    </row>
    <row r="38013">
      <c r="P38013" s="42"/>
      <c r="AB38013" s="38"/>
    </row>
    <row r="38014">
      <c r="P38014" s="42"/>
      <c r="AB38014" s="38"/>
    </row>
    <row r="38015">
      <c r="P38015" s="42"/>
      <c r="AB38015" s="38"/>
    </row>
    <row r="38016">
      <c r="P38016" s="42"/>
      <c r="AB38016" s="38"/>
    </row>
    <row r="38017">
      <c r="P38017" s="42"/>
      <c r="AB38017" s="38"/>
    </row>
    <row r="38018">
      <c r="P38018" s="42"/>
      <c r="AB38018" s="38"/>
    </row>
    <row r="38019">
      <c r="P38019" s="42"/>
      <c r="AB38019" s="38"/>
    </row>
    <row r="38020">
      <c r="P38020" s="42"/>
      <c r="AB38020" s="38"/>
    </row>
    <row r="38021">
      <c r="P38021" s="42"/>
      <c r="AB38021" s="38"/>
    </row>
    <row r="38022">
      <c r="P38022" s="42"/>
      <c r="AB38022" s="38"/>
    </row>
    <row r="38023">
      <c r="P38023" s="42"/>
      <c r="AB38023" s="38"/>
    </row>
    <row r="38024">
      <c r="P38024" s="42"/>
      <c r="AB38024" s="38"/>
    </row>
    <row r="38025">
      <c r="P38025" s="42"/>
      <c r="AB38025" s="38"/>
    </row>
    <row r="38026">
      <c r="P38026" s="42"/>
      <c r="AB38026" s="38"/>
    </row>
    <row r="38027">
      <c r="P38027" s="42"/>
      <c r="AB38027" s="38"/>
    </row>
    <row r="38028">
      <c r="P38028" s="42"/>
      <c r="AB38028" s="38"/>
    </row>
    <row r="38029">
      <c r="P38029" s="42"/>
      <c r="AB38029" s="38"/>
    </row>
    <row r="38030">
      <c r="P38030" s="42"/>
      <c r="AB38030" s="38"/>
    </row>
    <row r="38031">
      <c r="P38031" s="42"/>
      <c r="AB38031" s="38"/>
    </row>
    <row r="38032">
      <c r="P38032" s="42"/>
      <c r="AB38032" s="38"/>
    </row>
    <row r="38033">
      <c r="P38033" s="42"/>
      <c r="AB38033" s="38"/>
    </row>
    <row r="38034">
      <c r="P38034" s="42"/>
      <c r="AB38034" s="38"/>
    </row>
    <row r="38035">
      <c r="P38035" s="42"/>
      <c r="AB38035" s="38"/>
    </row>
    <row r="38036">
      <c r="P38036" s="42"/>
      <c r="AB38036" s="38"/>
    </row>
    <row r="38037">
      <c r="P38037" s="42"/>
      <c r="AB38037" s="38"/>
    </row>
    <row r="38038">
      <c r="P38038" s="42"/>
      <c r="AB38038" s="38"/>
    </row>
    <row r="38039">
      <c r="P38039" s="42"/>
      <c r="AB38039" s="38"/>
    </row>
    <row r="38040">
      <c r="P38040" s="42"/>
      <c r="AB38040" s="38"/>
    </row>
    <row r="38041">
      <c r="P38041" s="42"/>
      <c r="AB38041" s="38"/>
    </row>
    <row r="38042">
      <c r="P38042" s="42"/>
      <c r="AB38042" s="38"/>
    </row>
    <row r="38043">
      <c r="P38043" s="42"/>
      <c r="AB38043" s="38"/>
    </row>
    <row r="38044">
      <c r="P38044" s="42"/>
      <c r="AB38044" s="38"/>
    </row>
    <row r="38045">
      <c r="P38045" s="42"/>
      <c r="AB38045" s="38"/>
    </row>
    <row r="38046">
      <c r="P38046" s="42"/>
      <c r="AB38046" s="38"/>
    </row>
    <row r="38047">
      <c r="P38047" s="42"/>
      <c r="AB38047" s="38"/>
    </row>
    <row r="38048">
      <c r="P38048" s="42"/>
      <c r="AB38048" s="38"/>
    </row>
    <row r="38049">
      <c r="P38049" s="42"/>
      <c r="AB38049" s="38"/>
    </row>
    <row r="38050">
      <c r="P38050" s="42"/>
      <c r="AB38050" s="38"/>
    </row>
    <row r="38051">
      <c r="P38051" s="42"/>
      <c r="AB38051" s="38"/>
    </row>
    <row r="38052">
      <c r="P38052" s="42"/>
      <c r="AB38052" s="38"/>
    </row>
    <row r="38053">
      <c r="P38053" s="42"/>
      <c r="AB38053" s="38"/>
    </row>
    <row r="38054">
      <c r="P38054" s="42"/>
      <c r="AB38054" s="38"/>
    </row>
    <row r="38055">
      <c r="P38055" s="42"/>
      <c r="AB38055" s="38"/>
    </row>
    <row r="38056">
      <c r="P38056" s="42"/>
      <c r="AB38056" s="38"/>
    </row>
    <row r="38057">
      <c r="P38057" s="42"/>
      <c r="AB38057" s="38"/>
    </row>
    <row r="38058">
      <c r="P38058" s="42"/>
      <c r="AB38058" s="38"/>
    </row>
    <row r="38059">
      <c r="P38059" s="42"/>
      <c r="AB38059" s="38"/>
    </row>
    <row r="38060">
      <c r="P38060" s="42"/>
      <c r="AB38060" s="38"/>
    </row>
    <row r="38061">
      <c r="P38061" s="42"/>
      <c r="AB38061" s="38"/>
    </row>
    <row r="38062">
      <c r="P38062" s="42"/>
      <c r="AB38062" s="38"/>
    </row>
    <row r="38063">
      <c r="P38063" s="42"/>
      <c r="AB38063" s="38"/>
    </row>
    <row r="38064">
      <c r="P38064" s="42"/>
      <c r="AB38064" s="38"/>
    </row>
    <row r="38065">
      <c r="P38065" s="42"/>
      <c r="AB38065" s="38"/>
    </row>
    <row r="38066">
      <c r="P38066" s="42"/>
      <c r="AB38066" s="38"/>
    </row>
    <row r="38067">
      <c r="P38067" s="42"/>
      <c r="AB38067" s="38"/>
    </row>
    <row r="38068">
      <c r="P38068" s="42"/>
      <c r="AB38068" s="38"/>
    </row>
    <row r="38069">
      <c r="P38069" s="42"/>
      <c r="AB38069" s="38"/>
    </row>
    <row r="38070">
      <c r="P38070" s="42"/>
      <c r="AB38070" s="38"/>
    </row>
    <row r="38071">
      <c r="P38071" s="42"/>
      <c r="AB38071" s="38"/>
    </row>
    <row r="38072">
      <c r="P38072" s="42"/>
      <c r="AB38072" s="38"/>
    </row>
    <row r="38073">
      <c r="P38073" s="42"/>
      <c r="AB38073" s="38"/>
    </row>
    <row r="38074">
      <c r="P38074" s="42"/>
      <c r="AB38074" s="38"/>
    </row>
    <row r="38075">
      <c r="P38075" s="42"/>
      <c r="AB38075" s="38"/>
    </row>
    <row r="38076">
      <c r="P38076" s="42"/>
      <c r="AB38076" s="38"/>
    </row>
    <row r="38077">
      <c r="P38077" s="42"/>
      <c r="AB38077" s="38"/>
    </row>
    <row r="38078">
      <c r="P38078" s="42"/>
      <c r="AB38078" s="38"/>
    </row>
    <row r="38079">
      <c r="P38079" s="42"/>
      <c r="AB38079" s="38"/>
    </row>
    <row r="38080">
      <c r="P38080" s="42"/>
      <c r="AB38080" s="38"/>
    </row>
    <row r="38081">
      <c r="P38081" s="42"/>
      <c r="AB38081" s="38"/>
    </row>
    <row r="38082">
      <c r="P38082" s="42"/>
      <c r="AB38082" s="38"/>
    </row>
    <row r="38083">
      <c r="P38083" s="42"/>
      <c r="AB38083" s="38"/>
    </row>
    <row r="38084">
      <c r="P38084" s="42"/>
      <c r="AB38084" s="38"/>
    </row>
    <row r="38085">
      <c r="P38085" s="42"/>
      <c r="AB38085" s="38"/>
    </row>
    <row r="38086">
      <c r="P38086" s="42"/>
      <c r="AB38086" s="38"/>
    </row>
    <row r="38087">
      <c r="P38087" s="42"/>
      <c r="AB38087" s="38"/>
    </row>
    <row r="38088">
      <c r="P38088" s="42"/>
      <c r="AB38088" s="38"/>
    </row>
    <row r="38089">
      <c r="P38089" s="42"/>
      <c r="AB38089" s="38"/>
    </row>
    <row r="38090">
      <c r="P38090" s="42"/>
      <c r="AB38090" s="38"/>
    </row>
    <row r="38091">
      <c r="P38091" s="42"/>
      <c r="AB38091" s="38"/>
    </row>
    <row r="38092">
      <c r="P38092" s="42"/>
      <c r="AB38092" s="38"/>
    </row>
    <row r="38093">
      <c r="P38093" s="42"/>
      <c r="AB38093" s="38"/>
    </row>
    <row r="38094">
      <c r="P38094" s="42"/>
      <c r="AB38094" s="38"/>
    </row>
    <row r="38095">
      <c r="P38095" s="42"/>
      <c r="AB38095" s="38"/>
    </row>
    <row r="38096">
      <c r="P38096" s="42"/>
      <c r="AB38096" s="38"/>
    </row>
    <row r="38097">
      <c r="P38097" s="42"/>
      <c r="AB38097" s="38"/>
    </row>
    <row r="38098">
      <c r="P38098" s="42"/>
      <c r="AB38098" s="38"/>
    </row>
    <row r="38099">
      <c r="P38099" s="42"/>
      <c r="AB38099" s="38"/>
    </row>
    <row r="38100">
      <c r="P38100" s="42"/>
      <c r="AB38100" s="38"/>
    </row>
    <row r="38101">
      <c r="P38101" s="42"/>
      <c r="AB38101" s="38"/>
    </row>
    <row r="38102">
      <c r="P38102" s="42"/>
      <c r="AB38102" s="38"/>
    </row>
    <row r="38103">
      <c r="P38103" s="42"/>
      <c r="AB38103" s="38"/>
    </row>
    <row r="38104">
      <c r="P38104" s="42"/>
      <c r="AB38104" s="38"/>
    </row>
    <row r="38105">
      <c r="P38105" s="42"/>
      <c r="AB38105" s="38"/>
    </row>
    <row r="38106">
      <c r="P38106" s="42"/>
      <c r="AB38106" s="38"/>
    </row>
    <row r="38107">
      <c r="P38107" s="42"/>
      <c r="AB38107" s="38"/>
    </row>
    <row r="38108">
      <c r="P38108" s="42"/>
      <c r="AB38108" s="38"/>
    </row>
    <row r="38109">
      <c r="P38109" s="42"/>
      <c r="AB38109" s="38"/>
    </row>
    <row r="38110">
      <c r="P38110" s="42"/>
      <c r="AB38110" s="38"/>
    </row>
    <row r="38111">
      <c r="P38111" s="42"/>
      <c r="AB38111" s="38"/>
    </row>
    <row r="38112">
      <c r="P38112" s="42"/>
      <c r="AB38112" s="38"/>
    </row>
    <row r="38113">
      <c r="P38113" s="42"/>
      <c r="AB38113" s="38"/>
    </row>
    <row r="38114">
      <c r="P38114" s="42"/>
      <c r="AB38114" s="38"/>
    </row>
    <row r="38115">
      <c r="P38115" s="42"/>
      <c r="AB38115" s="38"/>
    </row>
    <row r="38116">
      <c r="P38116" s="42"/>
      <c r="AB38116" s="38"/>
    </row>
    <row r="38117">
      <c r="P38117" s="42"/>
      <c r="AB38117" s="38"/>
    </row>
    <row r="38118">
      <c r="P38118" s="42"/>
      <c r="AB38118" s="38"/>
    </row>
    <row r="38119">
      <c r="P38119" s="42"/>
      <c r="AB38119" s="38"/>
    </row>
    <row r="38120">
      <c r="P38120" s="42"/>
      <c r="AB38120" s="38"/>
    </row>
    <row r="38121">
      <c r="P38121" s="42"/>
      <c r="AB38121" s="38"/>
    </row>
    <row r="38122">
      <c r="P38122" s="42"/>
      <c r="AB38122" s="38"/>
    </row>
    <row r="38123">
      <c r="P38123" s="42"/>
      <c r="AB38123" s="38"/>
    </row>
    <row r="38124">
      <c r="P38124" s="42"/>
      <c r="AB38124" s="38"/>
    </row>
    <row r="38125">
      <c r="P38125" s="42"/>
      <c r="AB38125" s="38"/>
    </row>
    <row r="38126">
      <c r="P38126" s="42"/>
      <c r="AB38126" s="38"/>
    </row>
    <row r="38127">
      <c r="P38127" s="42"/>
      <c r="AB38127" s="38"/>
    </row>
    <row r="38128">
      <c r="P38128" s="42"/>
      <c r="AB38128" s="38"/>
    </row>
    <row r="38129">
      <c r="P38129" s="42"/>
      <c r="AB38129" s="38"/>
    </row>
    <row r="38130">
      <c r="P38130" s="42"/>
      <c r="AB38130" s="38"/>
    </row>
    <row r="38131">
      <c r="P38131" s="42"/>
      <c r="AB38131" s="38"/>
    </row>
    <row r="38132">
      <c r="P38132" s="42"/>
      <c r="AB38132" s="38"/>
    </row>
    <row r="38133">
      <c r="P38133" s="42"/>
      <c r="AB38133" s="38"/>
    </row>
    <row r="38134">
      <c r="P38134" s="42"/>
      <c r="AB38134" s="38"/>
    </row>
    <row r="38135">
      <c r="P38135" s="42"/>
      <c r="AB38135" s="38"/>
    </row>
    <row r="38136">
      <c r="P38136" s="42"/>
      <c r="AB38136" s="38"/>
    </row>
    <row r="38137">
      <c r="P38137" s="42"/>
      <c r="AB38137" s="38"/>
    </row>
    <row r="38138">
      <c r="P38138" s="42"/>
      <c r="AB38138" s="38"/>
    </row>
    <row r="38139">
      <c r="P38139" s="42"/>
      <c r="AB38139" s="38"/>
    </row>
    <row r="38140">
      <c r="P38140" s="42"/>
      <c r="AB38140" s="38"/>
    </row>
    <row r="38141">
      <c r="P38141" s="42"/>
      <c r="AB38141" s="38"/>
    </row>
    <row r="38142">
      <c r="P38142" s="42"/>
      <c r="AB38142" s="38"/>
    </row>
    <row r="38143">
      <c r="P38143" s="42"/>
      <c r="AB38143" s="38"/>
    </row>
    <row r="38144">
      <c r="P38144" s="42"/>
      <c r="AB38144" s="38"/>
    </row>
    <row r="38145">
      <c r="P38145" s="42"/>
      <c r="AB38145" s="38"/>
    </row>
    <row r="38146">
      <c r="P38146" s="42"/>
      <c r="AB38146" s="38"/>
    </row>
    <row r="38147">
      <c r="P38147" s="42"/>
      <c r="AB38147" s="38"/>
    </row>
    <row r="38148">
      <c r="P38148" s="42"/>
      <c r="AB38148" s="38"/>
    </row>
    <row r="38149">
      <c r="P38149" s="42"/>
      <c r="AB38149" s="38"/>
    </row>
    <row r="38150">
      <c r="P38150" s="42"/>
      <c r="AB38150" s="38"/>
    </row>
    <row r="38151">
      <c r="P38151" s="42"/>
      <c r="AB38151" s="38"/>
    </row>
    <row r="38152">
      <c r="P38152" s="42"/>
      <c r="AB38152" s="38"/>
    </row>
    <row r="38153">
      <c r="P38153" s="42"/>
      <c r="AB38153" s="38"/>
    </row>
    <row r="38154">
      <c r="P38154" s="42"/>
      <c r="AB38154" s="38"/>
    </row>
    <row r="38155">
      <c r="P38155" s="42"/>
      <c r="AB38155" s="38"/>
    </row>
    <row r="38156">
      <c r="P38156" s="42"/>
      <c r="AB38156" s="38"/>
    </row>
    <row r="38157">
      <c r="P38157" s="42"/>
      <c r="AB38157" s="38"/>
    </row>
    <row r="38158">
      <c r="P38158" s="42"/>
      <c r="AB38158" s="38"/>
    </row>
    <row r="38159">
      <c r="P38159" s="42"/>
      <c r="AB38159" s="38"/>
    </row>
    <row r="38160">
      <c r="P38160" s="42"/>
      <c r="AB38160" s="38"/>
    </row>
    <row r="38161">
      <c r="P38161" s="42"/>
      <c r="AB38161" s="38"/>
    </row>
    <row r="38162">
      <c r="P38162" s="42"/>
      <c r="AB38162" s="38"/>
    </row>
    <row r="38163">
      <c r="P38163" s="42"/>
      <c r="AB38163" s="38"/>
    </row>
    <row r="38164">
      <c r="P38164" s="42"/>
      <c r="AB38164" s="38"/>
    </row>
    <row r="38165">
      <c r="P38165" s="42"/>
      <c r="AB38165" s="38"/>
    </row>
    <row r="38166">
      <c r="P38166" s="42"/>
      <c r="AB38166" s="38"/>
    </row>
    <row r="38167">
      <c r="P38167" s="42"/>
      <c r="AB38167" s="38"/>
    </row>
    <row r="38168">
      <c r="P38168" s="42"/>
      <c r="AB38168" s="38"/>
    </row>
    <row r="38169">
      <c r="P38169" s="42"/>
      <c r="AB38169" s="38"/>
    </row>
    <row r="38170">
      <c r="P38170" s="42"/>
      <c r="AB38170" s="38"/>
    </row>
    <row r="38171">
      <c r="P38171" s="42"/>
      <c r="AB38171" s="38"/>
    </row>
    <row r="38172">
      <c r="P38172" s="42"/>
      <c r="AB38172" s="38"/>
    </row>
    <row r="38173">
      <c r="P38173" s="42"/>
      <c r="AB38173" s="38"/>
    </row>
    <row r="38174">
      <c r="P38174" s="42"/>
      <c r="AB38174" s="38"/>
    </row>
    <row r="38175">
      <c r="P38175" s="42"/>
      <c r="AB38175" s="38"/>
    </row>
    <row r="38176">
      <c r="P38176" s="42"/>
      <c r="AB38176" s="38"/>
    </row>
    <row r="38177">
      <c r="P38177" s="42"/>
      <c r="AB38177" s="38"/>
    </row>
    <row r="38178">
      <c r="P38178" s="42"/>
      <c r="AB38178" s="38"/>
    </row>
    <row r="38179">
      <c r="P38179" s="42"/>
      <c r="AB38179" s="38"/>
    </row>
    <row r="38180">
      <c r="P38180" s="42"/>
      <c r="AB38180" s="38"/>
    </row>
    <row r="38181">
      <c r="P38181" s="42"/>
      <c r="AB38181" s="38"/>
    </row>
    <row r="38182">
      <c r="P38182" s="42"/>
      <c r="AB38182" s="38"/>
    </row>
    <row r="38183">
      <c r="P38183" s="42"/>
      <c r="AB38183" s="38"/>
    </row>
    <row r="38184">
      <c r="P38184" s="42"/>
      <c r="AB38184" s="38"/>
    </row>
    <row r="38185">
      <c r="P38185" s="42"/>
      <c r="AB38185" s="38"/>
    </row>
    <row r="38186">
      <c r="P38186" s="42"/>
      <c r="AB38186" s="38"/>
    </row>
    <row r="38187">
      <c r="P38187" s="42"/>
      <c r="AB38187" s="38"/>
    </row>
    <row r="38188">
      <c r="P38188" s="42"/>
      <c r="AB38188" s="38"/>
    </row>
    <row r="38189">
      <c r="P38189" s="42"/>
      <c r="AB38189" s="38"/>
    </row>
    <row r="38190">
      <c r="P38190" s="42"/>
      <c r="AB38190" s="38"/>
    </row>
    <row r="38191">
      <c r="P38191" s="42"/>
      <c r="AB38191" s="38"/>
    </row>
    <row r="38192">
      <c r="P38192" s="42"/>
      <c r="AB38192" s="38"/>
    </row>
    <row r="38193">
      <c r="P38193" s="42"/>
      <c r="AB38193" s="38"/>
    </row>
    <row r="38194">
      <c r="P38194" s="42"/>
      <c r="AB38194" s="38"/>
    </row>
    <row r="38195">
      <c r="P38195" s="42"/>
      <c r="AB38195" s="38"/>
    </row>
    <row r="38196">
      <c r="P38196" s="42"/>
      <c r="AB38196" s="38"/>
    </row>
    <row r="38197">
      <c r="P38197" s="42"/>
      <c r="AB38197" s="38"/>
    </row>
    <row r="38198">
      <c r="P38198" s="42"/>
      <c r="AB38198" s="38"/>
    </row>
    <row r="38199">
      <c r="P38199" s="42"/>
      <c r="AB38199" s="38"/>
    </row>
    <row r="38200">
      <c r="P38200" s="42"/>
      <c r="AB38200" s="38"/>
    </row>
    <row r="38201">
      <c r="P38201" s="42"/>
      <c r="AB38201" s="38"/>
    </row>
    <row r="38202">
      <c r="P38202" s="42"/>
      <c r="AB38202" s="38"/>
    </row>
    <row r="38203">
      <c r="P38203" s="42"/>
      <c r="AB38203" s="38"/>
    </row>
    <row r="38204">
      <c r="P38204" s="42"/>
      <c r="AB38204" s="38"/>
    </row>
    <row r="38205">
      <c r="P38205" s="42"/>
      <c r="AB38205" s="38"/>
    </row>
    <row r="38206">
      <c r="P38206" s="42"/>
      <c r="AB38206" s="38"/>
    </row>
    <row r="38207">
      <c r="P38207" s="42"/>
      <c r="AB38207" s="38"/>
    </row>
    <row r="38208">
      <c r="P38208" s="42"/>
      <c r="AB38208" s="38"/>
    </row>
    <row r="38209">
      <c r="P38209" s="42"/>
      <c r="AB38209" s="38"/>
    </row>
    <row r="38210">
      <c r="P38210" s="42"/>
      <c r="AB38210" s="38"/>
    </row>
    <row r="38211">
      <c r="P38211" s="42"/>
      <c r="AB38211" s="38"/>
    </row>
    <row r="38212">
      <c r="P38212" s="42"/>
      <c r="AB38212" s="38"/>
    </row>
    <row r="38213">
      <c r="P38213" s="42"/>
      <c r="AB38213" s="38"/>
    </row>
    <row r="38214">
      <c r="P38214" s="42"/>
      <c r="AB38214" s="38"/>
    </row>
    <row r="38215">
      <c r="P38215" s="42"/>
      <c r="AB38215" s="38"/>
    </row>
    <row r="38216">
      <c r="P38216" s="42"/>
      <c r="AB38216" s="38"/>
    </row>
    <row r="38217">
      <c r="P38217" s="42"/>
      <c r="AB38217" s="38"/>
    </row>
    <row r="38218">
      <c r="P38218" s="42"/>
      <c r="AB38218" s="38"/>
    </row>
    <row r="38219">
      <c r="P38219" s="42"/>
      <c r="AB38219" s="38"/>
    </row>
    <row r="38220">
      <c r="P38220" s="42"/>
      <c r="AB38220" s="38"/>
    </row>
    <row r="38221">
      <c r="P38221" s="42"/>
      <c r="AB38221" s="38"/>
    </row>
    <row r="38222">
      <c r="P38222" s="42"/>
      <c r="AB38222" s="38"/>
    </row>
    <row r="38223">
      <c r="P38223" s="42"/>
      <c r="AB38223" s="38"/>
    </row>
    <row r="38224">
      <c r="P38224" s="42"/>
      <c r="AB38224" s="38"/>
    </row>
    <row r="38225">
      <c r="P38225" s="42"/>
      <c r="AB38225" s="38"/>
    </row>
    <row r="38226">
      <c r="P38226" s="42"/>
      <c r="AB38226" s="38"/>
    </row>
    <row r="38227">
      <c r="P38227" s="42"/>
      <c r="AB38227" s="38"/>
    </row>
    <row r="38228">
      <c r="P38228" s="42"/>
      <c r="AB38228" s="38"/>
    </row>
    <row r="38229">
      <c r="P38229" s="42"/>
      <c r="AB38229" s="38"/>
    </row>
    <row r="38230">
      <c r="P38230" s="42"/>
      <c r="AB38230" s="38"/>
    </row>
    <row r="38231">
      <c r="P38231" s="42"/>
      <c r="AB38231" s="38"/>
    </row>
    <row r="38232">
      <c r="P38232" s="42"/>
      <c r="AB38232" s="38"/>
    </row>
    <row r="38233">
      <c r="P38233" s="42"/>
      <c r="AB38233" s="38"/>
    </row>
    <row r="38234">
      <c r="P38234" s="42"/>
      <c r="AB38234" s="38"/>
    </row>
    <row r="38235">
      <c r="P38235" s="42"/>
      <c r="AB38235" s="38"/>
    </row>
    <row r="38236">
      <c r="P38236" s="42"/>
      <c r="AB38236" s="38"/>
    </row>
    <row r="38237">
      <c r="P38237" s="42"/>
      <c r="AB38237" s="38"/>
    </row>
    <row r="38238">
      <c r="P38238" s="42"/>
      <c r="AB38238" s="38"/>
    </row>
    <row r="38239">
      <c r="P38239" s="42"/>
      <c r="AB38239" s="38"/>
    </row>
    <row r="38240">
      <c r="P38240" s="42"/>
      <c r="AB38240" s="38"/>
    </row>
    <row r="38241">
      <c r="P38241" s="42"/>
      <c r="AB38241" s="38"/>
    </row>
    <row r="38242">
      <c r="P38242" s="42"/>
      <c r="AB38242" s="38"/>
    </row>
    <row r="38243">
      <c r="P38243" s="42"/>
      <c r="AB38243" s="38"/>
    </row>
    <row r="38244">
      <c r="P38244" s="42"/>
      <c r="AB38244" s="38"/>
    </row>
    <row r="38245">
      <c r="P38245" s="42"/>
      <c r="AB38245" s="38"/>
    </row>
    <row r="38246">
      <c r="P38246" s="42"/>
      <c r="AB38246" s="38"/>
    </row>
    <row r="38247">
      <c r="P38247" s="42"/>
      <c r="AB38247" s="38"/>
    </row>
    <row r="38248">
      <c r="P38248" s="42"/>
      <c r="AB38248" s="38"/>
    </row>
    <row r="38249">
      <c r="P38249" s="42"/>
      <c r="AB38249" s="38"/>
    </row>
    <row r="38250">
      <c r="P38250" s="42"/>
      <c r="AB38250" s="38"/>
    </row>
    <row r="38251">
      <c r="P38251" s="42"/>
      <c r="AB38251" s="38"/>
    </row>
    <row r="38252">
      <c r="P38252" s="42"/>
      <c r="AB38252" s="38"/>
    </row>
    <row r="38253">
      <c r="P38253" s="42"/>
      <c r="AB38253" s="38"/>
    </row>
    <row r="38254">
      <c r="P38254" s="42"/>
      <c r="AB38254" s="38"/>
    </row>
    <row r="38255">
      <c r="P38255" s="42"/>
      <c r="AB38255" s="38"/>
    </row>
    <row r="38256">
      <c r="P38256" s="42"/>
      <c r="AB38256" s="38"/>
    </row>
    <row r="38257">
      <c r="P38257" s="42"/>
      <c r="AB38257" s="38"/>
    </row>
    <row r="38258">
      <c r="P38258" s="42"/>
      <c r="AB38258" s="38"/>
    </row>
    <row r="38259">
      <c r="P38259" s="42"/>
      <c r="AB38259" s="38"/>
    </row>
    <row r="38260">
      <c r="P38260" s="42"/>
      <c r="AB38260" s="38"/>
    </row>
    <row r="38261">
      <c r="P38261" s="42"/>
      <c r="AB38261" s="38"/>
    </row>
    <row r="38262">
      <c r="P38262" s="42"/>
      <c r="AB38262" s="38"/>
    </row>
    <row r="38263">
      <c r="P38263" s="42"/>
      <c r="AB38263" s="38"/>
    </row>
    <row r="38264">
      <c r="P38264" s="42"/>
      <c r="AB38264" s="38"/>
    </row>
    <row r="38265">
      <c r="P38265" s="42"/>
      <c r="AB38265" s="38"/>
    </row>
    <row r="38266">
      <c r="P38266" s="42"/>
      <c r="AB38266" s="38"/>
    </row>
    <row r="38267">
      <c r="P38267" s="42"/>
      <c r="AB38267" s="38"/>
    </row>
    <row r="38268">
      <c r="P38268" s="42"/>
      <c r="AB38268" s="38"/>
    </row>
    <row r="38269">
      <c r="P38269" s="42"/>
      <c r="AB38269" s="38"/>
    </row>
    <row r="38270">
      <c r="P38270" s="42"/>
      <c r="AB38270" s="38"/>
    </row>
    <row r="38271">
      <c r="P38271" s="42"/>
      <c r="AB38271" s="38"/>
    </row>
    <row r="38272">
      <c r="P38272" s="42"/>
      <c r="AB38272" s="38"/>
    </row>
    <row r="38273">
      <c r="P38273" s="42"/>
      <c r="AB38273" s="38"/>
    </row>
    <row r="38274">
      <c r="P38274" s="42"/>
      <c r="AB38274" s="38"/>
    </row>
    <row r="38275">
      <c r="P38275" s="42"/>
      <c r="AB38275" s="38"/>
    </row>
    <row r="38276">
      <c r="P38276" s="42"/>
      <c r="AB38276" s="38"/>
    </row>
    <row r="38277">
      <c r="P38277" s="42"/>
      <c r="AB38277" s="38"/>
    </row>
    <row r="38278">
      <c r="P38278" s="42"/>
      <c r="AB38278" s="38"/>
    </row>
    <row r="38279">
      <c r="P38279" s="42"/>
      <c r="AB38279" s="38"/>
    </row>
    <row r="38280">
      <c r="P38280" s="42"/>
      <c r="AB38280" s="38"/>
    </row>
    <row r="38281">
      <c r="P38281" s="42"/>
      <c r="AB38281" s="38"/>
    </row>
    <row r="38282">
      <c r="P38282" s="42"/>
      <c r="AB38282" s="38"/>
    </row>
    <row r="38283">
      <c r="P38283" s="42"/>
      <c r="AB38283" s="38"/>
    </row>
    <row r="38284">
      <c r="P38284" s="42"/>
      <c r="AB38284" s="38"/>
    </row>
    <row r="38285">
      <c r="P38285" s="42"/>
      <c r="AB38285" s="38"/>
    </row>
    <row r="38286">
      <c r="P38286" s="42"/>
      <c r="AB38286" s="38"/>
    </row>
    <row r="38287">
      <c r="P38287" s="42"/>
      <c r="AB38287" s="38"/>
    </row>
    <row r="38288">
      <c r="P38288" s="42"/>
      <c r="AB38288" s="38"/>
    </row>
    <row r="38289">
      <c r="P38289" s="42"/>
      <c r="AB38289" s="38"/>
    </row>
    <row r="38290">
      <c r="P38290" s="42"/>
      <c r="AB38290" s="38"/>
    </row>
    <row r="38291">
      <c r="P38291" s="42"/>
      <c r="AB38291" s="38"/>
    </row>
    <row r="38292">
      <c r="P38292" s="42"/>
      <c r="AB38292" s="38"/>
    </row>
    <row r="38293">
      <c r="P38293" s="42"/>
      <c r="AB38293" s="38"/>
    </row>
    <row r="38294">
      <c r="P38294" s="42"/>
      <c r="AB38294" s="38"/>
    </row>
    <row r="38295">
      <c r="P38295" s="42"/>
      <c r="AB38295" s="38"/>
    </row>
    <row r="38296">
      <c r="P38296" s="42"/>
      <c r="AB38296" s="38"/>
    </row>
    <row r="38297">
      <c r="P38297" s="42"/>
      <c r="AB38297" s="38"/>
    </row>
    <row r="38298">
      <c r="P38298" s="42"/>
      <c r="AB38298" s="38"/>
    </row>
    <row r="38299">
      <c r="P38299" s="42"/>
      <c r="AB38299" s="38"/>
    </row>
    <row r="38300">
      <c r="P38300" s="42"/>
      <c r="AB38300" s="38"/>
    </row>
    <row r="38301">
      <c r="P38301" s="42"/>
      <c r="AB38301" s="38"/>
    </row>
    <row r="38302">
      <c r="P38302" s="42"/>
      <c r="AB38302" s="38"/>
    </row>
    <row r="38303">
      <c r="P38303" s="42"/>
      <c r="AB38303" s="38"/>
    </row>
    <row r="38304">
      <c r="P38304" s="42"/>
      <c r="AB38304" s="38"/>
    </row>
    <row r="38305">
      <c r="P38305" s="42"/>
      <c r="AB38305" s="38"/>
    </row>
    <row r="38306">
      <c r="P38306" s="42"/>
      <c r="AB38306" s="38"/>
    </row>
    <row r="38307">
      <c r="P38307" s="42"/>
      <c r="AB38307" s="38"/>
    </row>
    <row r="38308">
      <c r="P38308" s="42"/>
      <c r="AB38308" s="38"/>
    </row>
    <row r="38309">
      <c r="P38309" s="42"/>
      <c r="AB38309" s="38"/>
    </row>
    <row r="38310">
      <c r="P38310" s="42"/>
      <c r="AB38310" s="38"/>
    </row>
    <row r="38311">
      <c r="P38311" s="42"/>
      <c r="AB38311" s="38"/>
    </row>
    <row r="38312">
      <c r="P38312" s="42"/>
      <c r="AB38312" s="38"/>
    </row>
    <row r="38313">
      <c r="P38313" s="42"/>
      <c r="AB38313" s="38"/>
    </row>
    <row r="38314">
      <c r="P38314" s="42"/>
      <c r="AB38314" s="38"/>
    </row>
    <row r="38315">
      <c r="P38315" s="42"/>
      <c r="AB38315" s="38"/>
    </row>
    <row r="38316">
      <c r="P38316" s="42"/>
      <c r="AB38316" s="38"/>
    </row>
    <row r="38317">
      <c r="P38317" s="42"/>
      <c r="AB38317" s="38"/>
    </row>
    <row r="38318">
      <c r="P38318" s="42"/>
      <c r="AB38318" s="38"/>
    </row>
    <row r="38319">
      <c r="P38319" s="42"/>
      <c r="AB38319" s="38"/>
    </row>
    <row r="38320">
      <c r="P38320" s="42"/>
      <c r="AB38320" s="38"/>
    </row>
    <row r="38321">
      <c r="P38321" s="42"/>
      <c r="AB38321" s="38"/>
    </row>
    <row r="38322">
      <c r="P38322" s="42"/>
      <c r="AB38322" s="38"/>
    </row>
    <row r="38323">
      <c r="P38323" s="42"/>
      <c r="AB38323" s="38"/>
    </row>
    <row r="38324">
      <c r="P38324" s="42"/>
      <c r="AB38324" s="38"/>
    </row>
    <row r="38325">
      <c r="P38325" s="42"/>
      <c r="AB38325" s="38"/>
    </row>
    <row r="38326">
      <c r="P38326" s="42"/>
      <c r="AB38326" s="38"/>
    </row>
    <row r="38327">
      <c r="P38327" s="42"/>
      <c r="AB38327" s="38"/>
    </row>
    <row r="38328">
      <c r="P38328" s="42"/>
      <c r="AB38328" s="38"/>
    </row>
    <row r="38329">
      <c r="P38329" s="42"/>
      <c r="AB38329" s="38"/>
    </row>
    <row r="38330">
      <c r="P38330" s="42"/>
      <c r="AB38330" s="38"/>
    </row>
    <row r="38331">
      <c r="P38331" s="42"/>
      <c r="AB38331" s="38"/>
    </row>
    <row r="38332">
      <c r="P38332" s="42"/>
      <c r="AB38332" s="38"/>
    </row>
    <row r="38333">
      <c r="P38333" s="42"/>
      <c r="AB38333" s="38"/>
    </row>
    <row r="38334">
      <c r="P38334" s="42"/>
      <c r="AB38334" s="38"/>
    </row>
    <row r="38335">
      <c r="P38335" s="42"/>
      <c r="AB38335" s="38"/>
    </row>
    <row r="38336">
      <c r="P38336" s="42"/>
      <c r="AB38336" s="38"/>
    </row>
    <row r="38337">
      <c r="P38337" s="42"/>
      <c r="AB38337" s="38"/>
    </row>
    <row r="38338">
      <c r="P38338" s="42"/>
      <c r="AB38338" s="38"/>
    </row>
    <row r="38339">
      <c r="P38339" s="42"/>
      <c r="AB38339" s="38"/>
    </row>
    <row r="38340">
      <c r="P38340" s="42"/>
      <c r="AB38340" s="38"/>
    </row>
    <row r="38341">
      <c r="P38341" s="42"/>
      <c r="AB38341" s="38"/>
    </row>
    <row r="38342">
      <c r="P38342" s="42"/>
      <c r="AB38342" s="38"/>
    </row>
    <row r="38343">
      <c r="P38343" s="42"/>
      <c r="AB38343" s="38"/>
    </row>
    <row r="38344">
      <c r="P38344" s="42"/>
      <c r="AB38344" s="38"/>
    </row>
    <row r="38345">
      <c r="P38345" s="42"/>
      <c r="AB38345" s="38"/>
    </row>
    <row r="38346">
      <c r="P38346" s="42"/>
      <c r="AB38346" s="38"/>
    </row>
    <row r="38347">
      <c r="P38347" s="42"/>
      <c r="AB38347" s="38"/>
    </row>
    <row r="38348">
      <c r="P38348" s="42"/>
      <c r="AB38348" s="38"/>
    </row>
    <row r="38349">
      <c r="P38349" s="42"/>
      <c r="AB38349" s="38"/>
    </row>
    <row r="38350">
      <c r="P38350" s="42"/>
      <c r="AB38350" s="38"/>
    </row>
    <row r="38351">
      <c r="P38351" s="42"/>
      <c r="AB38351" s="38"/>
    </row>
    <row r="38352">
      <c r="P38352" s="42"/>
      <c r="AB38352" s="38"/>
    </row>
    <row r="38353">
      <c r="P38353" s="42"/>
      <c r="AB38353" s="38"/>
    </row>
    <row r="38354">
      <c r="P38354" s="42"/>
      <c r="AB38354" s="38"/>
    </row>
    <row r="38355">
      <c r="P38355" s="42"/>
      <c r="AB38355" s="38"/>
    </row>
    <row r="38356">
      <c r="P38356" s="42"/>
      <c r="AB38356" s="38"/>
    </row>
    <row r="38357">
      <c r="P38357" s="42"/>
      <c r="AB38357" s="38"/>
    </row>
    <row r="38358">
      <c r="P38358" s="42"/>
      <c r="AB38358" s="38"/>
    </row>
    <row r="38359">
      <c r="P38359" s="42"/>
      <c r="AB38359" s="38"/>
    </row>
    <row r="38360">
      <c r="P38360" s="42"/>
      <c r="AB38360" s="38"/>
    </row>
    <row r="38361">
      <c r="P38361" s="42"/>
      <c r="AB38361" s="38"/>
    </row>
    <row r="38362">
      <c r="P38362" s="42"/>
      <c r="AB38362" s="38"/>
    </row>
    <row r="38363">
      <c r="P38363" s="42"/>
      <c r="AB38363" s="38"/>
    </row>
    <row r="38364">
      <c r="P38364" s="42"/>
      <c r="AB38364" s="38"/>
    </row>
    <row r="38365">
      <c r="P38365" s="42"/>
      <c r="AB38365" s="38"/>
    </row>
    <row r="38366">
      <c r="P38366" s="42"/>
      <c r="AB38366" s="38"/>
    </row>
    <row r="38367">
      <c r="P38367" s="42"/>
      <c r="AB38367" s="38"/>
    </row>
    <row r="38368">
      <c r="P38368" s="42"/>
      <c r="AB38368" s="38"/>
    </row>
    <row r="38369">
      <c r="P38369" s="42"/>
      <c r="AB38369" s="38"/>
    </row>
    <row r="38370">
      <c r="P38370" s="42"/>
      <c r="AB38370" s="38"/>
    </row>
    <row r="38371">
      <c r="P38371" s="42"/>
      <c r="AB38371" s="38"/>
    </row>
    <row r="38372">
      <c r="P38372" s="42"/>
      <c r="AB38372" s="38"/>
    </row>
    <row r="38373">
      <c r="P38373" s="42"/>
      <c r="AB38373" s="38"/>
    </row>
    <row r="38374">
      <c r="P38374" s="42"/>
      <c r="AB38374" s="38"/>
    </row>
    <row r="38375">
      <c r="P38375" s="42"/>
      <c r="AB38375" s="38"/>
    </row>
    <row r="38376">
      <c r="P38376" s="42"/>
      <c r="AB38376" s="38"/>
    </row>
    <row r="38377">
      <c r="P38377" s="42"/>
      <c r="AB38377" s="38"/>
    </row>
    <row r="38378">
      <c r="P38378" s="42"/>
      <c r="AB38378" s="38"/>
    </row>
    <row r="38379">
      <c r="P38379" s="42"/>
      <c r="AB38379" s="38"/>
    </row>
    <row r="38380">
      <c r="P38380" s="42"/>
      <c r="AB38380" s="38"/>
    </row>
    <row r="38381">
      <c r="P38381" s="42"/>
      <c r="AB38381" s="38"/>
    </row>
    <row r="38382">
      <c r="P38382" s="42"/>
      <c r="AB38382" s="38"/>
    </row>
    <row r="38383">
      <c r="P38383" s="42"/>
      <c r="AB38383" s="38"/>
    </row>
    <row r="38384">
      <c r="P38384" s="42"/>
      <c r="AB38384" s="38"/>
    </row>
    <row r="38385">
      <c r="P38385" s="42"/>
      <c r="AB38385" s="38"/>
    </row>
    <row r="38386">
      <c r="P38386" s="42"/>
      <c r="AB38386" s="38"/>
    </row>
    <row r="38387">
      <c r="P38387" s="42"/>
      <c r="AB38387" s="38"/>
    </row>
    <row r="38388">
      <c r="P38388" s="42"/>
      <c r="AB38388" s="38"/>
    </row>
    <row r="38389">
      <c r="P38389" s="42"/>
      <c r="AB38389" s="38"/>
    </row>
    <row r="38390">
      <c r="P38390" s="42"/>
      <c r="AB38390" s="38"/>
    </row>
    <row r="38391">
      <c r="P38391" s="42"/>
      <c r="AB38391" s="38"/>
    </row>
    <row r="38392">
      <c r="P38392" s="42"/>
      <c r="AB38392" s="38"/>
    </row>
    <row r="38393">
      <c r="P38393" s="42"/>
      <c r="AB38393" s="38"/>
    </row>
    <row r="38394">
      <c r="P38394" s="42"/>
      <c r="AB38394" s="38"/>
    </row>
    <row r="38395">
      <c r="P38395" s="42"/>
      <c r="AB38395" s="38"/>
    </row>
    <row r="38396">
      <c r="P38396" s="42"/>
      <c r="AB38396" s="38"/>
    </row>
    <row r="38397">
      <c r="P38397" s="42"/>
      <c r="AB38397" s="38"/>
    </row>
    <row r="38398">
      <c r="P38398" s="42"/>
      <c r="AB38398" s="38"/>
    </row>
    <row r="38399">
      <c r="P38399" s="42"/>
      <c r="AB38399" s="38"/>
    </row>
    <row r="38400">
      <c r="P38400" s="42"/>
      <c r="AB38400" s="38"/>
    </row>
    <row r="38401">
      <c r="P38401" s="42"/>
      <c r="AB38401" s="38"/>
    </row>
    <row r="38402">
      <c r="P38402" s="42"/>
      <c r="AB38402" s="38"/>
    </row>
    <row r="38403">
      <c r="P38403" s="42"/>
      <c r="AB38403" s="38"/>
    </row>
    <row r="38404">
      <c r="P38404" s="42"/>
      <c r="AB38404" s="38"/>
    </row>
    <row r="38405">
      <c r="P38405" s="42"/>
      <c r="AB38405" s="38"/>
    </row>
    <row r="38406">
      <c r="P38406" s="42"/>
      <c r="AB38406" s="38"/>
    </row>
    <row r="38407">
      <c r="P38407" s="42"/>
      <c r="AB38407" s="38"/>
    </row>
    <row r="38408">
      <c r="P38408" s="42"/>
      <c r="AB38408" s="38"/>
    </row>
    <row r="38409">
      <c r="P38409" s="42"/>
      <c r="AB38409" s="38"/>
    </row>
    <row r="38410">
      <c r="P38410" s="42"/>
      <c r="AB38410" s="38"/>
    </row>
    <row r="38411">
      <c r="P38411" s="42"/>
      <c r="AB38411" s="38"/>
    </row>
    <row r="38412">
      <c r="P38412" s="42"/>
      <c r="AB38412" s="38"/>
    </row>
    <row r="38413">
      <c r="P38413" s="42"/>
      <c r="AB38413" s="38"/>
    </row>
    <row r="38414">
      <c r="P38414" s="42"/>
      <c r="AB38414" s="38"/>
    </row>
    <row r="38415">
      <c r="P38415" s="42"/>
      <c r="AB38415" s="38"/>
    </row>
    <row r="38416">
      <c r="P38416" s="42"/>
      <c r="AB38416" s="38"/>
    </row>
    <row r="38417">
      <c r="P38417" s="42"/>
      <c r="AB38417" s="38"/>
    </row>
    <row r="38418">
      <c r="P38418" s="42"/>
      <c r="AB38418" s="38"/>
    </row>
    <row r="38419">
      <c r="P38419" s="42"/>
      <c r="AB38419" s="38"/>
    </row>
    <row r="38420">
      <c r="P38420" s="42"/>
      <c r="AB38420" s="38"/>
    </row>
    <row r="38421">
      <c r="P38421" s="42"/>
      <c r="AB38421" s="38"/>
    </row>
    <row r="38422">
      <c r="P38422" s="42"/>
      <c r="AB38422" s="38"/>
    </row>
    <row r="38423">
      <c r="P38423" s="42"/>
      <c r="AB38423" s="38"/>
    </row>
    <row r="38424">
      <c r="P38424" s="42"/>
      <c r="AB38424" s="38"/>
    </row>
    <row r="38425">
      <c r="P38425" s="42"/>
      <c r="AB38425" s="38"/>
    </row>
    <row r="38426">
      <c r="P38426" s="42"/>
      <c r="AB38426" s="38"/>
    </row>
    <row r="38427">
      <c r="P38427" s="42"/>
      <c r="AB38427" s="38"/>
    </row>
    <row r="38428">
      <c r="P38428" s="42"/>
      <c r="AB38428" s="38"/>
    </row>
    <row r="38429">
      <c r="P38429" s="42"/>
      <c r="AB38429" s="38"/>
    </row>
    <row r="38430">
      <c r="P38430" s="42"/>
      <c r="AB38430" s="38"/>
    </row>
    <row r="38431">
      <c r="P38431" s="42"/>
      <c r="AB38431" s="38"/>
    </row>
    <row r="38432">
      <c r="P38432" s="42"/>
      <c r="AB38432" s="38"/>
    </row>
    <row r="38433">
      <c r="P38433" s="42"/>
      <c r="AB38433" s="38"/>
    </row>
    <row r="38434">
      <c r="P38434" s="42"/>
      <c r="AB38434" s="38"/>
    </row>
    <row r="38435">
      <c r="P38435" s="42"/>
      <c r="AB38435" s="38"/>
    </row>
    <row r="38436">
      <c r="P38436" s="42"/>
      <c r="AB38436" s="38"/>
    </row>
    <row r="38437">
      <c r="P38437" s="42"/>
      <c r="AB38437" s="38"/>
    </row>
    <row r="38438">
      <c r="P38438" s="42"/>
      <c r="AB38438" s="38"/>
    </row>
    <row r="38439">
      <c r="P38439" s="42"/>
      <c r="AB38439" s="38"/>
    </row>
    <row r="38440">
      <c r="P38440" s="42"/>
      <c r="AB38440" s="38"/>
    </row>
    <row r="38441">
      <c r="P38441" s="42"/>
      <c r="AB38441" s="38"/>
    </row>
    <row r="38442">
      <c r="P38442" s="42"/>
      <c r="AB38442" s="38"/>
    </row>
    <row r="38443">
      <c r="P38443" s="42"/>
      <c r="AB38443" s="38"/>
    </row>
    <row r="38444">
      <c r="P38444" s="42"/>
      <c r="AB38444" s="38"/>
    </row>
    <row r="38445">
      <c r="P38445" s="42"/>
      <c r="AB38445" s="38"/>
    </row>
    <row r="38446">
      <c r="P38446" s="42"/>
      <c r="AB38446" s="38"/>
    </row>
    <row r="38447">
      <c r="P38447" s="42"/>
      <c r="AB38447" s="38"/>
    </row>
    <row r="38448">
      <c r="P38448" s="42"/>
      <c r="AB38448" s="38"/>
    </row>
    <row r="38449">
      <c r="P38449" s="42"/>
      <c r="AB38449" s="38"/>
    </row>
    <row r="38450">
      <c r="P38450" s="42"/>
      <c r="AB38450" s="38"/>
    </row>
    <row r="38451">
      <c r="P38451" s="42"/>
      <c r="AB38451" s="38"/>
    </row>
    <row r="38452">
      <c r="P38452" s="42"/>
      <c r="AB38452" s="38"/>
    </row>
    <row r="38453">
      <c r="P38453" s="42"/>
      <c r="AB38453" s="38"/>
    </row>
    <row r="38454">
      <c r="P38454" s="42"/>
      <c r="AB38454" s="38"/>
    </row>
    <row r="38455">
      <c r="P38455" s="42"/>
      <c r="AB38455" s="38"/>
    </row>
    <row r="38456">
      <c r="P38456" s="42"/>
      <c r="AB38456" s="38"/>
    </row>
    <row r="38457">
      <c r="P38457" s="42"/>
      <c r="AB38457" s="38"/>
    </row>
    <row r="38458">
      <c r="P38458" s="42"/>
      <c r="AB38458" s="38"/>
    </row>
    <row r="38459">
      <c r="P38459" s="42"/>
      <c r="AB38459" s="38"/>
    </row>
    <row r="38460">
      <c r="P38460" s="42"/>
      <c r="AB38460" s="38"/>
    </row>
    <row r="38461">
      <c r="P38461" s="42"/>
      <c r="AB38461" s="38"/>
    </row>
    <row r="38462">
      <c r="P38462" s="42"/>
      <c r="AB38462" s="38"/>
    </row>
    <row r="38463">
      <c r="P38463" s="42"/>
      <c r="AB38463" s="38"/>
    </row>
    <row r="38464">
      <c r="P38464" s="42"/>
      <c r="AB38464" s="38"/>
    </row>
    <row r="38465">
      <c r="P38465" s="42"/>
      <c r="AB38465" s="38"/>
    </row>
    <row r="38466">
      <c r="P38466" s="42"/>
      <c r="AB38466" s="38"/>
    </row>
    <row r="38467">
      <c r="P38467" s="42"/>
      <c r="AB38467" s="38"/>
    </row>
    <row r="38468">
      <c r="P38468" s="42"/>
      <c r="AB38468" s="38"/>
    </row>
    <row r="38469">
      <c r="P38469" s="42"/>
      <c r="AB38469" s="38"/>
    </row>
    <row r="38470">
      <c r="P38470" s="42"/>
      <c r="AB38470" s="38"/>
    </row>
    <row r="38471">
      <c r="P38471" s="42"/>
      <c r="AB38471" s="38"/>
    </row>
    <row r="38472">
      <c r="P38472" s="42"/>
      <c r="AB38472" s="38"/>
    </row>
    <row r="38473">
      <c r="P38473" s="42"/>
      <c r="AB38473" s="38"/>
    </row>
    <row r="38474">
      <c r="P38474" s="42"/>
      <c r="AB38474" s="38"/>
    </row>
    <row r="38475">
      <c r="P38475" s="42"/>
      <c r="AB38475" s="38"/>
    </row>
    <row r="38476">
      <c r="P38476" s="42"/>
      <c r="AB38476" s="38"/>
    </row>
    <row r="38477">
      <c r="P38477" s="42"/>
      <c r="AB38477" s="38"/>
    </row>
    <row r="38478">
      <c r="P38478" s="42"/>
      <c r="AB38478" s="38"/>
    </row>
    <row r="38479">
      <c r="P38479" s="42"/>
      <c r="AB38479" s="38"/>
    </row>
    <row r="38480">
      <c r="P38480" s="42"/>
      <c r="AB38480" s="38"/>
    </row>
    <row r="38481">
      <c r="P38481" s="42"/>
      <c r="AB38481" s="38"/>
    </row>
    <row r="38482">
      <c r="P38482" s="42"/>
      <c r="AB38482" s="38"/>
    </row>
    <row r="38483">
      <c r="P38483" s="42"/>
      <c r="AB38483" s="38"/>
    </row>
    <row r="38484">
      <c r="P38484" s="42"/>
      <c r="AB38484" s="38"/>
    </row>
    <row r="38485">
      <c r="P38485" s="42"/>
      <c r="AB38485" s="38"/>
    </row>
    <row r="38486">
      <c r="P38486" s="42"/>
      <c r="AB38486" s="38"/>
    </row>
    <row r="38487">
      <c r="P38487" s="42"/>
      <c r="AB38487" s="38"/>
    </row>
    <row r="38488">
      <c r="P38488" s="42"/>
      <c r="AB38488" s="38"/>
    </row>
    <row r="38489">
      <c r="P38489" s="42"/>
      <c r="AB38489" s="38"/>
    </row>
    <row r="38490">
      <c r="P38490" s="42"/>
      <c r="AB38490" s="38"/>
    </row>
    <row r="38491">
      <c r="P38491" s="42"/>
      <c r="AB38491" s="38"/>
    </row>
    <row r="38492">
      <c r="P38492" s="42"/>
      <c r="AB38492" s="38"/>
    </row>
    <row r="38493">
      <c r="P38493" s="42"/>
      <c r="AB38493" s="38"/>
    </row>
    <row r="38494">
      <c r="P38494" s="42"/>
      <c r="AB38494" s="38"/>
    </row>
    <row r="38495">
      <c r="P38495" s="42"/>
      <c r="AB38495" s="38"/>
    </row>
    <row r="38496">
      <c r="P38496" s="42"/>
      <c r="AB38496" s="38"/>
    </row>
    <row r="38497">
      <c r="P38497" s="42"/>
      <c r="AB38497" s="38"/>
    </row>
    <row r="38498">
      <c r="P38498" s="42"/>
      <c r="AB38498" s="38"/>
    </row>
    <row r="38499">
      <c r="P38499" s="42"/>
      <c r="AB38499" s="38"/>
    </row>
    <row r="38500">
      <c r="P38500" s="42"/>
      <c r="AB38500" s="38"/>
    </row>
    <row r="38501">
      <c r="P38501" s="42"/>
      <c r="AB38501" s="38"/>
    </row>
    <row r="38502">
      <c r="P38502" s="42"/>
      <c r="AB38502" s="38"/>
    </row>
    <row r="38503">
      <c r="P38503" s="42"/>
      <c r="AB38503" s="38"/>
    </row>
    <row r="38504">
      <c r="P38504" s="42"/>
      <c r="AB38504" s="38"/>
    </row>
    <row r="38505">
      <c r="P38505" s="42"/>
      <c r="AB38505" s="38"/>
    </row>
    <row r="38506">
      <c r="P38506" s="42"/>
      <c r="AB38506" s="38"/>
    </row>
    <row r="38507">
      <c r="P38507" s="42"/>
      <c r="AB38507" s="38"/>
    </row>
    <row r="38508">
      <c r="P38508" s="42"/>
      <c r="AB38508" s="38"/>
    </row>
    <row r="38509">
      <c r="P38509" s="42"/>
      <c r="AB38509" s="38"/>
    </row>
    <row r="38510">
      <c r="P38510" s="42"/>
      <c r="AB38510" s="38"/>
    </row>
    <row r="38511">
      <c r="P38511" s="42"/>
      <c r="AB38511" s="38"/>
    </row>
    <row r="38512">
      <c r="P38512" s="42"/>
      <c r="AB38512" s="38"/>
    </row>
    <row r="38513">
      <c r="P38513" s="42"/>
      <c r="AB38513" s="38"/>
    </row>
    <row r="38514">
      <c r="P38514" s="42"/>
      <c r="AB38514" s="38"/>
    </row>
    <row r="38515">
      <c r="P38515" s="42"/>
      <c r="AB38515" s="38"/>
    </row>
    <row r="38516">
      <c r="P38516" s="42"/>
      <c r="AB38516" s="38"/>
    </row>
    <row r="38517">
      <c r="P38517" s="42"/>
      <c r="AB38517" s="38"/>
    </row>
    <row r="38518">
      <c r="P38518" s="42"/>
      <c r="AB38518" s="38"/>
    </row>
    <row r="38519">
      <c r="P38519" s="42"/>
      <c r="AB38519" s="38"/>
    </row>
    <row r="38520">
      <c r="P38520" s="42"/>
      <c r="AB38520" s="38"/>
    </row>
    <row r="38521">
      <c r="P38521" s="42"/>
      <c r="AB38521" s="38"/>
    </row>
    <row r="38522">
      <c r="P38522" s="42"/>
      <c r="AB38522" s="38"/>
    </row>
    <row r="38523">
      <c r="P38523" s="42"/>
      <c r="AB38523" s="38"/>
    </row>
    <row r="38524">
      <c r="P38524" s="42"/>
      <c r="AB38524" s="38"/>
    </row>
    <row r="38525">
      <c r="P38525" s="42"/>
      <c r="AB38525" s="38"/>
    </row>
    <row r="38526">
      <c r="P38526" s="42"/>
      <c r="AB38526" s="38"/>
    </row>
    <row r="38527">
      <c r="P38527" s="42"/>
      <c r="AB38527" s="38"/>
    </row>
    <row r="38528">
      <c r="P38528" s="42"/>
      <c r="AB38528" s="38"/>
    </row>
    <row r="38529">
      <c r="P38529" s="42"/>
      <c r="AB38529" s="38"/>
    </row>
    <row r="38530">
      <c r="P38530" s="42"/>
      <c r="AB38530" s="38"/>
    </row>
    <row r="38531">
      <c r="P38531" s="42"/>
      <c r="AB38531" s="38"/>
    </row>
    <row r="38532">
      <c r="P38532" s="42"/>
      <c r="AB38532" s="38"/>
    </row>
    <row r="38533">
      <c r="P38533" s="42"/>
      <c r="AB38533" s="38"/>
    </row>
    <row r="38534">
      <c r="P38534" s="42"/>
      <c r="AB38534" s="38"/>
    </row>
    <row r="38535">
      <c r="P38535" s="42"/>
      <c r="AB38535" s="38"/>
    </row>
    <row r="38536">
      <c r="P38536" s="42"/>
      <c r="AB38536" s="38"/>
    </row>
    <row r="38537">
      <c r="P38537" s="42"/>
      <c r="AB38537" s="38"/>
    </row>
    <row r="38538">
      <c r="P38538" s="42"/>
      <c r="AB38538" s="38"/>
    </row>
    <row r="38539">
      <c r="P38539" s="42"/>
      <c r="AB38539" s="38"/>
    </row>
    <row r="38540">
      <c r="P38540" s="42"/>
      <c r="AB38540" s="38"/>
    </row>
    <row r="38541">
      <c r="P38541" s="42"/>
      <c r="AB38541" s="38"/>
    </row>
    <row r="38542">
      <c r="P38542" s="42"/>
      <c r="AB38542" s="38"/>
    </row>
    <row r="38543">
      <c r="P38543" s="42"/>
      <c r="AB38543" s="38"/>
    </row>
    <row r="38544">
      <c r="P38544" s="42"/>
      <c r="AB38544" s="38"/>
    </row>
    <row r="38545">
      <c r="P38545" s="42"/>
      <c r="AB38545" s="38"/>
    </row>
    <row r="38546">
      <c r="P38546" s="42"/>
      <c r="AB38546" s="38"/>
    </row>
    <row r="38547">
      <c r="P38547" s="42"/>
      <c r="AB38547" s="38"/>
    </row>
    <row r="38548">
      <c r="P38548" s="42"/>
      <c r="AB38548" s="38"/>
    </row>
    <row r="38549">
      <c r="P38549" s="42"/>
      <c r="AB38549" s="38"/>
    </row>
    <row r="38550">
      <c r="P38550" s="42"/>
      <c r="AB38550" s="38"/>
    </row>
    <row r="38551">
      <c r="P38551" s="42"/>
      <c r="AB38551" s="38"/>
    </row>
    <row r="38552">
      <c r="P38552" s="42"/>
      <c r="AB38552" s="38"/>
    </row>
    <row r="38553">
      <c r="P38553" s="42"/>
      <c r="AB38553" s="38"/>
    </row>
    <row r="38554">
      <c r="P38554" s="42"/>
      <c r="AB38554" s="38"/>
    </row>
    <row r="38555">
      <c r="P38555" s="42"/>
      <c r="AB38555" s="38"/>
    </row>
    <row r="38556">
      <c r="P38556" s="42"/>
      <c r="AB38556" s="38"/>
    </row>
    <row r="38557">
      <c r="P38557" s="42"/>
      <c r="AB38557" s="38"/>
    </row>
    <row r="38558">
      <c r="P38558" s="42"/>
      <c r="AB38558" s="38"/>
    </row>
    <row r="38559">
      <c r="P38559" s="42"/>
      <c r="AB38559" s="38"/>
    </row>
    <row r="38560">
      <c r="P38560" s="42"/>
      <c r="AB38560" s="38"/>
    </row>
    <row r="38561">
      <c r="P38561" s="42"/>
      <c r="AB38561" s="38"/>
    </row>
    <row r="38562">
      <c r="P38562" s="42"/>
      <c r="AB38562" s="38"/>
    </row>
    <row r="38563">
      <c r="P38563" s="42"/>
      <c r="AB38563" s="38"/>
    </row>
    <row r="38564">
      <c r="P38564" s="42"/>
      <c r="AB38564" s="38"/>
    </row>
    <row r="38565">
      <c r="P38565" s="42"/>
      <c r="AB38565" s="38"/>
    </row>
    <row r="38566">
      <c r="P38566" s="42"/>
      <c r="AB38566" s="38"/>
    </row>
    <row r="38567">
      <c r="P38567" s="42"/>
      <c r="AB38567" s="38"/>
    </row>
    <row r="38568">
      <c r="P38568" s="42"/>
      <c r="AB38568" s="38"/>
    </row>
    <row r="38569">
      <c r="P38569" s="42"/>
      <c r="AB38569" s="38"/>
    </row>
    <row r="38570">
      <c r="P38570" s="42"/>
      <c r="AB38570" s="38"/>
    </row>
    <row r="38571">
      <c r="P38571" s="42"/>
      <c r="AB38571" s="38"/>
    </row>
    <row r="38572">
      <c r="P38572" s="42"/>
      <c r="AB38572" s="38"/>
    </row>
    <row r="38573">
      <c r="P38573" s="42"/>
      <c r="AB38573" s="38"/>
    </row>
    <row r="38574">
      <c r="P38574" s="42"/>
      <c r="AB38574" s="38"/>
    </row>
    <row r="38575">
      <c r="P38575" s="42"/>
      <c r="AB38575" s="38"/>
    </row>
    <row r="38576">
      <c r="P38576" s="42"/>
      <c r="AB38576" s="38"/>
    </row>
    <row r="38577">
      <c r="P38577" s="42"/>
      <c r="AB38577" s="38"/>
    </row>
    <row r="38578">
      <c r="P38578" s="42"/>
      <c r="AB38578" s="38"/>
    </row>
    <row r="38579">
      <c r="P38579" s="42"/>
      <c r="AB38579" s="38"/>
    </row>
    <row r="38580">
      <c r="P38580" s="42"/>
      <c r="AB38580" s="38"/>
    </row>
    <row r="38581">
      <c r="P38581" s="42"/>
      <c r="AB38581" s="38"/>
    </row>
    <row r="38582">
      <c r="P38582" s="42"/>
      <c r="AB38582" s="38"/>
    </row>
    <row r="38583">
      <c r="P38583" s="42"/>
      <c r="AB38583" s="38"/>
    </row>
    <row r="38584">
      <c r="P38584" s="42"/>
      <c r="AB38584" s="38"/>
    </row>
    <row r="38585">
      <c r="P38585" s="42"/>
      <c r="AB38585" s="38"/>
    </row>
    <row r="38586">
      <c r="P38586" s="42"/>
      <c r="AB38586" s="38"/>
    </row>
    <row r="38587">
      <c r="P38587" s="42"/>
      <c r="AB38587" s="38"/>
    </row>
    <row r="38588">
      <c r="P38588" s="42"/>
      <c r="AB38588" s="38"/>
    </row>
    <row r="38589">
      <c r="P38589" s="42"/>
      <c r="AB38589" s="38"/>
    </row>
    <row r="38590">
      <c r="P38590" s="42"/>
      <c r="AB38590" s="38"/>
    </row>
    <row r="38591">
      <c r="P38591" s="42"/>
      <c r="AB38591" s="38"/>
    </row>
    <row r="38592">
      <c r="P38592" s="42"/>
      <c r="AB38592" s="38"/>
    </row>
    <row r="38593">
      <c r="P38593" s="42"/>
      <c r="AB38593" s="38"/>
    </row>
    <row r="38594">
      <c r="P38594" s="42"/>
      <c r="AB38594" s="38"/>
    </row>
    <row r="38595">
      <c r="P38595" s="42"/>
      <c r="AB38595" s="38"/>
    </row>
    <row r="38596">
      <c r="P38596" s="42"/>
      <c r="AB38596" s="38"/>
    </row>
    <row r="38597">
      <c r="P38597" s="42"/>
      <c r="AB38597" s="38"/>
    </row>
    <row r="38598">
      <c r="P38598" s="42"/>
      <c r="AB38598" s="38"/>
    </row>
    <row r="38599">
      <c r="P38599" s="42"/>
      <c r="AB38599" s="38"/>
    </row>
    <row r="38600">
      <c r="P38600" s="42"/>
      <c r="AB38600" s="38"/>
    </row>
    <row r="38601">
      <c r="P38601" s="42"/>
      <c r="AB38601" s="38"/>
    </row>
    <row r="38602">
      <c r="P38602" s="42"/>
      <c r="AB38602" s="38"/>
    </row>
    <row r="38603">
      <c r="P38603" s="42"/>
      <c r="AB38603" s="38"/>
    </row>
    <row r="38604">
      <c r="P38604" s="42"/>
      <c r="AB38604" s="38"/>
    </row>
    <row r="38605">
      <c r="P38605" s="42"/>
      <c r="AB38605" s="38"/>
    </row>
    <row r="38606">
      <c r="P38606" s="42"/>
      <c r="AB38606" s="38"/>
    </row>
    <row r="38607">
      <c r="P38607" s="42"/>
      <c r="AB38607" s="38"/>
    </row>
    <row r="38608">
      <c r="P38608" s="42"/>
      <c r="AB38608" s="38"/>
    </row>
    <row r="38609">
      <c r="P38609" s="42"/>
      <c r="AB38609" s="38"/>
    </row>
    <row r="38610">
      <c r="P38610" s="42"/>
      <c r="AB38610" s="38"/>
    </row>
    <row r="38611">
      <c r="P38611" s="42"/>
      <c r="AB38611" s="38"/>
    </row>
    <row r="38612">
      <c r="P38612" s="42"/>
      <c r="AB38612" s="38"/>
    </row>
    <row r="38613">
      <c r="P38613" s="42"/>
      <c r="AB38613" s="38"/>
    </row>
    <row r="38614">
      <c r="P38614" s="42"/>
      <c r="AB38614" s="38"/>
    </row>
    <row r="38615">
      <c r="P38615" s="42"/>
      <c r="AB38615" s="38"/>
    </row>
    <row r="38616">
      <c r="P38616" s="42"/>
      <c r="AB38616" s="38"/>
    </row>
    <row r="38617">
      <c r="P38617" s="42"/>
      <c r="AB38617" s="38"/>
    </row>
    <row r="38618">
      <c r="P38618" s="42"/>
      <c r="AB38618" s="38"/>
    </row>
    <row r="38619">
      <c r="P38619" s="42"/>
      <c r="AB38619" s="38"/>
    </row>
    <row r="38620">
      <c r="P38620" s="42"/>
      <c r="AB38620" s="38"/>
    </row>
    <row r="38621">
      <c r="P38621" s="42"/>
      <c r="AB38621" s="38"/>
    </row>
    <row r="38622">
      <c r="P38622" s="42"/>
      <c r="AB38622" s="38"/>
    </row>
    <row r="38623">
      <c r="P38623" s="42"/>
      <c r="AB38623" s="38"/>
    </row>
    <row r="38624">
      <c r="P38624" s="42"/>
      <c r="AB38624" s="38"/>
    </row>
    <row r="38625">
      <c r="P38625" s="42"/>
      <c r="AB38625" s="38"/>
    </row>
    <row r="38626">
      <c r="P38626" s="42"/>
      <c r="AB38626" s="38"/>
    </row>
    <row r="38627">
      <c r="P38627" s="42"/>
      <c r="AB38627" s="38"/>
    </row>
    <row r="38628">
      <c r="P38628" s="42"/>
      <c r="AB38628" s="38"/>
    </row>
    <row r="38629">
      <c r="P38629" s="42"/>
      <c r="AB38629" s="38"/>
    </row>
    <row r="38630">
      <c r="P38630" s="42"/>
      <c r="AB38630" s="38"/>
    </row>
    <row r="38631">
      <c r="P38631" s="42"/>
      <c r="AB38631" s="38"/>
    </row>
    <row r="38632">
      <c r="P38632" s="42"/>
      <c r="AB38632" s="38"/>
    </row>
    <row r="38633">
      <c r="P38633" s="42"/>
      <c r="AB38633" s="38"/>
    </row>
    <row r="38634">
      <c r="P38634" s="42"/>
      <c r="AB38634" s="38"/>
    </row>
    <row r="38635">
      <c r="P38635" s="42"/>
      <c r="AB38635" s="38"/>
    </row>
    <row r="38636">
      <c r="P38636" s="42"/>
      <c r="AB38636" s="38"/>
    </row>
    <row r="38637">
      <c r="P38637" s="42"/>
      <c r="AB38637" s="38"/>
    </row>
    <row r="38638">
      <c r="P38638" s="42"/>
      <c r="AB38638" s="38"/>
    </row>
    <row r="38639">
      <c r="P38639" s="42"/>
      <c r="AB38639" s="38"/>
    </row>
    <row r="38640">
      <c r="P38640" s="42"/>
      <c r="AB38640" s="38"/>
    </row>
    <row r="38641">
      <c r="P38641" s="42"/>
      <c r="AB38641" s="38"/>
    </row>
    <row r="38642">
      <c r="P38642" s="42"/>
      <c r="AB38642" s="38"/>
    </row>
    <row r="38643">
      <c r="P38643" s="42"/>
      <c r="AB38643" s="38"/>
    </row>
    <row r="38644">
      <c r="P38644" s="42"/>
      <c r="AB38644" s="38"/>
    </row>
    <row r="38645">
      <c r="P38645" s="42"/>
      <c r="AB38645" s="38"/>
    </row>
    <row r="38646">
      <c r="P38646" s="42"/>
      <c r="AB38646" s="38"/>
    </row>
    <row r="38647">
      <c r="P38647" s="42"/>
      <c r="AB38647" s="38"/>
    </row>
    <row r="38648">
      <c r="P38648" s="42"/>
      <c r="AB38648" s="38"/>
    </row>
    <row r="38649">
      <c r="P38649" s="42"/>
      <c r="AB38649" s="38"/>
    </row>
    <row r="38650">
      <c r="P38650" s="42"/>
      <c r="AB38650" s="38"/>
    </row>
    <row r="38651">
      <c r="P38651" s="42"/>
      <c r="AB38651" s="38"/>
    </row>
    <row r="38652">
      <c r="P38652" s="42"/>
      <c r="AB38652" s="38"/>
    </row>
    <row r="38653">
      <c r="P38653" s="42"/>
      <c r="AB38653" s="38"/>
    </row>
    <row r="38654">
      <c r="P38654" s="42"/>
      <c r="AB38654" s="38"/>
    </row>
    <row r="38655">
      <c r="P38655" s="42"/>
      <c r="AB38655" s="38"/>
    </row>
    <row r="38656">
      <c r="P38656" s="42"/>
      <c r="AB38656" s="38"/>
    </row>
    <row r="38657">
      <c r="P38657" s="42"/>
      <c r="AB38657" s="38"/>
    </row>
    <row r="38658">
      <c r="P38658" s="42"/>
      <c r="AB38658" s="38"/>
    </row>
    <row r="38659">
      <c r="P38659" s="42"/>
      <c r="AB38659" s="38"/>
    </row>
    <row r="38660">
      <c r="P38660" s="42"/>
      <c r="AB38660" s="38"/>
    </row>
    <row r="38661">
      <c r="P38661" s="42"/>
      <c r="AB38661" s="38"/>
    </row>
    <row r="38662">
      <c r="P38662" s="42"/>
      <c r="AB38662" s="38"/>
    </row>
    <row r="38663">
      <c r="P38663" s="42"/>
      <c r="AB38663" s="38"/>
    </row>
    <row r="38664">
      <c r="P38664" s="42"/>
      <c r="AB38664" s="38"/>
    </row>
    <row r="38665">
      <c r="P38665" s="42"/>
      <c r="AB38665" s="38"/>
    </row>
    <row r="38666">
      <c r="P38666" s="42"/>
      <c r="AB38666" s="38"/>
    </row>
    <row r="38667">
      <c r="P38667" s="42"/>
      <c r="AB38667" s="38"/>
    </row>
    <row r="38668">
      <c r="P38668" s="42"/>
      <c r="AB38668" s="38"/>
    </row>
    <row r="38669">
      <c r="P38669" s="42"/>
      <c r="AB38669" s="38"/>
    </row>
    <row r="38670">
      <c r="P38670" s="42"/>
      <c r="AB38670" s="38"/>
    </row>
    <row r="38671">
      <c r="P38671" s="42"/>
      <c r="AB38671" s="38"/>
    </row>
    <row r="38672">
      <c r="P38672" s="42"/>
      <c r="AB38672" s="38"/>
    </row>
    <row r="38673">
      <c r="P38673" s="42"/>
      <c r="AB38673" s="38"/>
    </row>
    <row r="38674">
      <c r="P38674" s="42"/>
      <c r="AB38674" s="38"/>
    </row>
    <row r="38675">
      <c r="P38675" s="42"/>
      <c r="AB38675" s="38"/>
    </row>
    <row r="38676">
      <c r="P38676" s="42"/>
      <c r="AB38676" s="38"/>
    </row>
    <row r="38677">
      <c r="P38677" s="42"/>
      <c r="AB38677" s="38"/>
    </row>
    <row r="38678">
      <c r="P38678" s="42"/>
      <c r="AB38678" s="38"/>
    </row>
    <row r="38679">
      <c r="P38679" s="42"/>
      <c r="AB38679" s="38"/>
    </row>
    <row r="38680">
      <c r="P38680" s="42"/>
      <c r="AB38680" s="38"/>
    </row>
    <row r="38681">
      <c r="P38681" s="42"/>
      <c r="AB38681" s="38"/>
    </row>
    <row r="38682">
      <c r="P38682" s="42"/>
      <c r="AB38682" s="38"/>
    </row>
    <row r="38683">
      <c r="P38683" s="42"/>
      <c r="AB38683" s="38"/>
    </row>
    <row r="38684">
      <c r="P38684" s="42"/>
      <c r="AB38684" s="38"/>
    </row>
    <row r="38685">
      <c r="P38685" s="42"/>
      <c r="AB38685" s="38"/>
    </row>
    <row r="38686">
      <c r="P38686" s="42"/>
      <c r="AB38686" s="38"/>
    </row>
    <row r="38687">
      <c r="P38687" s="42"/>
      <c r="AB38687" s="38"/>
    </row>
    <row r="38688">
      <c r="P38688" s="42"/>
      <c r="AB38688" s="38"/>
    </row>
    <row r="38689">
      <c r="P38689" s="42"/>
      <c r="AB38689" s="38"/>
    </row>
    <row r="38690">
      <c r="P38690" s="42"/>
      <c r="AB38690" s="38"/>
    </row>
    <row r="38691">
      <c r="P38691" s="42"/>
      <c r="AB38691" s="38"/>
    </row>
    <row r="38692">
      <c r="P38692" s="42"/>
      <c r="AB38692" s="38"/>
    </row>
    <row r="38693">
      <c r="P38693" s="42"/>
      <c r="AB38693" s="38"/>
    </row>
    <row r="38694">
      <c r="P38694" s="42"/>
      <c r="AB38694" s="38"/>
    </row>
    <row r="38695">
      <c r="P38695" s="42"/>
      <c r="AB38695" s="38"/>
    </row>
    <row r="38696">
      <c r="P38696" s="42"/>
      <c r="AB38696" s="38"/>
    </row>
    <row r="38697">
      <c r="P38697" s="42"/>
      <c r="AB38697" s="38"/>
    </row>
    <row r="38698">
      <c r="P38698" s="42"/>
      <c r="AB38698" s="38"/>
    </row>
    <row r="38699">
      <c r="P38699" s="42"/>
      <c r="AB38699" s="38"/>
    </row>
    <row r="38700">
      <c r="P38700" s="42"/>
      <c r="AB38700" s="38"/>
    </row>
    <row r="38701">
      <c r="P38701" s="42"/>
      <c r="AB38701" s="38"/>
    </row>
    <row r="38702">
      <c r="P38702" s="42"/>
      <c r="AB38702" s="38"/>
    </row>
    <row r="38703">
      <c r="P38703" s="42"/>
      <c r="AB38703" s="38"/>
    </row>
    <row r="38704">
      <c r="P38704" s="42"/>
      <c r="AB38704" s="38"/>
    </row>
    <row r="38705">
      <c r="P38705" s="42"/>
      <c r="AB38705" s="38"/>
    </row>
    <row r="38706">
      <c r="P38706" s="42"/>
      <c r="AB38706" s="38"/>
    </row>
    <row r="38707">
      <c r="P38707" s="42"/>
      <c r="AB38707" s="38"/>
    </row>
    <row r="38708">
      <c r="P38708" s="42"/>
      <c r="AB38708" s="38"/>
    </row>
    <row r="38709">
      <c r="P38709" s="42"/>
      <c r="AB38709" s="38"/>
    </row>
    <row r="38710">
      <c r="P38710" s="42"/>
      <c r="AB38710" s="38"/>
    </row>
    <row r="38711">
      <c r="P38711" s="42"/>
      <c r="AB38711" s="38"/>
    </row>
    <row r="38712">
      <c r="P38712" s="42"/>
      <c r="AB38712" s="38"/>
    </row>
    <row r="38713">
      <c r="P38713" s="42"/>
      <c r="AB38713" s="38"/>
    </row>
    <row r="38714">
      <c r="P38714" s="42"/>
      <c r="AB38714" s="38"/>
    </row>
    <row r="38715">
      <c r="P38715" s="42"/>
      <c r="AB38715" s="38"/>
    </row>
    <row r="38716">
      <c r="P38716" s="42"/>
      <c r="AB38716" s="38"/>
    </row>
    <row r="38717">
      <c r="P38717" s="42"/>
      <c r="AB38717" s="38"/>
    </row>
    <row r="38718">
      <c r="P38718" s="42"/>
      <c r="AB38718" s="38"/>
    </row>
    <row r="38719">
      <c r="P38719" s="42"/>
      <c r="AB38719" s="38"/>
    </row>
    <row r="38720">
      <c r="P38720" s="42"/>
      <c r="AB38720" s="38"/>
    </row>
    <row r="38721">
      <c r="P38721" s="42"/>
      <c r="AB38721" s="38"/>
    </row>
    <row r="38722">
      <c r="P38722" s="42"/>
      <c r="AB38722" s="38"/>
    </row>
    <row r="38723">
      <c r="P38723" s="42"/>
      <c r="AB38723" s="38"/>
    </row>
    <row r="38724">
      <c r="P38724" s="42"/>
      <c r="AB38724" s="38"/>
    </row>
    <row r="38725">
      <c r="P38725" s="42"/>
      <c r="AB38725" s="38"/>
    </row>
    <row r="38726">
      <c r="P38726" s="42"/>
      <c r="AB38726" s="38"/>
    </row>
    <row r="38727">
      <c r="P38727" s="42"/>
      <c r="AB38727" s="38"/>
    </row>
    <row r="38728">
      <c r="P38728" s="42"/>
      <c r="AB38728" s="38"/>
    </row>
    <row r="38729">
      <c r="P38729" s="42"/>
      <c r="AB38729" s="38"/>
    </row>
    <row r="38730">
      <c r="P38730" s="42"/>
      <c r="AB38730" s="38"/>
    </row>
    <row r="38731">
      <c r="P38731" s="42"/>
      <c r="AB38731" s="38"/>
    </row>
    <row r="38732">
      <c r="P38732" s="42"/>
      <c r="AB38732" s="38"/>
    </row>
    <row r="38733">
      <c r="P38733" s="42"/>
      <c r="AB38733" s="38"/>
    </row>
    <row r="38734">
      <c r="P38734" s="42"/>
      <c r="AB38734" s="38"/>
    </row>
    <row r="38735">
      <c r="P38735" s="42"/>
      <c r="AB38735" s="38"/>
    </row>
    <row r="38736">
      <c r="P38736" s="42"/>
      <c r="AB38736" s="38"/>
    </row>
    <row r="38737">
      <c r="P38737" s="42"/>
      <c r="AB38737" s="38"/>
    </row>
    <row r="38738">
      <c r="P38738" s="42"/>
      <c r="AB38738" s="38"/>
    </row>
    <row r="38739">
      <c r="P38739" s="42"/>
      <c r="AB38739" s="38"/>
    </row>
    <row r="38740">
      <c r="P38740" s="42"/>
      <c r="AB38740" s="38"/>
    </row>
    <row r="38741">
      <c r="P38741" s="42"/>
      <c r="AB38741" s="38"/>
    </row>
    <row r="38742">
      <c r="P38742" s="42"/>
      <c r="AB38742" s="38"/>
    </row>
    <row r="38743">
      <c r="P38743" s="42"/>
      <c r="AB38743" s="38"/>
    </row>
    <row r="38744">
      <c r="P38744" s="42"/>
      <c r="AB38744" s="38"/>
    </row>
    <row r="38745">
      <c r="P38745" s="42"/>
      <c r="AB38745" s="38"/>
    </row>
    <row r="38746">
      <c r="P38746" s="42"/>
      <c r="AB38746" s="38"/>
    </row>
    <row r="38747">
      <c r="P38747" s="42"/>
      <c r="AB38747" s="38"/>
    </row>
    <row r="38748">
      <c r="P38748" s="42"/>
      <c r="AB38748" s="38"/>
    </row>
    <row r="38749">
      <c r="P38749" s="42"/>
      <c r="AB38749" s="38"/>
    </row>
    <row r="38750">
      <c r="P38750" s="42"/>
      <c r="AB38750" s="38"/>
    </row>
    <row r="38751">
      <c r="P38751" s="42"/>
      <c r="AB38751" s="38"/>
    </row>
    <row r="38752">
      <c r="P38752" s="42"/>
      <c r="AB38752" s="38"/>
    </row>
    <row r="38753">
      <c r="P38753" s="42"/>
      <c r="AB38753" s="38"/>
    </row>
    <row r="38754">
      <c r="P38754" s="42"/>
      <c r="AB38754" s="38"/>
    </row>
    <row r="38755">
      <c r="P38755" s="42"/>
      <c r="AB38755" s="38"/>
    </row>
    <row r="38756">
      <c r="P38756" s="42"/>
      <c r="AB38756" s="38"/>
    </row>
    <row r="38757">
      <c r="P38757" s="42"/>
      <c r="AB38757" s="38"/>
    </row>
    <row r="38758">
      <c r="P38758" s="42"/>
      <c r="AB38758" s="38"/>
    </row>
    <row r="38759">
      <c r="P38759" s="42"/>
      <c r="AB38759" s="38"/>
    </row>
    <row r="38760">
      <c r="P38760" s="42"/>
      <c r="AB38760" s="38"/>
    </row>
    <row r="38761">
      <c r="P38761" s="42"/>
      <c r="AB38761" s="38"/>
    </row>
    <row r="38762">
      <c r="P38762" s="42"/>
      <c r="AB38762" s="38"/>
    </row>
    <row r="38763">
      <c r="P38763" s="42"/>
      <c r="AB38763" s="38"/>
    </row>
    <row r="38764">
      <c r="P38764" s="42"/>
      <c r="AB38764" s="38"/>
    </row>
    <row r="38765">
      <c r="P38765" s="42"/>
      <c r="AB38765" s="38"/>
    </row>
    <row r="38766">
      <c r="P38766" s="42"/>
      <c r="AB38766" s="38"/>
    </row>
    <row r="38767">
      <c r="P38767" s="42"/>
      <c r="AB38767" s="38"/>
    </row>
    <row r="38768">
      <c r="P38768" s="42"/>
      <c r="AB38768" s="38"/>
    </row>
    <row r="38769">
      <c r="P38769" s="42"/>
      <c r="AB38769" s="38"/>
    </row>
    <row r="38770">
      <c r="P38770" s="42"/>
      <c r="AB38770" s="38"/>
    </row>
    <row r="38771">
      <c r="P38771" s="42"/>
      <c r="AB38771" s="38"/>
    </row>
    <row r="38772">
      <c r="P38772" s="42"/>
      <c r="AB38772" s="38"/>
    </row>
    <row r="38773">
      <c r="P38773" s="42"/>
      <c r="AB38773" s="38"/>
    </row>
    <row r="38774">
      <c r="P38774" s="42"/>
      <c r="AB38774" s="38"/>
    </row>
    <row r="38775">
      <c r="P38775" s="42"/>
      <c r="AB38775" s="38"/>
    </row>
    <row r="38776">
      <c r="P38776" s="42"/>
      <c r="AB38776" s="38"/>
    </row>
    <row r="38777">
      <c r="P38777" s="42"/>
      <c r="AB38777" s="38"/>
    </row>
    <row r="38778">
      <c r="P38778" s="42"/>
      <c r="AB38778" s="38"/>
    </row>
    <row r="38779">
      <c r="P38779" s="42"/>
      <c r="AB38779" s="38"/>
    </row>
    <row r="38780">
      <c r="P38780" s="42"/>
      <c r="AB38780" s="38"/>
    </row>
    <row r="38781">
      <c r="P38781" s="42"/>
      <c r="AB38781" s="38"/>
    </row>
    <row r="38782">
      <c r="P38782" s="42"/>
      <c r="AB38782" s="38"/>
    </row>
    <row r="38783">
      <c r="P38783" s="42"/>
      <c r="AB38783" s="38"/>
    </row>
    <row r="38784">
      <c r="P38784" s="42"/>
      <c r="AB38784" s="38"/>
    </row>
    <row r="38785">
      <c r="P38785" s="42"/>
      <c r="AB38785" s="38"/>
    </row>
    <row r="38786">
      <c r="P38786" s="42"/>
      <c r="AB38786" s="38"/>
    </row>
    <row r="38787">
      <c r="P38787" s="42"/>
      <c r="AB38787" s="38"/>
    </row>
    <row r="38788">
      <c r="P38788" s="42"/>
      <c r="AB38788" s="38"/>
    </row>
    <row r="38789">
      <c r="P38789" s="42"/>
      <c r="AB38789" s="38"/>
    </row>
    <row r="38790">
      <c r="P38790" s="42"/>
      <c r="AB38790" s="38"/>
    </row>
    <row r="38791">
      <c r="P38791" s="42"/>
      <c r="AB38791" s="38"/>
    </row>
    <row r="38792">
      <c r="P38792" s="42"/>
      <c r="AB38792" s="38"/>
    </row>
    <row r="38793">
      <c r="P38793" s="42"/>
      <c r="AB38793" s="38"/>
    </row>
    <row r="38794">
      <c r="P38794" s="42"/>
      <c r="AB38794" s="38"/>
    </row>
    <row r="38795">
      <c r="P38795" s="42"/>
      <c r="AB38795" s="38"/>
    </row>
    <row r="38796">
      <c r="P38796" s="42"/>
      <c r="AB38796" s="38"/>
    </row>
    <row r="38797">
      <c r="P38797" s="42"/>
      <c r="AB38797" s="38"/>
    </row>
    <row r="38798">
      <c r="P38798" s="42"/>
      <c r="AB38798" s="38"/>
    </row>
    <row r="38799">
      <c r="P38799" s="42"/>
      <c r="AB38799" s="38"/>
    </row>
    <row r="38800">
      <c r="P38800" s="42"/>
      <c r="AB38800" s="38"/>
    </row>
    <row r="38801">
      <c r="P38801" s="42"/>
      <c r="AB38801" s="38"/>
    </row>
    <row r="38802">
      <c r="P38802" s="42"/>
      <c r="AB38802" s="38"/>
    </row>
    <row r="38803">
      <c r="P38803" s="42"/>
      <c r="AB38803" s="38"/>
    </row>
    <row r="38804">
      <c r="P38804" s="42"/>
      <c r="AB38804" s="38"/>
    </row>
    <row r="38805">
      <c r="P38805" s="42"/>
      <c r="AB38805" s="38"/>
    </row>
    <row r="38806">
      <c r="P38806" s="42"/>
      <c r="AB38806" s="38"/>
    </row>
    <row r="38807">
      <c r="P38807" s="42"/>
      <c r="AB38807" s="38"/>
    </row>
    <row r="38808">
      <c r="P38808" s="42"/>
      <c r="AB38808" s="38"/>
    </row>
    <row r="38809">
      <c r="P38809" s="42"/>
      <c r="AB38809" s="38"/>
    </row>
    <row r="38810">
      <c r="P38810" s="42"/>
      <c r="AB38810" s="38"/>
    </row>
    <row r="38811">
      <c r="P38811" s="42"/>
      <c r="AB38811" s="38"/>
    </row>
    <row r="38812">
      <c r="P38812" s="42"/>
      <c r="AB38812" s="38"/>
    </row>
    <row r="38813">
      <c r="P38813" s="42"/>
      <c r="AB38813" s="38"/>
    </row>
    <row r="38814">
      <c r="P38814" s="42"/>
      <c r="AB38814" s="38"/>
    </row>
    <row r="38815">
      <c r="P38815" s="42"/>
      <c r="AB38815" s="38"/>
    </row>
    <row r="38816">
      <c r="P38816" s="42"/>
      <c r="AB38816" s="38"/>
    </row>
    <row r="38817">
      <c r="P38817" s="42"/>
      <c r="AB38817" s="38"/>
    </row>
    <row r="38818">
      <c r="P38818" s="42"/>
      <c r="AB38818" s="38"/>
    </row>
    <row r="38819">
      <c r="P38819" s="42"/>
      <c r="AB38819" s="38"/>
    </row>
    <row r="38820">
      <c r="P38820" s="42"/>
      <c r="AB38820" s="38"/>
    </row>
    <row r="38821">
      <c r="P38821" s="42"/>
      <c r="AB38821" s="38"/>
    </row>
    <row r="38822">
      <c r="P38822" s="42"/>
      <c r="AB38822" s="38"/>
    </row>
    <row r="38823">
      <c r="P38823" s="42"/>
      <c r="AB38823" s="38"/>
    </row>
    <row r="38824">
      <c r="P38824" s="42"/>
      <c r="AB38824" s="38"/>
    </row>
    <row r="38825">
      <c r="P38825" s="42"/>
      <c r="AB38825" s="38"/>
    </row>
    <row r="38826">
      <c r="P38826" s="42"/>
      <c r="AB38826" s="38"/>
    </row>
    <row r="38827">
      <c r="P38827" s="42"/>
      <c r="AB38827" s="38"/>
    </row>
    <row r="38828">
      <c r="P38828" s="42"/>
      <c r="AB38828" s="38"/>
    </row>
    <row r="38829">
      <c r="P38829" s="42"/>
      <c r="AB38829" s="38"/>
    </row>
    <row r="38830">
      <c r="P38830" s="42"/>
      <c r="AB38830" s="38"/>
    </row>
    <row r="38831">
      <c r="P38831" s="42"/>
      <c r="AB38831" s="38"/>
    </row>
    <row r="38832">
      <c r="P38832" s="42"/>
      <c r="AB38832" s="38"/>
    </row>
    <row r="38833">
      <c r="P38833" s="42"/>
      <c r="AB38833" s="38"/>
    </row>
    <row r="38834">
      <c r="P38834" s="42"/>
      <c r="AB38834" s="38"/>
    </row>
    <row r="38835">
      <c r="P38835" s="42"/>
      <c r="AB38835" s="38"/>
    </row>
    <row r="38836">
      <c r="P38836" s="42"/>
      <c r="AB38836" s="38"/>
    </row>
    <row r="38837">
      <c r="P38837" s="42"/>
      <c r="AB38837" s="38"/>
    </row>
    <row r="38838">
      <c r="P38838" s="42"/>
      <c r="AB38838" s="38"/>
    </row>
    <row r="38839">
      <c r="P38839" s="42"/>
      <c r="AB38839" s="38"/>
    </row>
    <row r="38840">
      <c r="P38840" s="42"/>
      <c r="AB38840" s="38"/>
    </row>
    <row r="38841">
      <c r="P38841" s="42"/>
      <c r="AB38841" s="38"/>
    </row>
    <row r="38842">
      <c r="P38842" s="42"/>
      <c r="AB38842" s="38"/>
    </row>
    <row r="38843">
      <c r="P38843" s="42"/>
      <c r="AB38843" s="38"/>
    </row>
    <row r="38844">
      <c r="P38844" s="42"/>
      <c r="AB38844" s="38"/>
    </row>
    <row r="38845">
      <c r="P38845" s="42"/>
      <c r="AB38845" s="38"/>
    </row>
    <row r="38846">
      <c r="P38846" s="42"/>
      <c r="AB38846" s="38"/>
    </row>
    <row r="38847">
      <c r="P38847" s="42"/>
      <c r="AB38847" s="38"/>
    </row>
    <row r="38848">
      <c r="P38848" s="42"/>
      <c r="AB38848" s="38"/>
    </row>
    <row r="38849">
      <c r="P38849" s="42"/>
      <c r="AB38849" s="38"/>
    </row>
    <row r="38850">
      <c r="P38850" s="42"/>
      <c r="AB38850" s="38"/>
    </row>
    <row r="38851">
      <c r="P38851" s="42"/>
      <c r="AB38851" s="38"/>
    </row>
    <row r="38852">
      <c r="P38852" s="42"/>
      <c r="AB38852" s="38"/>
    </row>
    <row r="38853">
      <c r="P38853" s="42"/>
      <c r="AB38853" s="38"/>
    </row>
    <row r="38854">
      <c r="P38854" s="42"/>
      <c r="AB38854" s="38"/>
    </row>
    <row r="38855">
      <c r="P38855" s="42"/>
      <c r="AB38855" s="38"/>
    </row>
    <row r="38856">
      <c r="P38856" s="42"/>
      <c r="AB38856" s="38"/>
    </row>
    <row r="38857">
      <c r="P38857" s="42"/>
      <c r="AB38857" s="38"/>
    </row>
    <row r="38858">
      <c r="P38858" s="42"/>
      <c r="AB38858" s="38"/>
    </row>
    <row r="38859">
      <c r="P38859" s="42"/>
      <c r="AB38859" s="38"/>
    </row>
    <row r="38860">
      <c r="P38860" s="42"/>
      <c r="AB38860" s="38"/>
    </row>
    <row r="38861">
      <c r="P38861" s="42"/>
      <c r="AB38861" s="38"/>
    </row>
    <row r="38862">
      <c r="P38862" s="42"/>
      <c r="AB38862" s="38"/>
    </row>
    <row r="38863">
      <c r="P38863" s="42"/>
      <c r="AB38863" s="38"/>
    </row>
    <row r="38864">
      <c r="P38864" s="42"/>
      <c r="AB38864" s="38"/>
    </row>
    <row r="38865">
      <c r="P38865" s="42"/>
      <c r="AB38865" s="38"/>
    </row>
    <row r="38866">
      <c r="P38866" s="42"/>
      <c r="AB38866" s="38"/>
    </row>
    <row r="38867">
      <c r="P38867" s="42"/>
      <c r="AB38867" s="38"/>
    </row>
    <row r="38868">
      <c r="P38868" s="42"/>
      <c r="AB38868" s="38"/>
    </row>
    <row r="38869">
      <c r="P38869" s="42"/>
      <c r="AB38869" s="38"/>
    </row>
    <row r="38870">
      <c r="P38870" s="42"/>
      <c r="AB38870" s="38"/>
    </row>
    <row r="38871">
      <c r="P38871" s="42"/>
      <c r="AB38871" s="38"/>
    </row>
    <row r="38872">
      <c r="P38872" s="42"/>
      <c r="AB38872" s="38"/>
    </row>
    <row r="38873">
      <c r="P38873" s="42"/>
      <c r="AB38873" s="38"/>
    </row>
    <row r="38874">
      <c r="P38874" s="42"/>
      <c r="AB38874" s="38"/>
    </row>
    <row r="38875">
      <c r="P38875" s="42"/>
      <c r="AB38875" s="38"/>
    </row>
    <row r="38876">
      <c r="P38876" s="42"/>
      <c r="AB38876" s="38"/>
    </row>
    <row r="38877">
      <c r="P38877" s="42"/>
      <c r="AB38877" s="38"/>
    </row>
    <row r="38878">
      <c r="P38878" s="42"/>
      <c r="AB38878" s="38"/>
    </row>
    <row r="38879">
      <c r="P38879" s="42"/>
      <c r="AB38879" s="38"/>
    </row>
    <row r="38880">
      <c r="P38880" s="42"/>
      <c r="AB38880" s="38"/>
    </row>
    <row r="38881">
      <c r="P38881" s="42"/>
      <c r="AB38881" s="38"/>
    </row>
    <row r="38882">
      <c r="P38882" s="42"/>
      <c r="AB38882" s="38"/>
    </row>
    <row r="38883">
      <c r="P38883" s="42"/>
      <c r="AB38883" s="38"/>
    </row>
    <row r="38884">
      <c r="P38884" s="42"/>
      <c r="AB38884" s="38"/>
    </row>
    <row r="38885">
      <c r="P38885" s="42"/>
      <c r="AB38885" s="38"/>
    </row>
    <row r="38886">
      <c r="P38886" s="42"/>
      <c r="AB38886" s="38"/>
    </row>
    <row r="38887">
      <c r="P38887" s="42"/>
      <c r="AB38887" s="38"/>
    </row>
    <row r="38888">
      <c r="P38888" s="42"/>
      <c r="AB38888" s="38"/>
    </row>
    <row r="38889">
      <c r="P38889" s="42"/>
      <c r="AB38889" s="38"/>
    </row>
    <row r="38890">
      <c r="P38890" s="42"/>
      <c r="AB38890" s="38"/>
    </row>
    <row r="38891">
      <c r="P38891" s="42"/>
      <c r="AB38891" s="38"/>
    </row>
    <row r="38892">
      <c r="P38892" s="42"/>
      <c r="AB38892" s="38"/>
    </row>
    <row r="38893">
      <c r="P38893" s="42"/>
      <c r="AB38893" s="38"/>
    </row>
    <row r="38894">
      <c r="P38894" s="42"/>
      <c r="AB38894" s="38"/>
    </row>
    <row r="38895">
      <c r="P38895" s="42"/>
      <c r="AB38895" s="38"/>
    </row>
    <row r="38896">
      <c r="P38896" s="42"/>
      <c r="AB38896" s="38"/>
    </row>
    <row r="38897">
      <c r="P38897" s="42"/>
      <c r="AB38897" s="38"/>
    </row>
    <row r="38898">
      <c r="P38898" s="42"/>
      <c r="AB38898" s="38"/>
    </row>
    <row r="38899">
      <c r="P38899" s="42"/>
      <c r="AB38899" s="38"/>
    </row>
    <row r="38900">
      <c r="P38900" s="42"/>
      <c r="AB38900" s="38"/>
    </row>
    <row r="38901">
      <c r="P38901" s="42"/>
      <c r="AB38901" s="38"/>
    </row>
    <row r="38902">
      <c r="P38902" s="42"/>
      <c r="AB38902" s="38"/>
    </row>
    <row r="38903">
      <c r="P38903" s="42"/>
      <c r="AB38903" s="38"/>
    </row>
    <row r="38904">
      <c r="P38904" s="42"/>
      <c r="AB38904" s="38"/>
    </row>
    <row r="38905">
      <c r="P38905" s="42"/>
      <c r="AB38905" s="38"/>
    </row>
    <row r="38906">
      <c r="P38906" s="42"/>
      <c r="AB38906" s="38"/>
    </row>
    <row r="38907">
      <c r="P38907" s="42"/>
      <c r="AB38907" s="38"/>
    </row>
    <row r="38908">
      <c r="P38908" s="42"/>
      <c r="AB38908" s="38"/>
    </row>
    <row r="38909">
      <c r="P38909" s="42"/>
      <c r="AB38909" s="38"/>
    </row>
    <row r="38910">
      <c r="P38910" s="42"/>
      <c r="AB38910" s="38"/>
    </row>
    <row r="38911">
      <c r="P38911" s="42"/>
      <c r="AB38911" s="38"/>
    </row>
    <row r="38912">
      <c r="P38912" s="42"/>
      <c r="AB38912" s="38"/>
    </row>
    <row r="38913">
      <c r="P38913" s="42"/>
      <c r="AB38913" s="38"/>
    </row>
    <row r="38914">
      <c r="P38914" s="42"/>
      <c r="AB38914" s="38"/>
    </row>
    <row r="38915">
      <c r="P38915" s="42"/>
      <c r="AB38915" s="38"/>
    </row>
    <row r="38916">
      <c r="P38916" s="42"/>
      <c r="AB38916" s="38"/>
    </row>
    <row r="38917">
      <c r="P38917" s="42"/>
      <c r="AB38917" s="38"/>
    </row>
    <row r="38918">
      <c r="P38918" s="42"/>
      <c r="AB38918" s="38"/>
    </row>
    <row r="38919">
      <c r="P38919" s="42"/>
      <c r="AB38919" s="38"/>
    </row>
    <row r="38920">
      <c r="P38920" s="42"/>
      <c r="AB38920" s="38"/>
    </row>
    <row r="38921">
      <c r="P38921" s="42"/>
      <c r="AB38921" s="38"/>
    </row>
    <row r="38922">
      <c r="P38922" s="42"/>
      <c r="AB38922" s="38"/>
    </row>
    <row r="38923">
      <c r="P38923" s="42"/>
      <c r="AB38923" s="38"/>
    </row>
    <row r="38924">
      <c r="P38924" s="42"/>
      <c r="AB38924" s="38"/>
    </row>
    <row r="38925">
      <c r="P38925" s="42"/>
      <c r="AB38925" s="38"/>
    </row>
    <row r="38926">
      <c r="P38926" s="42"/>
      <c r="AB38926" s="38"/>
    </row>
    <row r="38927">
      <c r="P38927" s="42"/>
      <c r="AB38927" s="38"/>
    </row>
    <row r="38928">
      <c r="P38928" s="42"/>
      <c r="AB38928" s="38"/>
    </row>
    <row r="38929">
      <c r="P38929" s="42"/>
      <c r="AB38929" s="38"/>
    </row>
    <row r="38930">
      <c r="P38930" s="42"/>
      <c r="AB38930" s="38"/>
    </row>
    <row r="38931">
      <c r="P38931" s="42"/>
      <c r="AB38931" s="38"/>
    </row>
    <row r="38932">
      <c r="P38932" s="42"/>
      <c r="AB38932" s="38"/>
    </row>
    <row r="38933">
      <c r="P38933" s="42"/>
      <c r="AB38933" s="38"/>
    </row>
    <row r="38934">
      <c r="P38934" s="42"/>
      <c r="AB38934" s="38"/>
    </row>
    <row r="38935">
      <c r="P38935" s="42"/>
      <c r="AB38935" s="38"/>
    </row>
    <row r="38936">
      <c r="P38936" s="42"/>
      <c r="AB38936" s="38"/>
    </row>
    <row r="38937">
      <c r="P38937" s="42"/>
      <c r="AB38937" s="38"/>
    </row>
    <row r="38938">
      <c r="P38938" s="42"/>
      <c r="AB38938" s="38"/>
    </row>
    <row r="38939">
      <c r="P38939" s="42"/>
      <c r="AB38939" s="38"/>
    </row>
    <row r="38940">
      <c r="P38940" s="42"/>
      <c r="AB38940" s="38"/>
    </row>
    <row r="38941">
      <c r="P38941" s="42"/>
      <c r="AB38941" s="38"/>
    </row>
    <row r="38942">
      <c r="P38942" s="42"/>
      <c r="AB38942" s="38"/>
    </row>
    <row r="38943">
      <c r="P38943" s="42"/>
      <c r="AB38943" s="38"/>
    </row>
    <row r="38944">
      <c r="P38944" s="42"/>
      <c r="AB38944" s="38"/>
    </row>
    <row r="38945">
      <c r="P38945" s="42"/>
      <c r="AB38945" s="38"/>
    </row>
    <row r="38946">
      <c r="P38946" s="42"/>
      <c r="AB38946" s="38"/>
    </row>
    <row r="38947">
      <c r="P38947" s="42"/>
      <c r="AB38947" s="38"/>
    </row>
    <row r="38948">
      <c r="P38948" s="42"/>
      <c r="AB38948" s="38"/>
    </row>
    <row r="38949">
      <c r="P38949" s="42"/>
      <c r="AB38949" s="38"/>
    </row>
    <row r="38950">
      <c r="P38950" s="42"/>
      <c r="AB38950" s="38"/>
    </row>
    <row r="38951">
      <c r="P38951" s="42"/>
      <c r="AB38951" s="38"/>
    </row>
    <row r="38952">
      <c r="P38952" s="42"/>
      <c r="AB38952" s="38"/>
    </row>
    <row r="38953">
      <c r="P38953" s="42"/>
      <c r="AB38953" s="38"/>
    </row>
    <row r="38954">
      <c r="P38954" s="42"/>
      <c r="AB38954" s="38"/>
    </row>
    <row r="38955">
      <c r="P38955" s="42"/>
      <c r="AB38955" s="38"/>
    </row>
    <row r="38956">
      <c r="P38956" s="42"/>
      <c r="AB38956" s="38"/>
    </row>
    <row r="38957">
      <c r="P38957" s="42"/>
      <c r="AB38957" s="38"/>
    </row>
    <row r="38958">
      <c r="P38958" s="42"/>
      <c r="AB38958" s="38"/>
    </row>
    <row r="38959">
      <c r="P38959" s="42"/>
      <c r="AB38959" s="38"/>
    </row>
    <row r="38960">
      <c r="P38960" s="42"/>
      <c r="AB38960" s="38"/>
    </row>
    <row r="38961">
      <c r="P38961" s="42"/>
      <c r="AB38961" s="38"/>
    </row>
    <row r="38962">
      <c r="P38962" s="42"/>
      <c r="AB38962" s="38"/>
    </row>
    <row r="38963">
      <c r="P38963" s="42"/>
      <c r="AB38963" s="38"/>
    </row>
    <row r="38964">
      <c r="P38964" s="42"/>
      <c r="AB38964" s="38"/>
    </row>
    <row r="38965">
      <c r="P38965" s="42"/>
      <c r="AB38965" s="38"/>
    </row>
    <row r="38966">
      <c r="P38966" s="42"/>
      <c r="AB38966" s="38"/>
    </row>
    <row r="38967">
      <c r="P38967" s="42"/>
      <c r="AB38967" s="38"/>
    </row>
    <row r="38968">
      <c r="P38968" s="42"/>
      <c r="AB38968" s="38"/>
    </row>
    <row r="38969">
      <c r="P38969" s="42"/>
      <c r="AB38969" s="38"/>
    </row>
    <row r="38970">
      <c r="P38970" s="42"/>
      <c r="AB38970" s="38"/>
    </row>
    <row r="38971">
      <c r="P38971" s="42"/>
      <c r="AB38971" s="38"/>
    </row>
    <row r="38972">
      <c r="P38972" s="42"/>
      <c r="AB38972" s="38"/>
    </row>
    <row r="38973">
      <c r="P38973" s="42"/>
      <c r="AB38973" s="38"/>
    </row>
    <row r="38974">
      <c r="P38974" s="42"/>
      <c r="AB38974" s="38"/>
    </row>
    <row r="38975">
      <c r="P38975" s="42"/>
      <c r="AB38975" s="38"/>
    </row>
    <row r="38976">
      <c r="P38976" s="42"/>
      <c r="AB38976" s="38"/>
    </row>
    <row r="38977">
      <c r="P38977" s="42"/>
      <c r="AB38977" s="38"/>
    </row>
    <row r="38978">
      <c r="P38978" s="42"/>
      <c r="AB38978" s="38"/>
    </row>
    <row r="38979">
      <c r="P38979" s="42"/>
      <c r="AB38979" s="38"/>
    </row>
    <row r="38980">
      <c r="P38980" s="42"/>
      <c r="AB38980" s="38"/>
    </row>
    <row r="38981">
      <c r="P38981" s="42"/>
      <c r="AB38981" s="38"/>
    </row>
    <row r="38982">
      <c r="P38982" s="42"/>
      <c r="AB38982" s="38"/>
    </row>
    <row r="38983">
      <c r="P38983" s="42"/>
      <c r="AB38983" s="38"/>
    </row>
    <row r="38984">
      <c r="P38984" s="42"/>
      <c r="AB38984" s="38"/>
    </row>
    <row r="38985">
      <c r="P38985" s="42"/>
      <c r="AB38985" s="38"/>
    </row>
    <row r="38986">
      <c r="P38986" s="42"/>
      <c r="AB38986" s="38"/>
    </row>
    <row r="38987">
      <c r="P38987" s="42"/>
      <c r="AB38987" s="38"/>
    </row>
    <row r="38988">
      <c r="P38988" s="42"/>
      <c r="AB38988" s="38"/>
    </row>
    <row r="38989">
      <c r="P38989" s="42"/>
      <c r="AB38989" s="38"/>
    </row>
    <row r="38990">
      <c r="P38990" s="42"/>
      <c r="AB38990" s="38"/>
    </row>
    <row r="38991">
      <c r="P38991" s="42"/>
      <c r="AB38991" s="38"/>
    </row>
    <row r="38992">
      <c r="P38992" s="42"/>
      <c r="AB38992" s="38"/>
    </row>
    <row r="38993">
      <c r="P38993" s="42"/>
      <c r="AB38993" s="38"/>
    </row>
    <row r="38994">
      <c r="P38994" s="42"/>
      <c r="AB38994" s="38"/>
    </row>
    <row r="38995">
      <c r="P38995" s="42"/>
      <c r="AB38995" s="38"/>
    </row>
    <row r="38996">
      <c r="P38996" s="42"/>
      <c r="AB38996" s="38"/>
    </row>
    <row r="38997">
      <c r="P38997" s="42"/>
      <c r="AB38997" s="38"/>
    </row>
    <row r="38998">
      <c r="P38998" s="42"/>
      <c r="AB38998" s="38"/>
    </row>
    <row r="38999">
      <c r="P38999" s="42"/>
      <c r="AB38999" s="38"/>
    </row>
    <row r="39000">
      <c r="P39000" s="42"/>
      <c r="AB39000" s="38"/>
    </row>
    <row r="39001">
      <c r="P39001" s="42"/>
      <c r="AB39001" s="38"/>
    </row>
    <row r="39002">
      <c r="P39002" s="42"/>
      <c r="AB39002" s="38"/>
    </row>
    <row r="39003">
      <c r="P39003" s="42"/>
      <c r="AB39003" s="38"/>
    </row>
    <row r="39004">
      <c r="P39004" s="42"/>
      <c r="AB39004" s="38"/>
    </row>
    <row r="39005">
      <c r="P39005" s="42"/>
      <c r="AB39005" s="38"/>
    </row>
    <row r="39006">
      <c r="P39006" s="42"/>
      <c r="AB39006" s="38"/>
    </row>
    <row r="39007">
      <c r="P39007" s="42"/>
      <c r="AB39007" s="38"/>
    </row>
    <row r="39008">
      <c r="P39008" s="42"/>
      <c r="AB39008" s="38"/>
    </row>
    <row r="39009">
      <c r="P39009" s="42"/>
      <c r="AB39009" s="38"/>
    </row>
    <row r="39010">
      <c r="P39010" s="42"/>
      <c r="AB39010" s="38"/>
    </row>
    <row r="39011">
      <c r="P39011" s="42"/>
      <c r="AB39011" s="38"/>
    </row>
    <row r="39012">
      <c r="P39012" s="42"/>
      <c r="AB39012" s="38"/>
    </row>
    <row r="39013">
      <c r="P39013" s="42"/>
      <c r="AB39013" s="38"/>
    </row>
    <row r="39014">
      <c r="P39014" s="42"/>
      <c r="AB39014" s="38"/>
    </row>
    <row r="39015">
      <c r="P39015" s="42"/>
      <c r="AB39015" s="38"/>
    </row>
    <row r="39016">
      <c r="P39016" s="42"/>
      <c r="AB39016" s="38"/>
    </row>
    <row r="39017">
      <c r="P39017" s="42"/>
      <c r="AB39017" s="38"/>
    </row>
    <row r="39018">
      <c r="P39018" s="42"/>
      <c r="AB39018" s="38"/>
    </row>
    <row r="39019">
      <c r="P39019" s="42"/>
      <c r="AB39019" s="38"/>
    </row>
    <row r="39020">
      <c r="P39020" s="42"/>
      <c r="AB39020" s="38"/>
    </row>
    <row r="39021">
      <c r="P39021" s="42"/>
      <c r="AB39021" s="38"/>
    </row>
    <row r="39022">
      <c r="P39022" s="42"/>
      <c r="AB39022" s="38"/>
    </row>
    <row r="39023">
      <c r="P39023" s="42"/>
      <c r="AB39023" s="38"/>
    </row>
    <row r="39024">
      <c r="P39024" s="42"/>
      <c r="AB39024" s="38"/>
    </row>
    <row r="39025">
      <c r="P39025" s="42"/>
      <c r="AB39025" s="38"/>
    </row>
    <row r="39026">
      <c r="P39026" s="42"/>
      <c r="AB39026" s="38"/>
    </row>
    <row r="39027">
      <c r="P39027" s="42"/>
      <c r="AB39027" s="38"/>
    </row>
    <row r="39028">
      <c r="P39028" s="42"/>
      <c r="AB39028" s="38"/>
    </row>
    <row r="39029">
      <c r="P39029" s="42"/>
      <c r="AB39029" s="38"/>
    </row>
    <row r="39030">
      <c r="P39030" s="42"/>
      <c r="AB39030" s="38"/>
    </row>
    <row r="39031">
      <c r="P39031" s="42"/>
      <c r="AB39031" s="38"/>
    </row>
    <row r="39032">
      <c r="P39032" s="42"/>
      <c r="AB39032" s="38"/>
    </row>
    <row r="39033">
      <c r="P39033" s="42"/>
      <c r="AB39033" s="38"/>
    </row>
    <row r="39034">
      <c r="P39034" s="42"/>
      <c r="AB39034" s="38"/>
    </row>
    <row r="39035">
      <c r="P39035" s="42"/>
      <c r="AB39035" s="38"/>
    </row>
    <row r="39036">
      <c r="P39036" s="42"/>
      <c r="AB39036" s="38"/>
    </row>
    <row r="39037">
      <c r="P39037" s="42"/>
      <c r="AB39037" s="38"/>
    </row>
    <row r="39038">
      <c r="P39038" s="42"/>
      <c r="AB39038" s="38"/>
    </row>
    <row r="39039">
      <c r="P39039" s="42"/>
      <c r="AB39039" s="38"/>
    </row>
    <row r="39040">
      <c r="P39040" s="42"/>
      <c r="AB39040" s="38"/>
    </row>
    <row r="39041">
      <c r="P39041" s="42"/>
      <c r="AB39041" s="38"/>
    </row>
    <row r="39042">
      <c r="P39042" s="42"/>
      <c r="AB39042" s="38"/>
    </row>
    <row r="39043">
      <c r="P39043" s="42"/>
      <c r="AB39043" s="38"/>
    </row>
    <row r="39044">
      <c r="P39044" s="42"/>
      <c r="AB39044" s="38"/>
    </row>
    <row r="39045">
      <c r="P39045" s="42"/>
      <c r="AB39045" s="38"/>
    </row>
    <row r="39046">
      <c r="P39046" s="42"/>
      <c r="AB39046" s="38"/>
    </row>
    <row r="39047">
      <c r="P39047" s="42"/>
      <c r="AB39047" s="38"/>
    </row>
    <row r="39048">
      <c r="P39048" s="42"/>
      <c r="AB39048" s="38"/>
    </row>
    <row r="39049">
      <c r="P39049" s="42"/>
      <c r="AB39049" s="38"/>
    </row>
    <row r="39050">
      <c r="P39050" s="42"/>
      <c r="AB39050" s="38"/>
    </row>
    <row r="39051">
      <c r="P39051" s="42"/>
      <c r="AB39051" s="38"/>
    </row>
    <row r="39052">
      <c r="P39052" s="42"/>
      <c r="AB39052" s="38"/>
    </row>
    <row r="39053">
      <c r="P39053" s="42"/>
      <c r="AB39053" s="38"/>
    </row>
    <row r="39054">
      <c r="P39054" s="42"/>
      <c r="AB39054" s="38"/>
    </row>
    <row r="39055">
      <c r="P39055" s="42"/>
      <c r="AB39055" s="38"/>
    </row>
    <row r="39056">
      <c r="P39056" s="42"/>
      <c r="AB39056" s="38"/>
    </row>
    <row r="39057">
      <c r="P39057" s="42"/>
      <c r="AB39057" s="38"/>
    </row>
    <row r="39058">
      <c r="P39058" s="42"/>
      <c r="AB39058" s="38"/>
    </row>
    <row r="39059">
      <c r="P39059" s="42"/>
      <c r="AB39059" s="38"/>
    </row>
    <row r="39060">
      <c r="P39060" s="42"/>
      <c r="AB39060" s="38"/>
    </row>
    <row r="39061">
      <c r="P39061" s="42"/>
      <c r="AB39061" s="38"/>
    </row>
    <row r="39062">
      <c r="P39062" s="42"/>
      <c r="AB39062" s="38"/>
    </row>
    <row r="39063">
      <c r="P39063" s="42"/>
      <c r="AB39063" s="38"/>
    </row>
    <row r="39064">
      <c r="P39064" s="42"/>
      <c r="AB39064" s="38"/>
    </row>
    <row r="39065">
      <c r="P39065" s="42"/>
      <c r="AB39065" s="38"/>
    </row>
    <row r="39066">
      <c r="P39066" s="42"/>
      <c r="AB39066" s="38"/>
    </row>
    <row r="39067">
      <c r="P39067" s="42"/>
      <c r="AB39067" s="38"/>
    </row>
    <row r="39068">
      <c r="P39068" s="42"/>
      <c r="AB39068" s="38"/>
    </row>
    <row r="39069">
      <c r="P39069" s="42"/>
      <c r="AB39069" s="38"/>
    </row>
    <row r="39070">
      <c r="P39070" s="42"/>
      <c r="AB39070" s="38"/>
    </row>
    <row r="39071">
      <c r="P39071" s="42"/>
      <c r="AB39071" s="38"/>
    </row>
    <row r="39072">
      <c r="P39072" s="42"/>
      <c r="AB39072" s="38"/>
    </row>
    <row r="39073">
      <c r="P39073" s="42"/>
      <c r="AB39073" s="38"/>
    </row>
    <row r="39074">
      <c r="P39074" s="42"/>
      <c r="AB39074" s="38"/>
    </row>
    <row r="39075">
      <c r="P39075" s="42"/>
      <c r="AB39075" s="38"/>
    </row>
    <row r="39076">
      <c r="P39076" s="42"/>
      <c r="AB39076" s="38"/>
    </row>
    <row r="39077">
      <c r="P39077" s="42"/>
      <c r="AB39077" s="38"/>
    </row>
    <row r="39078">
      <c r="P39078" s="42"/>
      <c r="AB39078" s="38"/>
    </row>
    <row r="39079">
      <c r="P39079" s="42"/>
      <c r="AB39079" s="38"/>
    </row>
    <row r="39080">
      <c r="P39080" s="42"/>
      <c r="AB39080" s="38"/>
    </row>
    <row r="39081">
      <c r="P39081" s="42"/>
      <c r="AB39081" s="38"/>
    </row>
    <row r="39082">
      <c r="P39082" s="42"/>
      <c r="AB39082" s="38"/>
    </row>
    <row r="39083">
      <c r="P39083" s="42"/>
      <c r="AB39083" s="38"/>
    </row>
    <row r="39084">
      <c r="P39084" s="42"/>
      <c r="AB39084" s="38"/>
    </row>
    <row r="39085">
      <c r="P39085" s="42"/>
      <c r="AB39085" s="38"/>
    </row>
    <row r="39086">
      <c r="P39086" s="42"/>
      <c r="AB39086" s="38"/>
    </row>
    <row r="39087">
      <c r="P39087" s="42"/>
      <c r="AB39087" s="38"/>
    </row>
    <row r="39088">
      <c r="P39088" s="42"/>
      <c r="AB39088" s="38"/>
    </row>
    <row r="39089">
      <c r="P39089" s="42"/>
      <c r="AB39089" s="38"/>
    </row>
    <row r="39090">
      <c r="P39090" s="42"/>
      <c r="AB39090" s="38"/>
    </row>
    <row r="39091">
      <c r="P39091" s="42"/>
      <c r="AB39091" s="38"/>
    </row>
    <row r="39092">
      <c r="P39092" s="42"/>
      <c r="AB39092" s="38"/>
    </row>
    <row r="39093">
      <c r="P39093" s="42"/>
      <c r="AB39093" s="38"/>
    </row>
    <row r="39094">
      <c r="P39094" s="42"/>
      <c r="AB39094" s="38"/>
    </row>
    <row r="39095">
      <c r="P39095" s="42"/>
      <c r="AB39095" s="38"/>
    </row>
    <row r="39096">
      <c r="P39096" s="42"/>
      <c r="AB39096" s="38"/>
    </row>
    <row r="39097">
      <c r="P39097" s="42"/>
      <c r="AB39097" s="38"/>
    </row>
    <row r="39098">
      <c r="P39098" s="42"/>
      <c r="AB39098" s="38"/>
    </row>
    <row r="39099">
      <c r="P39099" s="42"/>
      <c r="AB39099" s="38"/>
    </row>
    <row r="39100">
      <c r="P39100" s="42"/>
      <c r="AB39100" s="38"/>
    </row>
    <row r="39101">
      <c r="P39101" s="42"/>
      <c r="AB39101" s="38"/>
    </row>
    <row r="39102">
      <c r="P39102" s="42"/>
      <c r="AB39102" s="38"/>
    </row>
    <row r="39103">
      <c r="P39103" s="42"/>
      <c r="AB39103" s="38"/>
    </row>
    <row r="39104">
      <c r="P39104" s="42"/>
      <c r="AB39104" s="38"/>
    </row>
    <row r="39105">
      <c r="P39105" s="42"/>
      <c r="AB39105" s="38"/>
    </row>
    <row r="39106">
      <c r="P39106" s="42"/>
      <c r="AB39106" s="38"/>
    </row>
    <row r="39107">
      <c r="P39107" s="42"/>
      <c r="AB39107" s="38"/>
    </row>
    <row r="39108">
      <c r="P39108" s="42"/>
      <c r="AB39108" s="38"/>
    </row>
    <row r="39109">
      <c r="P39109" s="42"/>
      <c r="AB39109" s="38"/>
    </row>
    <row r="39110">
      <c r="P39110" s="42"/>
      <c r="AB39110" s="38"/>
    </row>
    <row r="39111">
      <c r="P39111" s="42"/>
      <c r="AB39111" s="38"/>
    </row>
    <row r="39112">
      <c r="P39112" s="42"/>
      <c r="AB39112" s="38"/>
    </row>
    <row r="39113">
      <c r="P39113" s="42"/>
      <c r="AB39113" s="38"/>
    </row>
    <row r="39114">
      <c r="P39114" s="42"/>
      <c r="AB39114" s="38"/>
    </row>
    <row r="39115">
      <c r="P39115" s="42"/>
      <c r="AB39115" s="38"/>
    </row>
    <row r="39116">
      <c r="P39116" s="42"/>
      <c r="AB39116" s="38"/>
    </row>
    <row r="39117">
      <c r="P39117" s="42"/>
      <c r="AB39117" s="38"/>
    </row>
    <row r="39118">
      <c r="P39118" s="42"/>
      <c r="AB39118" s="38"/>
    </row>
    <row r="39119">
      <c r="P39119" s="42"/>
      <c r="AB39119" s="38"/>
    </row>
    <row r="39120">
      <c r="P39120" s="42"/>
      <c r="AB39120" s="38"/>
    </row>
    <row r="39121">
      <c r="P39121" s="42"/>
      <c r="AB39121" s="38"/>
    </row>
    <row r="39122">
      <c r="P39122" s="42"/>
      <c r="AB39122" s="38"/>
    </row>
    <row r="39123">
      <c r="P39123" s="42"/>
      <c r="AB39123" s="38"/>
    </row>
    <row r="39124">
      <c r="P39124" s="42"/>
      <c r="AB39124" s="38"/>
    </row>
    <row r="39125">
      <c r="P39125" s="42"/>
      <c r="AB39125" s="38"/>
    </row>
    <row r="39126">
      <c r="P39126" s="42"/>
      <c r="AB39126" s="38"/>
    </row>
    <row r="39127">
      <c r="P39127" s="42"/>
      <c r="AB39127" s="38"/>
    </row>
    <row r="39128">
      <c r="P39128" s="42"/>
      <c r="AB39128" s="38"/>
    </row>
    <row r="39129">
      <c r="P39129" s="42"/>
      <c r="AB39129" s="38"/>
    </row>
    <row r="39130">
      <c r="P39130" s="42"/>
      <c r="AB39130" s="38"/>
    </row>
    <row r="39131">
      <c r="P39131" s="42"/>
      <c r="AB39131" s="38"/>
    </row>
    <row r="39132">
      <c r="P39132" s="42"/>
      <c r="AB39132" s="38"/>
    </row>
    <row r="39133">
      <c r="P39133" s="42"/>
      <c r="AB39133" s="38"/>
    </row>
    <row r="39134">
      <c r="P39134" s="42"/>
      <c r="AB39134" s="38"/>
    </row>
    <row r="39135">
      <c r="P39135" s="42"/>
      <c r="AB39135" s="38"/>
    </row>
    <row r="39136">
      <c r="P39136" s="42"/>
      <c r="AB39136" s="38"/>
    </row>
    <row r="39137">
      <c r="P39137" s="42"/>
      <c r="AB39137" s="38"/>
    </row>
    <row r="39138">
      <c r="P39138" s="42"/>
      <c r="AB39138" s="38"/>
    </row>
    <row r="39139">
      <c r="P39139" s="42"/>
      <c r="AB39139" s="38"/>
    </row>
    <row r="39140">
      <c r="P39140" s="42"/>
      <c r="AB39140" s="38"/>
    </row>
    <row r="39141">
      <c r="P39141" s="42"/>
      <c r="AB39141" s="38"/>
    </row>
    <row r="39142">
      <c r="P39142" s="42"/>
      <c r="AB39142" s="38"/>
    </row>
    <row r="39143">
      <c r="P39143" s="42"/>
      <c r="AB39143" s="38"/>
    </row>
    <row r="39144">
      <c r="P39144" s="42"/>
      <c r="AB39144" s="38"/>
    </row>
    <row r="39145">
      <c r="P39145" s="42"/>
      <c r="AB39145" s="38"/>
    </row>
    <row r="39146">
      <c r="P39146" s="42"/>
      <c r="AB39146" s="38"/>
    </row>
    <row r="39147">
      <c r="P39147" s="42"/>
      <c r="AB39147" s="38"/>
    </row>
    <row r="39148">
      <c r="P39148" s="42"/>
      <c r="AB39148" s="38"/>
    </row>
    <row r="39149">
      <c r="P39149" s="42"/>
      <c r="AB39149" s="38"/>
    </row>
    <row r="39150">
      <c r="P39150" s="42"/>
      <c r="AB39150" s="38"/>
    </row>
    <row r="39151">
      <c r="P39151" s="42"/>
      <c r="AB39151" s="38"/>
    </row>
    <row r="39152">
      <c r="P39152" s="42"/>
      <c r="AB39152" s="38"/>
    </row>
    <row r="39153">
      <c r="P39153" s="42"/>
      <c r="AB39153" s="38"/>
    </row>
    <row r="39154">
      <c r="P39154" s="42"/>
      <c r="AB39154" s="38"/>
    </row>
    <row r="39155">
      <c r="P39155" s="42"/>
      <c r="AB39155" s="38"/>
    </row>
    <row r="39156">
      <c r="P39156" s="42"/>
      <c r="AB39156" s="38"/>
    </row>
    <row r="39157">
      <c r="P39157" s="42"/>
      <c r="AB39157" s="38"/>
    </row>
    <row r="39158">
      <c r="P39158" s="42"/>
      <c r="AB39158" s="38"/>
    </row>
    <row r="39159">
      <c r="P39159" s="42"/>
      <c r="AB39159" s="38"/>
    </row>
    <row r="39160">
      <c r="P39160" s="42"/>
      <c r="AB39160" s="38"/>
    </row>
    <row r="39161">
      <c r="P39161" s="42"/>
      <c r="AB39161" s="38"/>
    </row>
    <row r="39162">
      <c r="P39162" s="42"/>
      <c r="AB39162" s="38"/>
    </row>
    <row r="39163">
      <c r="P39163" s="42"/>
      <c r="AB39163" s="38"/>
    </row>
    <row r="39164">
      <c r="P39164" s="42"/>
      <c r="AB39164" s="38"/>
    </row>
    <row r="39165">
      <c r="P39165" s="42"/>
      <c r="AB39165" s="38"/>
    </row>
    <row r="39166">
      <c r="P39166" s="42"/>
      <c r="AB39166" s="38"/>
    </row>
    <row r="39167">
      <c r="P39167" s="42"/>
      <c r="AB39167" s="38"/>
    </row>
    <row r="39168">
      <c r="P39168" s="42"/>
      <c r="AB39168" s="38"/>
    </row>
    <row r="39169">
      <c r="P39169" s="42"/>
      <c r="AB39169" s="38"/>
    </row>
    <row r="39170">
      <c r="P39170" s="42"/>
      <c r="AB39170" s="38"/>
    </row>
    <row r="39171">
      <c r="P39171" s="42"/>
      <c r="AB39171" s="38"/>
    </row>
    <row r="39172">
      <c r="P39172" s="42"/>
      <c r="AB39172" s="38"/>
    </row>
    <row r="39173">
      <c r="P39173" s="42"/>
      <c r="AB39173" s="38"/>
    </row>
    <row r="39174">
      <c r="P39174" s="42"/>
      <c r="AB39174" s="38"/>
    </row>
    <row r="39175">
      <c r="P39175" s="42"/>
      <c r="AB39175" s="38"/>
    </row>
    <row r="39176">
      <c r="P39176" s="42"/>
      <c r="AB39176" s="38"/>
    </row>
    <row r="39177">
      <c r="P39177" s="42"/>
      <c r="AB39177" s="38"/>
    </row>
    <row r="39178">
      <c r="P39178" s="42"/>
      <c r="AB39178" s="38"/>
    </row>
    <row r="39179">
      <c r="P39179" s="42"/>
      <c r="AB39179" s="38"/>
    </row>
    <row r="39180">
      <c r="P39180" s="42"/>
      <c r="AB39180" s="38"/>
    </row>
    <row r="39181">
      <c r="P39181" s="42"/>
      <c r="AB39181" s="38"/>
    </row>
    <row r="39182">
      <c r="P39182" s="42"/>
      <c r="AB39182" s="38"/>
    </row>
    <row r="39183">
      <c r="P39183" s="42"/>
      <c r="AB39183" s="38"/>
    </row>
    <row r="39184">
      <c r="P39184" s="42"/>
      <c r="AB39184" s="38"/>
    </row>
    <row r="39185">
      <c r="P39185" s="42"/>
      <c r="AB39185" s="38"/>
    </row>
    <row r="39186">
      <c r="P39186" s="42"/>
      <c r="AB39186" s="38"/>
    </row>
    <row r="39187">
      <c r="P39187" s="42"/>
      <c r="AB39187" s="38"/>
    </row>
    <row r="39188">
      <c r="P39188" s="42"/>
      <c r="AB39188" s="38"/>
    </row>
    <row r="39189">
      <c r="P39189" s="42"/>
      <c r="AB39189" s="38"/>
    </row>
    <row r="39190">
      <c r="P39190" s="42"/>
      <c r="AB39190" s="38"/>
    </row>
    <row r="39191">
      <c r="P39191" s="42"/>
      <c r="AB39191" s="38"/>
    </row>
    <row r="39192">
      <c r="P39192" s="42"/>
      <c r="AB39192" s="38"/>
    </row>
    <row r="39193">
      <c r="P39193" s="42"/>
      <c r="AB39193" s="38"/>
    </row>
    <row r="39194">
      <c r="P39194" s="42"/>
      <c r="AB39194" s="38"/>
    </row>
    <row r="39195">
      <c r="P39195" s="42"/>
      <c r="AB39195" s="38"/>
    </row>
    <row r="39196">
      <c r="P39196" s="42"/>
      <c r="AB39196" s="38"/>
    </row>
    <row r="39197">
      <c r="P39197" s="42"/>
      <c r="AB39197" s="38"/>
    </row>
    <row r="39198">
      <c r="P39198" s="42"/>
      <c r="AB39198" s="38"/>
    </row>
    <row r="39199">
      <c r="P39199" s="42"/>
      <c r="AB39199" s="38"/>
    </row>
    <row r="39200">
      <c r="P39200" s="42"/>
      <c r="AB39200" s="38"/>
    </row>
    <row r="39201">
      <c r="P39201" s="42"/>
      <c r="AB39201" s="38"/>
    </row>
    <row r="39202">
      <c r="P39202" s="42"/>
      <c r="AB39202" s="38"/>
    </row>
    <row r="39203">
      <c r="P39203" s="42"/>
      <c r="AB39203" s="38"/>
    </row>
    <row r="39204">
      <c r="P39204" s="42"/>
      <c r="AB39204" s="38"/>
    </row>
    <row r="39205">
      <c r="P39205" s="42"/>
      <c r="AB39205" s="38"/>
    </row>
    <row r="39206">
      <c r="P39206" s="42"/>
      <c r="AB39206" s="38"/>
    </row>
    <row r="39207">
      <c r="P39207" s="42"/>
      <c r="AB39207" s="38"/>
    </row>
    <row r="39208">
      <c r="P39208" s="42"/>
      <c r="AB39208" s="38"/>
    </row>
    <row r="39209">
      <c r="P39209" s="42"/>
      <c r="AB39209" s="38"/>
    </row>
    <row r="39210">
      <c r="P39210" s="42"/>
      <c r="AB39210" s="38"/>
    </row>
    <row r="39211">
      <c r="P39211" s="42"/>
      <c r="AB39211" s="38"/>
    </row>
    <row r="39212">
      <c r="P39212" s="42"/>
      <c r="AB39212" s="38"/>
    </row>
    <row r="39213">
      <c r="P39213" s="42"/>
      <c r="AB39213" s="38"/>
    </row>
    <row r="39214">
      <c r="P39214" s="42"/>
      <c r="AB39214" s="38"/>
    </row>
    <row r="39215">
      <c r="P39215" s="42"/>
      <c r="AB39215" s="38"/>
    </row>
    <row r="39216">
      <c r="P39216" s="42"/>
      <c r="AB39216" s="38"/>
    </row>
    <row r="39217">
      <c r="P39217" s="42"/>
      <c r="AB39217" s="38"/>
    </row>
    <row r="39218">
      <c r="P39218" s="42"/>
      <c r="AB39218" s="38"/>
    </row>
    <row r="39219">
      <c r="P39219" s="42"/>
      <c r="AB39219" s="38"/>
    </row>
    <row r="39220">
      <c r="P39220" s="42"/>
      <c r="AB39220" s="38"/>
    </row>
    <row r="39221">
      <c r="P39221" s="42"/>
      <c r="AB39221" s="38"/>
    </row>
    <row r="39222">
      <c r="P39222" s="42"/>
      <c r="AB39222" s="38"/>
    </row>
    <row r="39223">
      <c r="P39223" s="42"/>
      <c r="AB39223" s="38"/>
    </row>
    <row r="39224">
      <c r="P39224" s="42"/>
      <c r="AB39224" s="38"/>
    </row>
    <row r="39225">
      <c r="P39225" s="42"/>
      <c r="AB39225" s="38"/>
    </row>
    <row r="39226">
      <c r="P39226" s="42"/>
      <c r="AB39226" s="38"/>
    </row>
    <row r="39227">
      <c r="P39227" s="42"/>
      <c r="AB39227" s="38"/>
    </row>
    <row r="39228">
      <c r="P39228" s="42"/>
      <c r="AB39228" s="38"/>
    </row>
    <row r="39229">
      <c r="P39229" s="42"/>
      <c r="AB39229" s="38"/>
    </row>
    <row r="39230">
      <c r="P39230" s="42"/>
      <c r="AB39230" s="38"/>
    </row>
    <row r="39231">
      <c r="P39231" s="42"/>
      <c r="AB39231" s="38"/>
    </row>
    <row r="39232">
      <c r="P39232" s="42"/>
      <c r="AB39232" s="38"/>
    </row>
    <row r="39233">
      <c r="P39233" s="42"/>
      <c r="AB39233" s="38"/>
    </row>
    <row r="39234">
      <c r="P39234" s="42"/>
      <c r="AB39234" s="38"/>
    </row>
    <row r="39235">
      <c r="P39235" s="42"/>
      <c r="AB39235" s="38"/>
    </row>
    <row r="39236">
      <c r="P39236" s="42"/>
      <c r="AB39236" s="38"/>
    </row>
    <row r="39237">
      <c r="P39237" s="42"/>
      <c r="AB39237" s="38"/>
    </row>
    <row r="39238">
      <c r="P39238" s="42"/>
      <c r="AB39238" s="38"/>
    </row>
    <row r="39239">
      <c r="P39239" s="42"/>
      <c r="AB39239" s="38"/>
    </row>
    <row r="39240">
      <c r="P39240" s="42"/>
      <c r="AB39240" s="38"/>
    </row>
    <row r="39241">
      <c r="P39241" s="42"/>
      <c r="AB39241" s="38"/>
    </row>
    <row r="39242">
      <c r="P39242" s="42"/>
      <c r="AB39242" s="38"/>
    </row>
    <row r="39243">
      <c r="P39243" s="42"/>
      <c r="AB39243" s="38"/>
    </row>
    <row r="39244">
      <c r="P39244" s="42"/>
      <c r="AB39244" s="38"/>
    </row>
    <row r="39245">
      <c r="P39245" s="42"/>
      <c r="AB39245" s="38"/>
    </row>
    <row r="39246">
      <c r="P39246" s="42"/>
      <c r="AB39246" s="38"/>
    </row>
    <row r="39247">
      <c r="P39247" s="42"/>
      <c r="AB39247" s="38"/>
    </row>
    <row r="39248">
      <c r="P39248" s="42"/>
      <c r="AB39248" s="38"/>
    </row>
    <row r="39249">
      <c r="P39249" s="42"/>
      <c r="AB39249" s="38"/>
    </row>
    <row r="39250">
      <c r="P39250" s="42"/>
      <c r="AB39250" s="38"/>
    </row>
    <row r="39251">
      <c r="P39251" s="42"/>
      <c r="AB39251" s="38"/>
    </row>
    <row r="39252">
      <c r="P39252" s="42"/>
      <c r="AB39252" s="38"/>
    </row>
    <row r="39253">
      <c r="P39253" s="42"/>
      <c r="AB39253" s="38"/>
    </row>
    <row r="39254">
      <c r="P39254" s="42"/>
      <c r="AB39254" s="38"/>
    </row>
    <row r="39255">
      <c r="P39255" s="42"/>
      <c r="AB39255" s="38"/>
    </row>
    <row r="39256">
      <c r="P39256" s="42"/>
      <c r="AB39256" s="38"/>
    </row>
    <row r="39257">
      <c r="P39257" s="42"/>
      <c r="AB39257" s="38"/>
    </row>
    <row r="39258">
      <c r="P39258" s="42"/>
      <c r="AB39258" s="38"/>
    </row>
    <row r="39259">
      <c r="P39259" s="42"/>
      <c r="AB39259" s="38"/>
    </row>
    <row r="39260">
      <c r="P39260" s="42"/>
      <c r="AB39260" s="38"/>
    </row>
    <row r="39261">
      <c r="P39261" s="42"/>
      <c r="AB39261" s="38"/>
    </row>
    <row r="39262">
      <c r="P39262" s="42"/>
      <c r="AB39262" s="38"/>
    </row>
    <row r="39263">
      <c r="P39263" s="42"/>
      <c r="AB39263" s="38"/>
    </row>
    <row r="39264">
      <c r="P39264" s="42"/>
      <c r="AB39264" s="38"/>
    </row>
    <row r="39265">
      <c r="P39265" s="42"/>
      <c r="AB39265" s="38"/>
    </row>
    <row r="39266">
      <c r="P39266" s="42"/>
      <c r="AB39266" s="38"/>
    </row>
    <row r="39267">
      <c r="P39267" s="42"/>
      <c r="AB39267" s="38"/>
    </row>
    <row r="39268">
      <c r="P39268" s="42"/>
      <c r="AB39268" s="38"/>
    </row>
    <row r="39269">
      <c r="P39269" s="42"/>
      <c r="AB39269" s="38"/>
    </row>
    <row r="39270">
      <c r="P39270" s="42"/>
      <c r="AB39270" s="38"/>
    </row>
    <row r="39271">
      <c r="P39271" s="42"/>
      <c r="AB39271" s="38"/>
    </row>
    <row r="39272">
      <c r="P39272" s="42"/>
      <c r="AB39272" s="38"/>
    </row>
    <row r="39273">
      <c r="P39273" s="42"/>
      <c r="AB39273" s="38"/>
    </row>
    <row r="39274">
      <c r="P39274" s="42"/>
      <c r="AB39274" s="38"/>
    </row>
    <row r="39275">
      <c r="P39275" s="42"/>
      <c r="AB39275" s="38"/>
    </row>
    <row r="39276">
      <c r="P39276" s="42"/>
      <c r="AB39276" s="38"/>
    </row>
    <row r="39277">
      <c r="P39277" s="42"/>
      <c r="AB39277" s="38"/>
    </row>
    <row r="39278">
      <c r="P39278" s="42"/>
      <c r="AB39278" s="38"/>
    </row>
    <row r="39279">
      <c r="P39279" s="42"/>
      <c r="AB39279" s="38"/>
    </row>
    <row r="39280">
      <c r="P39280" s="42"/>
      <c r="AB39280" s="38"/>
    </row>
    <row r="39281">
      <c r="P39281" s="42"/>
      <c r="AB39281" s="38"/>
    </row>
    <row r="39282">
      <c r="P39282" s="42"/>
      <c r="AB39282" s="38"/>
    </row>
    <row r="39283">
      <c r="P39283" s="42"/>
      <c r="AB39283" s="38"/>
    </row>
    <row r="39284">
      <c r="P39284" s="42"/>
      <c r="AB39284" s="38"/>
    </row>
    <row r="39285">
      <c r="P39285" s="42"/>
      <c r="AB39285" s="38"/>
    </row>
    <row r="39286">
      <c r="P39286" s="42"/>
      <c r="AB39286" s="38"/>
    </row>
    <row r="39287">
      <c r="P39287" s="42"/>
      <c r="AB39287" s="38"/>
    </row>
    <row r="39288">
      <c r="P39288" s="42"/>
      <c r="AB39288" s="38"/>
    </row>
    <row r="39289">
      <c r="P39289" s="42"/>
      <c r="AB39289" s="38"/>
    </row>
    <row r="39290">
      <c r="P39290" s="42"/>
      <c r="AB39290" s="38"/>
    </row>
    <row r="39291">
      <c r="P39291" s="42"/>
      <c r="AB39291" s="38"/>
    </row>
    <row r="39292">
      <c r="P39292" s="42"/>
      <c r="AB39292" s="38"/>
    </row>
    <row r="39293">
      <c r="P39293" s="42"/>
      <c r="AB39293" s="38"/>
    </row>
    <row r="39294">
      <c r="P39294" s="42"/>
      <c r="AB39294" s="38"/>
    </row>
    <row r="39295">
      <c r="P39295" s="42"/>
      <c r="AB39295" s="38"/>
    </row>
    <row r="39296">
      <c r="P39296" s="42"/>
      <c r="AB39296" s="38"/>
    </row>
    <row r="39297">
      <c r="P39297" s="42"/>
      <c r="AB39297" s="38"/>
    </row>
    <row r="39298">
      <c r="P39298" s="42"/>
      <c r="AB39298" s="38"/>
    </row>
    <row r="39299">
      <c r="P39299" s="42"/>
      <c r="AB39299" s="38"/>
    </row>
    <row r="39300">
      <c r="P39300" s="42"/>
      <c r="AB39300" s="38"/>
    </row>
    <row r="39301">
      <c r="P39301" s="42"/>
      <c r="AB39301" s="38"/>
    </row>
    <row r="39302">
      <c r="P39302" s="42"/>
      <c r="AB39302" s="38"/>
    </row>
    <row r="39303">
      <c r="P39303" s="42"/>
      <c r="AB39303" s="38"/>
    </row>
    <row r="39304">
      <c r="P39304" s="42"/>
      <c r="AB39304" s="38"/>
    </row>
    <row r="39305">
      <c r="P39305" s="42"/>
      <c r="AB39305" s="38"/>
    </row>
    <row r="39306">
      <c r="P39306" s="42"/>
      <c r="AB39306" s="38"/>
    </row>
    <row r="39307">
      <c r="P39307" s="42"/>
      <c r="AB39307" s="38"/>
    </row>
    <row r="39308">
      <c r="P39308" s="42"/>
      <c r="AB39308" s="38"/>
    </row>
    <row r="39309">
      <c r="P39309" s="42"/>
      <c r="AB39309" s="38"/>
    </row>
    <row r="39310">
      <c r="P39310" s="42"/>
      <c r="AB39310" s="38"/>
    </row>
    <row r="39311">
      <c r="P39311" s="42"/>
      <c r="AB39311" s="38"/>
    </row>
    <row r="39312">
      <c r="P39312" s="42"/>
      <c r="AB39312" s="38"/>
    </row>
    <row r="39313">
      <c r="P39313" s="42"/>
      <c r="AB39313" s="38"/>
    </row>
    <row r="39314">
      <c r="P39314" s="42"/>
      <c r="AB39314" s="38"/>
    </row>
    <row r="39315">
      <c r="P39315" s="42"/>
      <c r="AB39315" s="38"/>
    </row>
    <row r="39316">
      <c r="P39316" s="42"/>
      <c r="AB39316" s="38"/>
    </row>
    <row r="39317">
      <c r="P39317" s="42"/>
      <c r="AB39317" s="38"/>
    </row>
    <row r="39318">
      <c r="P39318" s="42"/>
      <c r="AB39318" s="38"/>
    </row>
    <row r="39319">
      <c r="P39319" s="42"/>
      <c r="AB39319" s="38"/>
    </row>
    <row r="39320">
      <c r="P39320" s="42"/>
      <c r="AB39320" s="38"/>
    </row>
    <row r="39321">
      <c r="P39321" s="42"/>
      <c r="AB39321" s="38"/>
    </row>
    <row r="39322">
      <c r="P39322" s="42"/>
      <c r="AB39322" s="38"/>
    </row>
    <row r="39323">
      <c r="P39323" s="42"/>
      <c r="AB39323" s="38"/>
    </row>
    <row r="39324">
      <c r="P39324" s="42"/>
      <c r="AB39324" s="38"/>
    </row>
    <row r="39325">
      <c r="P39325" s="42"/>
      <c r="AB39325" s="38"/>
    </row>
    <row r="39326">
      <c r="P39326" s="42"/>
      <c r="AB39326" s="38"/>
    </row>
    <row r="39327">
      <c r="P39327" s="42"/>
      <c r="AB39327" s="38"/>
    </row>
    <row r="39328">
      <c r="P39328" s="42"/>
      <c r="AB39328" s="38"/>
    </row>
    <row r="39329">
      <c r="P39329" s="42"/>
      <c r="AB39329" s="38"/>
    </row>
    <row r="39330">
      <c r="P39330" s="42"/>
      <c r="AB39330" s="38"/>
    </row>
    <row r="39331">
      <c r="P39331" s="42"/>
      <c r="AB39331" s="38"/>
    </row>
    <row r="39332">
      <c r="P39332" s="42"/>
      <c r="AB39332" s="38"/>
    </row>
    <row r="39333">
      <c r="P39333" s="42"/>
      <c r="AB39333" s="38"/>
    </row>
    <row r="39334">
      <c r="P39334" s="42"/>
      <c r="AB39334" s="38"/>
    </row>
    <row r="39335">
      <c r="P39335" s="42"/>
      <c r="AB39335" s="38"/>
    </row>
    <row r="39336">
      <c r="P39336" s="42"/>
      <c r="AB39336" s="38"/>
    </row>
    <row r="39337">
      <c r="P39337" s="42"/>
      <c r="AB39337" s="38"/>
    </row>
    <row r="39338">
      <c r="P39338" s="42"/>
      <c r="AB39338" s="38"/>
    </row>
    <row r="39339">
      <c r="P39339" s="42"/>
      <c r="AB39339" s="38"/>
    </row>
    <row r="39340">
      <c r="P39340" s="42"/>
      <c r="AB39340" s="38"/>
    </row>
    <row r="39341">
      <c r="P39341" s="42"/>
      <c r="AB39341" s="38"/>
    </row>
    <row r="39342">
      <c r="P39342" s="42"/>
      <c r="AB39342" s="38"/>
    </row>
    <row r="39343">
      <c r="P39343" s="42"/>
      <c r="AB39343" s="38"/>
    </row>
    <row r="39344">
      <c r="P39344" s="42"/>
      <c r="AB39344" s="38"/>
    </row>
    <row r="39345">
      <c r="P39345" s="42"/>
      <c r="AB39345" s="38"/>
    </row>
    <row r="39346">
      <c r="P39346" s="42"/>
      <c r="AB39346" s="38"/>
    </row>
    <row r="39347">
      <c r="P39347" s="42"/>
      <c r="AB39347" s="38"/>
    </row>
    <row r="39348">
      <c r="P39348" s="42"/>
      <c r="AB39348" s="38"/>
    </row>
    <row r="39349">
      <c r="P39349" s="42"/>
      <c r="AB39349" s="38"/>
    </row>
    <row r="39350">
      <c r="P39350" s="42"/>
      <c r="AB39350" s="38"/>
    </row>
    <row r="39351">
      <c r="P39351" s="42"/>
      <c r="AB39351" s="38"/>
    </row>
    <row r="39352">
      <c r="P39352" s="42"/>
      <c r="AB39352" s="38"/>
    </row>
    <row r="39353">
      <c r="P39353" s="42"/>
      <c r="AB39353" s="38"/>
    </row>
    <row r="39354">
      <c r="P39354" s="42"/>
      <c r="AB39354" s="38"/>
    </row>
    <row r="39355">
      <c r="P39355" s="42"/>
      <c r="AB39355" s="38"/>
    </row>
    <row r="39356">
      <c r="P39356" s="42"/>
      <c r="AB39356" s="38"/>
    </row>
    <row r="39357">
      <c r="P39357" s="42"/>
      <c r="AB39357" s="38"/>
    </row>
    <row r="39358">
      <c r="P39358" s="42"/>
      <c r="AB39358" s="38"/>
    </row>
    <row r="39359">
      <c r="P39359" s="42"/>
      <c r="AB39359" s="38"/>
    </row>
    <row r="39360">
      <c r="P39360" s="42"/>
      <c r="AB39360" s="38"/>
    </row>
    <row r="39361">
      <c r="P39361" s="42"/>
      <c r="AB39361" s="38"/>
    </row>
    <row r="39362">
      <c r="P39362" s="42"/>
      <c r="AB39362" s="38"/>
    </row>
    <row r="39363">
      <c r="P39363" s="42"/>
      <c r="AB39363" s="38"/>
    </row>
    <row r="39364">
      <c r="P39364" s="42"/>
      <c r="AB39364" s="38"/>
    </row>
    <row r="39365">
      <c r="P39365" s="42"/>
      <c r="AB39365" s="38"/>
    </row>
    <row r="39366">
      <c r="P39366" s="42"/>
      <c r="AB39366" s="38"/>
    </row>
    <row r="39367">
      <c r="P39367" s="42"/>
      <c r="AB39367" s="38"/>
    </row>
    <row r="39368">
      <c r="P39368" s="42"/>
      <c r="AB39368" s="38"/>
    </row>
    <row r="39369">
      <c r="P39369" s="42"/>
      <c r="AB39369" s="38"/>
    </row>
    <row r="39370">
      <c r="P39370" s="42"/>
      <c r="AB39370" s="38"/>
    </row>
    <row r="39371">
      <c r="P39371" s="42"/>
      <c r="AB39371" s="38"/>
    </row>
    <row r="39372">
      <c r="P39372" s="42"/>
      <c r="AB39372" s="38"/>
    </row>
    <row r="39373">
      <c r="P39373" s="42"/>
      <c r="AB39373" s="38"/>
    </row>
    <row r="39374">
      <c r="P39374" s="42"/>
      <c r="AB39374" s="38"/>
    </row>
    <row r="39375">
      <c r="P39375" s="42"/>
      <c r="AB39375" s="38"/>
    </row>
    <row r="39376">
      <c r="P39376" s="42"/>
      <c r="AB39376" s="38"/>
    </row>
    <row r="39377">
      <c r="P39377" s="42"/>
      <c r="AB39377" s="38"/>
    </row>
    <row r="39378">
      <c r="P39378" s="42"/>
      <c r="AB39378" s="38"/>
    </row>
    <row r="39379">
      <c r="P39379" s="42"/>
      <c r="AB39379" s="38"/>
    </row>
    <row r="39380">
      <c r="P39380" s="42"/>
      <c r="AB39380" s="38"/>
    </row>
    <row r="39381">
      <c r="P39381" s="42"/>
      <c r="AB39381" s="38"/>
    </row>
    <row r="39382">
      <c r="P39382" s="42"/>
      <c r="AB39382" s="38"/>
    </row>
    <row r="39383">
      <c r="P39383" s="42"/>
      <c r="AB39383" s="38"/>
    </row>
    <row r="39384">
      <c r="P39384" s="42"/>
      <c r="AB39384" s="38"/>
    </row>
    <row r="39385">
      <c r="P39385" s="42"/>
      <c r="AB39385" s="38"/>
    </row>
    <row r="39386">
      <c r="P39386" s="42"/>
      <c r="AB39386" s="38"/>
    </row>
    <row r="39387">
      <c r="P39387" s="42"/>
      <c r="AB39387" s="38"/>
    </row>
    <row r="39388">
      <c r="P39388" s="42"/>
      <c r="AB39388" s="38"/>
    </row>
    <row r="39389">
      <c r="P39389" s="42"/>
      <c r="AB39389" s="38"/>
    </row>
    <row r="39390">
      <c r="P39390" s="42"/>
      <c r="AB39390" s="38"/>
    </row>
    <row r="39391">
      <c r="P39391" s="42"/>
      <c r="AB39391" s="38"/>
    </row>
    <row r="39392">
      <c r="P39392" s="42"/>
      <c r="AB39392" s="38"/>
    </row>
    <row r="39393">
      <c r="P39393" s="42"/>
      <c r="AB39393" s="38"/>
    </row>
    <row r="39394">
      <c r="P39394" s="42"/>
      <c r="AB39394" s="38"/>
    </row>
    <row r="39395">
      <c r="P39395" s="42"/>
      <c r="AB39395" s="38"/>
    </row>
    <row r="39396">
      <c r="P39396" s="42"/>
      <c r="AB39396" s="38"/>
    </row>
    <row r="39397">
      <c r="P39397" s="42"/>
      <c r="AB39397" s="38"/>
    </row>
    <row r="39398">
      <c r="P39398" s="42"/>
      <c r="AB39398" s="38"/>
    </row>
    <row r="39399">
      <c r="P39399" s="42"/>
      <c r="AB39399" s="38"/>
    </row>
    <row r="39400">
      <c r="P39400" s="42"/>
      <c r="AB39400" s="38"/>
    </row>
    <row r="39401">
      <c r="P39401" s="42"/>
      <c r="AB39401" s="38"/>
    </row>
    <row r="39402">
      <c r="P39402" s="42"/>
      <c r="AB39402" s="38"/>
    </row>
    <row r="39403">
      <c r="P39403" s="42"/>
      <c r="AB39403" s="38"/>
    </row>
    <row r="39404">
      <c r="P39404" s="42"/>
      <c r="AB39404" s="38"/>
    </row>
    <row r="39405">
      <c r="P39405" s="42"/>
      <c r="AB39405" s="38"/>
    </row>
    <row r="39406">
      <c r="P39406" s="42"/>
      <c r="AB39406" s="38"/>
    </row>
    <row r="39407">
      <c r="P39407" s="42"/>
      <c r="AB39407" s="38"/>
    </row>
    <row r="39408">
      <c r="P39408" s="42"/>
      <c r="AB39408" s="38"/>
    </row>
    <row r="39409">
      <c r="P39409" s="42"/>
      <c r="AB39409" s="38"/>
    </row>
    <row r="39410">
      <c r="P39410" s="42"/>
      <c r="AB39410" s="38"/>
    </row>
    <row r="39411">
      <c r="P39411" s="42"/>
      <c r="AB39411" s="38"/>
    </row>
    <row r="39412">
      <c r="P39412" s="42"/>
      <c r="AB39412" s="38"/>
    </row>
    <row r="39413">
      <c r="P39413" s="42"/>
      <c r="AB39413" s="38"/>
    </row>
    <row r="39414">
      <c r="P39414" s="42"/>
      <c r="AB39414" s="38"/>
    </row>
    <row r="39415">
      <c r="P39415" s="42"/>
      <c r="AB39415" s="38"/>
    </row>
    <row r="39416">
      <c r="P39416" s="42"/>
      <c r="AB39416" s="38"/>
    </row>
    <row r="39417">
      <c r="P39417" s="42"/>
      <c r="AB39417" s="38"/>
    </row>
    <row r="39418">
      <c r="P39418" s="42"/>
      <c r="AB39418" s="38"/>
    </row>
    <row r="39419">
      <c r="P39419" s="42"/>
      <c r="AB39419" s="38"/>
    </row>
    <row r="39420">
      <c r="P39420" s="42"/>
      <c r="AB39420" s="38"/>
    </row>
    <row r="39421">
      <c r="P39421" s="42"/>
      <c r="AB39421" s="38"/>
    </row>
    <row r="39422">
      <c r="P39422" s="42"/>
      <c r="AB39422" s="38"/>
    </row>
    <row r="39423">
      <c r="P39423" s="42"/>
      <c r="AB39423" s="38"/>
    </row>
    <row r="39424">
      <c r="P39424" s="42"/>
      <c r="AB39424" s="38"/>
    </row>
    <row r="39425">
      <c r="P39425" s="42"/>
      <c r="AB39425" s="38"/>
    </row>
    <row r="39426">
      <c r="P39426" s="42"/>
      <c r="AB39426" s="38"/>
    </row>
    <row r="39427">
      <c r="P39427" s="42"/>
      <c r="AB39427" s="38"/>
    </row>
    <row r="39428">
      <c r="P39428" s="42"/>
      <c r="AB39428" s="38"/>
    </row>
    <row r="39429">
      <c r="P39429" s="42"/>
      <c r="AB39429" s="38"/>
    </row>
    <row r="39430">
      <c r="P39430" s="42"/>
      <c r="AB39430" s="38"/>
    </row>
    <row r="39431">
      <c r="P39431" s="42"/>
      <c r="AB39431" s="38"/>
    </row>
    <row r="39432">
      <c r="P39432" s="42"/>
      <c r="AB39432" s="38"/>
    </row>
    <row r="39433">
      <c r="P39433" s="42"/>
      <c r="AB39433" s="38"/>
    </row>
    <row r="39434">
      <c r="P39434" s="42"/>
      <c r="AB39434" s="38"/>
    </row>
    <row r="39435">
      <c r="P39435" s="42"/>
      <c r="AB39435" s="38"/>
    </row>
    <row r="39436">
      <c r="P39436" s="42"/>
      <c r="AB39436" s="38"/>
    </row>
    <row r="39437">
      <c r="P39437" s="42"/>
      <c r="AB39437" s="38"/>
    </row>
    <row r="39438">
      <c r="P39438" s="42"/>
      <c r="AB39438" s="38"/>
    </row>
    <row r="39439">
      <c r="P39439" s="42"/>
      <c r="AB39439" s="38"/>
    </row>
    <row r="39440">
      <c r="P39440" s="42"/>
      <c r="AB39440" s="38"/>
    </row>
    <row r="39441">
      <c r="P39441" s="42"/>
      <c r="AB39441" s="38"/>
    </row>
    <row r="39442">
      <c r="P39442" s="42"/>
      <c r="AB39442" s="38"/>
    </row>
    <row r="39443">
      <c r="P39443" s="42"/>
      <c r="AB39443" s="38"/>
    </row>
    <row r="39444">
      <c r="P39444" s="42"/>
      <c r="AB39444" s="38"/>
    </row>
    <row r="39445">
      <c r="P39445" s="42"/>
      <c r="AB39445" s="38"/>
    </row>
    <row r="39446">
      <c r="P39446" s="42"/>
      <c r="AB39446" s="38"/>
    </row>
    <row r="39447">
      <c r="P39447" s="42"/>
      <c r="AB39447" s="38"/>
    </row>
    <row r="39448">
      <c r="P39448" s="42"/>
      <c r="AB39448" s="38"/>
    </row>
    <row r="39449">
      <c r="P39449" s="42"/>
      <c r="AB39449" s="38"/>
    </row>
    <row r="39450">
      <c r="P39450" s="42"/>
      <c r="AB39450" s="38"/>
    </row>
    <row r="39451">
      <c r="P39451" s="42"/>
      <c r="AB39451" s="38"/>
    </row>
    <row r="39452">
      <c r="P39452" s="42"/>
      <c r="AB39452" s="38"/>
    </row>
    <row r="39453">
      <c r="P39453" s="42"/>
      <c r="AB39453" s="38"/>
    </row>
    <row r="39454">
      <c r="P39454" s="42"/>
      <c r="AB39454" s="38"/>
    </row>
    <row r="39455">
      <c r="P39455" s="42"/>
      <c r="AB39455" s="38"/>
    </row>
    <row r="39456">
      <c r="P39456" s="42"/>
      <c r="AB39456" s="38"/>
    </row>
    <row r="39457">
      <c r="P39457" s="42"/>
      <c r="AB39457" s="38"/>
    </row>
    <row r="39458">
      <c r="P39458" s="42"/>
      <c r="AB39458" s="38"/>
    </row>
    <row r="39459">
      <c r="P39459" s="42"/>
      <c r="AB39459" s="38"/>
    </row>
    <row r="39460">
      <c r="P39460" s="42"/>
      <c r="AB39460" s="38"/>
    </row>
    <row r="39461">
      <c r="P39461" s="42"/>
      <c r="AB39461" s="38"/>
    </row>
    <row r="39462">
      <c r="P39462" s="42"/>
      <c r="AB39462" s="38"/>
    </row>
    <row r="39463">
      <c r="P39463" s="42"/>
      <c r="AB39463" s="38"/>
    </row>
    <row r="39464">
      <c r="P39464" s="42"/>
      <c r="AB39464" s="38"/>
    </row>
    <row r="39465">
      <c r="P39465" s="42"/>
      <c r="AB39465" s="38"/>
    </row>
    <row r="39466">
      <c r="P39466" s="42"/>
      <c r="AB39466" s="38"/>
    </row>
    <row r="39467">
      <c r="P39467" s="42"/>
      <c r="AB39467" s="38"/>
    </row>
    <row r="39468">
      <c r="P39468" s="42"/>
      <c r="AB39468" s="38"/>
    </row>
    <row r="39469">
      <c r="P39469" s="42"/>
      <c r="AB39469" s="38"/>
    </row>
    <row r="39470">
      <c r="P39470" s="42"/>
      <c r="AB39470" s="38"/>
    </row>
    <row r="39471">
      <c r="P39471" s="42"/>
      <c r="AB39471" s="38"/>
    </row>
    <row r="39472">
      <c r="P39472" s="42"/>
      <c r="AB39472" s="38"/>
    </row>
    <row r="39473">
      <c r="P39473" s="42"/>
      <c r="AB39473" s="38"/>
    </row>
    <row r="39474">
      <c r="P39474" s="42"/>
      <c r="AB39474" s="38"/>
    </row>
    <row r="39475">
      <c r="P39475" s="42"/>
      <c r="AB39475" s="38"/>
    </row>
    <row r="39476">
      <c r="P39476" s="42"/>
      <c r="AB39476" s="38"/>
    </row>
    <row r="39477">
      <c r="P39477" s="42"/>
      <c r="AB39477" s="38"/>
    </row>
    <row r="39478">
      <c r="P39478" s="42"/>
      <c r="AB39478" s="38"/>
    </row>
    <row r="39479">
      <c r="P39479" s="42"/>
      <c r="AB39479" s="38"/>
    </row>
    <row r="39480">
      <c r="P39480" s="42"/>
      <c r="AB39480" s="38"/>
    </row>
    <row r="39481">
      <c r="P39481" s="42"/>
      <c r="AB39481" s="38"/>
    </row>
    <row r="39482">
      <c r="P39482" s="42"/>
      <c r="AB39482" s="38"/>
    </row>
    <row r="39483">
      <c r="P39483" s="42"/>
      <c r="AB39483" s="38"/>
    </row>
    <row r="39484">
      <c r="P39484" s="42"/>
      <c r="AB39484" s="38"/>
    </row>
    <row r="39485">
      <c r="P39485" s="42"/>
      <c r="AB39485" s="38"/>
    </row>
    <row r="39486">
      <c r="P39486" s="42"/>
      <c r="AB39486" s="38"/>
    </row>
    <row r="39487">
      <c r="P39487" s="42"/>
      <c r="AB39487" s="38"/>
    </row>
    <row r="39488">
      <c r="P39488" s="42"/>
      <c r="AB39488" s="38"/>
    </row>
    <row r="39489">
      <c r="P39489" s="42"/>
      <c r="AB39489" s="38"/>
    </row>
    <row r="39490">
      <c r="P39490" s="42"/>
      <c r="AB39490" s="38"/>
    </row>
    <row r="39491">
      <c r="P39491" s="42"/>
      <c r="AB39491" s="38"/>
    </row>
    <row r="39492">
      <c r="P39492" s="42"/>
      <c r="AB39492" s="38"/>
    </row>
    <row r="39493">
      <c r="P39493" s="42"/>
      <c r="AB39493" s="38"/>
    </row>
    <row r="39494">
      <c r="P39494" s="42"/>
      <c r="AB39494" s="38"/>
    </row>
    <row r="39495">
      <c r="P39495" s="42"/>
      <c r="AB39495" s="38"/>
    </row>
    <row r="39496">
      <c r="P39496" s="42"/>
      <c r="AB39496" s="38"/>
    </row>
    <row r="39497">
      <c r="P39497" s="42"/>
      <c r="AB39497" s="38"/>
    </row>
    <row r="39498">
      <c r="P39498" s="42"/>
      <c r="AB39498" s="38"/>
    </row>
    <row r="39499">
      <c r="P39499" s="42"/>
      <c r="AB39499" s="38"/>
    </row>
    <row r="39500">
      <c r="P39500" s="42"/>
      <c r="AB39500" s="38"/>
    </row>
    <row r="39501">
      <c r="P39501" s="42"/>
      <c r="AB39501" s="38"/>
    </row>
    <row r="39502">
      <c r="P39502" s="42"/>
      <c r="AB39502" s="38"/>
    </row>
    <row r="39503">
      <c r="P39503" s="42"/>
      <c r="AB39503" s="38"/>
    </row>
    <row r="39504">
      <c r="P39504" s="42"/>
      <c r="AB39504" s="38"/>
    </row>
    <row r="39505">
      <c r="P39505" s="42"/>
      <c r="AB39505" s="38"/>
    </row>
    <row r="39506">
      <c r="P39506" s="42"/>
      <c r="AB39506" s="38"/>
    </row>
    <row r="39507">
      <c r="P39507" s="42"/>
      <c r="AB39507" s="38"/>
    </row>
    <row r="39508">
      <c r="P39508" s="42"/>
      <c r="AB39508" s="38"/>
    </row>
    <row r="39509">
      <c r="P39509" s="42"/>
      <c r="AB39509" s="38"/>
    </row>
    <row r="39510">
      <c r="P39510" s="42"/>
      <c r="AB39510" s="38"/>
    </row>
    <row r="39511">
      <c r="P39511" s="42"/>
      <c r="AB39511" s="38"/>
    </row>
    <row r="39512">
      <c r="P39512" s="42"/>
      <c r="AB39512" s="38"/>
    </row>
    <row r="39513">
      <c r="P39513" s="42"/>
      <c r="AB39513" s="38"/>
    </row>
    <row r="39514">
      <c r="P39514" s="42"/>
      <c r="AB39514" s="38"/>
    </row>
    <row r="39515">
      <c r="P39515" s="42"/>
      <c r="AB39515" s="38"/>
    </row>
    <row r="39516">
      <c r="P39516" s="42"/>
      <c r="AB39516" s="38"/>
    </row>
    <row r="39517">
      <c r="P39517" s="42"/>
      <c r="AB39517" s="38"/>
    </row>
    <row r="39518">
      <c r="P39518" s="42"/>
      <c r="AB39518" s="38"/>
    </row>
    <row r="39519">
      <c r="P39519" s="42"/>
      <c r="AB39519" s="38"/>
    </row>
    <row r="39520">
      <c r="P39520" s="42"/>
      <c r="AB39520" s="38"/>
    </row>
    <row r="39521">
      <c r="P39521" s="42"/>
      <c r="AB39521" s="38"/>
    </row>
    <row r="39522">
      <c r="P39522" s="42"/>
      <c r="AB39522" s="38"/>
    </row>
    <row r="39523">
      <c r="P39523" s="42"/>
      <c r="AB39523" s="38"/>
    </row>
    <row r="39524">
      <c r="P39524" s="42"/>
      <c r="AB39524" s="38"/>
    </row>
    <row r="39525">
      <c r="P39525" s="42"/>
      <c r="AB39525" s="38"/>
    </row>
    <row r="39526">
      <c r="P39526" s="42"/>
      <c r="AB39526" s="38"/>
    </row>
    <row r="39527">
      <c r="P39527" s="42"/>
      <c r="AB39527" s="38"/>
    </row>
    <row r="39528">
      <c r="P39528" s="42"/>
      <c r="AB39528" s="38"/>
    </row>
    <row r="39529">
      <c r="P39529" s="42"/>
      <c r="AB39529" s="38"/>
    </row>
    <row r="39530">
      <c r="P39530" s="42"/>
      <c r="AB39530" s="38"/>
    </row>
    <row r="39531">
      <c r="P39531" s="42"/>
      <c r="AB39531" s="38"/>
    </row>
    <row r="39532">
      <c r="P39532" s="42"/>
      <c r="AB39532" s="38"/>
    </row>
    <row r="39533">
      <c r="P39533" s="42"/>
      <c r="AB39533" s="38"/>
    </row>
    <row r="39534">
      <c r="P39534" s="42"/>
      <c r="AB39534" s="38"/>
    </row>
    <row r="39535">
      <c r="P39535" s="42"/>
      <c r="AB39535" s="38"/>
    </row>
    <row r="39536">
      <c r="P39536" s="42"/>
      <c r="AB39536" s="38"/>
    </row>
    <row r="39537">
      <c r="P39537" s="42"/>
      <c r="AB39537" s="38"/>
    </row>
    <row r="39538">
      <c r="P39538" s="42"/>
      <c r="AB39538" s="38"/>
    </row>
    <row r="39539">
      <c r="P39539" s="42"/>
      <c r="AB39539" s="38"/>
    </row>
    <row r="39540">
      <c r="P39540" s="42"/>
      <c r="AB39540" s="38"/>
    </row>
    <row r="39541">
      <c r="P39541" s="42"/>
      <c r="AB39541" s="38"/>
    </row>
    <row r="39542">
      <c r="P39542" s="42"/>
      <c r="AB39542" s="38"/>
    </row>
    <row r="39543">
      <c r="P39543" s="42"/>
      <c r="AB39543" s="38"/>
    </row>
    <row r="39544">
      <c r="P39544" s="42"/>
      <c r="AB39544" s="38"/>
    </row>
    <row r="39545">
      <c r="P39545" s="42"/>
      <c r="AB39545" s="38"/>
    </row>
    <row r="39546">
      <c r="P39546" s="42"/>
      <c r="AB39546" s="38"/>
    </row>
    <row r="39547">
      <c r="P39547" s="42"/>
      <c r="AB39547" s="38"/>
    </row>
    <row r="39548">
      <c r="P39548" s="42"/>
      <c r="AB39548" s="38"/>
    </row>
    <row r="39549">
      <c r="P39549" s="42"/>
      <c r="AB39549" s="38"/>
    </row>
    <row r="39550">
      <c r="P39550" s="42"/>
      <c r="AB39550" s="38"/>
    </row>
    <row r="39551">
      <c r="P39551" s="42"/>
      <c r="AB39551" s="38"/>
    </row>
    <row r="39552">
      <c r="P39552" s="42"/>
      <c r="AB39552" s="38"/>
    </row>
    <row r="39553">
      <c r="P39553" s="42"/>
      <c r="AB39553" s="38"/>
    </row>
    <row r="39554">
      <c r="P39554" s="42"/>
      <c r="AB39554" s="38"/>
    </row>
    <row r="39555">
      <c r="P39555" s="42"/>
      <c r="AB39555" s="38"/>
    </row>
    <row r="39556">
      <c r="P39556" s="42"/>
      <c r="AB39556" s="38"/>
    </row>
    <row r="39557">
      <c r="P39557" s="42"/>
      <c r="AB39557" s="38"/>
    </row>
    <row r="39558">
      <c r="P39558" s="42"/>
      <c r="AB39558" s="38"/>
    </row>
    <row r="39559">
      <c r="P39559" s="42"/>
      <c r="AB39559" s="38"/>
    </row>
    <row r="39560">
      <c r="P39560" s="42"/>
      <c r="AB39560" s="38"/>
    </row>
    <row r="39561">
      <c r="P39561" s="42"/>
      <c r="AB39561" s="38"/>
    </row>
    <row r="39562">
      <c r="P39562" s="42"/>
      <c r="AB39562" s="38"/>
    </row>
    <row r="39563">
      <c r="P39563" s="42"/>
      <c r="AB39563" s="38"/>
    </row>
    <row r="39564">
      <c r="P39564" s="42"/>
      <c r="AB39564" s="38"/>
    </row>
    <row r="39565">
      <c r="P39565" s="42"/>
      <c r="AB39565" s="38"/>
    </row>
    <row r="39566">
      <c r="P39566" s="42"/>
      <c r="AB39566" s="38"/>
    </row>
    <row r="39567">
      <c r="P39567" s="42"/>
      <c r="AB39567" s="38"/>
    </row>
    <row r="39568">
      <c r="P39568" s="42"/>
      <c r="AB39568" s="38"/>
    </row>
    <row r="39569">
      <c r="P39569" s="42"/>
      <c r="AB39569" s="38"/>
    </row>
    <row r="39570">
      <c r="P39570" s="42"/>
      <c r="AB39570" s="38"/>
    </row>
    <row r="39571">
      <c r="P39571" s="42"/>
      <c r="AB39571" s="38"/>
    </row>
    <row r="39572">
      <c r="P39572" s="42"/>
      <c r="AB39572" s="38"/>
    </row>
    <row r="39573">
      <c r="P39573" s="42"/>
      <c r="AB39573" s="38"/>
    </row>
    <row r="39574">
      <c r="P39574" s="42"/>
      <c r="AB39574" s="38"/>
    </row>
    <row r="39575">
      <c r="P39575" s="42"/>
      <c r="AB39575" s="38"/>
    </row>
    <row r="39576">
      <c r="P39576" s="42"/>
      <c r="AB39576" s="38"/>
    </row>
    <row r="39577">
      <c r="P39577" s="42"/>
      <c r="AB39577" s="38"/>
    </row>
    <row r="39578">
      <c r="P39578" s="42"/>
      <c r="AB39578" s="38"/>
    </row>
    <row r="39579">
      <c r="P39579" s="42"/>
      <c r="AB39579" s="38"/>
    </row>
    <row r="39580">
      <c r="P39580" s="42"/>
      <c r="AB39580" s="38"/>
    </row>
    <row r="39581">
      <c r="P39581" s="42"/>
      <c r="AB39581" s="38"/>
    </row>
    <row r="39582">
      <c r="P39582" s="42"/>
      <c r="AB39582" s="38"/>
    </row>
    <row r="39583">
      <c r="P39583" s="42"/>
      <c r="AB39583" s="38"/>
    </row>
    <row r="39584">
      <c r="P39584" s="42"/>
      <c r="AB39584" s="38"/>
    </row>
    <row r="39585">
      <c r="P39585" s="42"/>
      <c r="AB39585" s="38"/>
    </row>
    <row r="39586">
      <c r="P39586" s="42"/>
      <c r="AB39586" s="38"/>
    </row>
    <row r="39587">
      <c r="P39587" s="42"/>
      <c r="AB39587" s="38"/>
    </row>
    <row r="39588">
      <c r="P39588" s="42"/>
      <c r="AB39588" s="38"/>
    </row>
    <row r="39589">
      <c r="P39589" s="42"/>
      <c r="AB39589" s="38"/>
    </row>
    <row r="39590">
      <c r="P39590" s="42"/>
      <c r="AB39590" s="38"/>
    </row>
    <row r="39591">
      <c r="P39591" s="42"/>
      <c r="AB39591" s="38"/>
    </row>
    <row r="39592">
      <c r="P39592" s="42"/>
      <c r="AB39592" s="38"/>
    </row>
    <row r="39593">
      <c r="P39593" s="42"/>
      <c r="AB39593" s="38"/>
    </row>
    <row r="39594">
      <c r="P39594" s="42"/>
      <c r="AB39594" s="38"/>
    </row>
    <row r="39595">
      <c r="P39595" s="42"/>
      <c r="AB39595" s="38"/>
    </row>
    <row r="39596">
      <c r="P39596" s="42"/>
      <c r="AB39596" s="38"/>
    </row>
    <row r="39597">
      <c r="P39597" s="42"/>
      <c r="AB39597" s="38"/>
    </row>
    <row r="39598">
      <c r="P39598" s="42"/>
      <c r="AB39598" s="38"/>
    </row>
    <row r="39599">
      <c r="P39599" s="42"/>
      <c r="AB39599" s="38"/>
    </row>
    <row r="39600">
      <c r="P39600" s="42"/>
      <c r="AB39600" s="38"/>
    </row>
    <row r="39601">
      <c r="P39601" s="42"/>
      <c r="AB39601" s="38"/>
    </row>
    <row r="39602">
      <c r="P39602" s="42"/>
      <c r="AB39602" s="38"/>
    </row>
    <row r="39603">
      <c r="P39603" s="42"/>
      <c r="AB39603" s="38"/>
    </row>
    <row r="39604">
      <c r="P39604" s="42"/>
      <c r="AB39604" s="38"/>
    </row>
    <row r="39605">
      <c r="P39605" s="42"/>
      <c r="AB39605" s="38"/>
    </row>
    <row r="39606">
      <c r="P39606" s="42"/>
      <c r="AB39606" s="38"/>
    </row>
    <row r="39607">
      <c r="P39607" s="42"/>
      <c r="AB39607" s="38"/>
    </row>
    <row r="39608">
      <c r="P39608" s="42"/>
      <c r="AB39608" s="38"/>
    </row>
    <row r="39609">
      <c r="P39609" s="42"/>
      <c r="AB39609" s="38"/>
    </row>
    <row r="39610">
      <c r="P39610" s="42"/>
      <c r="AB39610" s="38"/>
    </row>
    <row r="39611">
      <c r="P39611" s="42"/>
      <c r="AB39611" s="38"/>
    </row>
    <row r="39612">
      <c r="P39612" s="42"/>
      <c r="AB39612" s="38"/>
    </row>
    <row r="39613">
      <c r="P39613" s="42"/>
      <c r="AB39613" s="38"/>
    </row>
    <row r="39614">
      <c r="P39614" s="42"/>
      <c r="AB39614" s="38"/>
    </row>
    <row r="39615">
      <c r="P39615" s="42"/>
      <c r="AB39615" s="38"/>
    </row>
    <row r="39616">
      <c r="P39616" s="42"/>
      <c r="AB39616" s="38"/>
    </row>
    <row r="39617">
      <c r="P39617" s="42"/>
      <c r="AB39617" s="38"/>
    </row>
    <row r="39618">
      <c r="P39618" s="42"/>
      <c r="AB39618" s="38"/>
    </row>
    <row r="39619">
      <c r="P39619" s="42"/>
      <c r="AB39619" s="38"/>
    </row>
    <row r="39620">
      <c r="P39620" s="42"/>
      <c r="AB39620" s="38"/>
    </row>
    <row r="39621">
      <c r="P39621" s="42"/>
      <c r="AB39621" s="38"/>
    </row>
    <row r="39622">
      <c r="P39622" s="42"/>
      <c r="AB39622" s="38"/>
    </row>
    <row r="39623">
      <c r="P39623" s="42"/>
      <c r="AB39623" s="38"/>
    </row>
    <row r="39624">
      <c r="P39624" s="42"/>
      <c r="AB39624" s="38"/>
    </row>
    <row r="39625">
      <c r="P39625" s="42"/>
      <c r="AB39625" s="38"/>
    </row>
    <row r="39626">
      <c r="P39626" s="42"/>
      <c r="AB39626" s="38"/>
    </row>
    <row r="39627">
      <c r="P39627" s="42"/>
      <c r="AB39627" s="38"/>
    </row>
    <row r="39628">
      <c r="P39628" s="42"/>
      <c r="AB39628" s="38"/>
    </row>
    <row r="39629">
      <c r="P39629" s="42"/>
      <c r="AB39629" s="38"/>
    </row>
    <row r="39630">
      <c r="P39630" s="42"/>
      <c r="AB39630" s="38"/>
    </row>
    <row r="39631">
      <c r="P39631" s="42"/>
      <c r="AB39631" s="38"/>
    </row>
    <row r="39632">
      <c r="P39632" s="42"/>
      <c r="AB39632" s="38"/>
    </row>
    <row r="39633">
      <c r="P39633" s="42"/>
      <c r="AB39633" s="38"/>
    </row>
    <row r="39634">
      <c r="P39634" s="42"/>
      <c r="AB39634" s="38"/>
    </row>
    <row r="39635">
      <c r="P39635" s="42"/>
      <c r="AB39635" s="38"/>
    </row>
    <row r="39636">
      <c r="P39636" s="42"/>
      <c r="AB39636" s="38"/>
    </row>
    <row r="39637">
      <c r="P39637" s="42"/>
      <c r="AB39637" s="38"/>
    </row>
    <row r="39638">
      <c r="P39638" s="42"/>
      <c r="AB39638" s="38"/>
    </row>
    <row r="39639">
      <c r="P39639" s="42"/>
      <c r="AB39639" s="38"/>
    </row>
    <row r="39640">
      <c r="P39640" s="42"/>
      <c r="AB39640" s="38"/>
    </row>
    <row r="39641">
      <c r="P39641" s="42"/>
      <c r="AB39641" s="38"/>
    </row>
    <row r="39642">
      <c r="P39642" s="42"/>
      <c r="AB39642" s="38"/>
    </row>
    <row r="39643">
      <c r="P39643" s="42"/>
      <c r="AB39643" s="38"/>
    </row>
    <row r="39644">
      <c r="P39644" s="42"/>
      <c r="AB39644" s="38"/>
    </row>
    <row r="39645">
      <c r="P39645" s="42"/>
      <c r="AB39645" s="38"/>
    </row>
    <row r="39646">
      <c r="P39646" s="42"/>
      <c r="AB39646" s="38"/>
    </row>
    <row r="39647">
      <c r="P39647" s="42"/>
      <c r="AB39647" s="38"/>
    </row>
    <row r="39648">
      <c r="P39648" s="42"/>
      <c r="AB39648" s="38"/>
    </row>
    <row r="39649">
      <c r="P39649" s="42"/>
      <c r="AB39649" s="38"/>
    </row>
    <row r="39650">
      <c r="P39650" s="42"/>
      <c r="AB39650" s="38"/>
    </row>
    <row r="39651">
      <c r="P39651" s="42"/>
      <c r="AB39651" s="38"/>
    </row>
    <row r="39652">
      <c r="P39652" s="42"/>
      <c r="AB39652" s="38"/>
    </row>
    <row r="39653">
      <c r="P39653" s="42"/>
      <c r="AB39653" s="38"/>
    </row>
    <row r="39654">
      <c r="P39654" s="42"/>
      <c r="AB39654" s="38"/>
    </row>
    <row r="39655">
      <c r="P39655" s="42"/>
      <c r="AB39655" s="38"/>
    </row>
    <row r="39656">
      <c r="P39656" s="42"/>
      <c r="AB39656" s="38"/>
    </row>
    <row r="39657">
      <c r="P39657" s="42"/>
      <c r="AB39657" s="38"/>
    </row>
    <row r="39658">
      <c r="P39658" s="42"/>
      <c r="AB39658" s="38"/>
    </row>
    <row r="39659">
      <c r="P39659" s="42"/>
      <c r="AB39659" s="38"/>
    </row>
    <row r="39660">
      <c r="P39660" s="42"/>
      <c r="AB39660" s="38"/>
    </row>
    <row r="39661">
      <c r="P39661" s="42"/>
      <c r="AB39661" s="38"/>
    </row>
    <row r="39662">
      <c r="P39662" s="42"/>
      <c r="AB39662" s="38"/>
    </row>
    <row r="39663">
      <c r="P39663" s="42"/>
      <c r="AB39663" s="38"/>
    </row>
    <row r="39664">
      <c r="P39664" s="42"/>
      <c r="AB39664" s="38"/>
    </row>
    <row r="39665">
      <c r="P39665" s="42"/>
      <c r="AB39665" s="38"/>
    </row>
    <row r="39666">
      <c r="P39666" s="42"/>
      <c r="AB39666" s="38"/>
    </row>
    <row r="39667">
      <c r="P39667" s="42"/>
      <c r="AB39667" s="38"/>
    </row>
    <row r="39668">
      <c r="P39668" s="42"/>
      <c r="AB39668" s="38"/>
    </row>
    <row r="39669">
      <c r="P39669" s="42"/>
      <c r="AB39669" s="38"/>
    </row>
    <row r="39670">
      <c r="P39670" s="42"/>
      <c r="AB39670" s="38"/>
    </row>
    <row r="39671">
      <c r="P39671" s="42"/>
      <c r="AB39671" s="38"/>
    </row>
    <row r="39672">
      <c r="P39672" s="42"/>
      <c r="AB39672" s="38"/>
    </row>
    <row r="39673">
      <c r="P39673" s="42"/>
      <c r="AB39673" s="38"/>
    </row>
    <row r="39674">
      <c r="P39674" s="42"/>
      <c r="AB39674" s="38"/>
    </row>
    <row r="39675">
      <c r="P39675" s="42"/>
      <c r="AB39675" s="38"/>
    </row>
    <row r="39676">
      <c r="P39676" s="42"/>
      <c r="AB39676" s="38"/>
    </row>
    <row r="39677">
      <c r="P39677" s="42"/>
      <c r="AB39677" s="38"/>
    </row>
    <row r="39678">
      <c r="P39678" s="42"/>
      <c r="AB39678" s="38"/>
    </row>
    <row r="39679">
      <c r="P39679" s="42"/>
      <c r="AB39679" s="38"/>
    </row>
    <row r="39680">
      <c r="P39680" s="42"/>
      <c r="AB39680" s="38"/>
    </row>
    <row r="39681">
      <c r="P39681" s="42"/>
      <c r="AB39681" s="38"/>
    </row>
    <row r="39682">
      <c r="P39682" s="42"/>
      <c r="AB39682" s="38"/>
    </row>
    <row r="39683">
      <c r="P39683" s="42"/>
      <c r="AB39683" s="38"/>
    </row>
    <row r="39684">
      <c r="P39684" s="42"/>
      <c r="AB39684" s="38"/>
    </row>
    <row r="39685">
      <c r="P39685" s="42"/>
      <c r="AB39685" s="38"/>
    </row>
    <row r="39686">
      <c r="P39686" s="42"/>
      <c r="AB39686" s="38"/>
    </row>
    <row r="39687">
      <c r="P39687" s="42"/>
      <c r="AB39687" s="38"/>
    </row>
    <row r="39688">
      <c r="P39688" s="42"/>
      <c r="AB39688" s="38"/>
    </row>
    <row r="39689">
      <c r="P39689" s="42"/>
      <c r="AB39689" s="38"/>
    </row>
    <row r="39690">
      <c r="P39690" s="42"/>
      <c r="AB39690" s="38"/>
    </row>
    <row r="39691">
      <c r="P39691" s="42"/>
      <c r="AB39691" s="38"/>
    </row>
    <row r="39692">
      <c r="P39692" s="42"/>
      <c r="AB39692" s="38"/>
    </row>
    <row r="39693">
      <c r="P39693" s="42"/>
      <c r="AB39693" s="38"/>
    </row>
    <row r="39694">
      <c r="P39694" s="42"/>
      <c r="AB39694" s="38"/>
    </row>
    <row r="39695">
      <c r="P39695" s="42"/>
      <c r="AB39695" s="38"/>
    </row>
    <row r="39696">
      <c r="P39696" s="42"/>
      <c r="AB39696" s="38"/>
    </row>
    <row r="39697">
      <c r="P39697" s="42"/>
      <c r="AB39697" s="38"/>
    </row>
    <row r="39698">
      <c r="P39698" s="42"/>
      <c r="AB39698" s="38"/>
    </row>
    <row r="39699">
      <c r="P39699" s="42"/>
      <c r="AB39699" s="38"/>
    </row>
    <row r="39700">
      <c r="P39700" s="42"/>
      <c r="AB39700" s="38"/>
    </row>
    <row r="39701">
      <c r="P39701" s="42"/>
      <c r="AB39701" s="38"/>
    </row>
    <row r="39702">
      <c r="P39702" s="42"/>
      <c r="AB39702" s="38"/>
    </row>
    <row r="39703">
      <c r="P39703" s="42"/>
      <c r="AB39703" s="38"/>
    </row>
    <row r="39704">
      <c r="P39704" s="42"/>
      <c r="AB39704" s="38"/>
    </row>
    <row r="39705">
      <c r="P39705" s="42"/>
      <c r="AB39705" s="38"/>
    </row>
    <row r="39706">
      <c r="P39706" s="42"/>
      <c r="AB39706" s="38"/>
    </row>
    <row r="39707">
      <c r="P39707" s="42"/>
      <c r="AB39707" s="38"/>
    </row>
    <row r="39708">
      <c r="P39708" s="42"/>
      <c r="AB39708" s="38"/>
    </row>
    <row r="39709">
      <c r="P39709" s="42"/>
      <c r="AB39709" s="38"/>
    </row>
    <row r="39710">
      <c r="P39710" s="42"/>
      <c r="AB39710" s="38"/>
    </row>
    <row r="39711">
      <c r="P39711" s="42"/>
      <c r="AB39711" s="38"/>
    </row>
    <row r="39712">
      <c r="P39712" s="42"/>
      <c r="AB39712" s="38"/>
    </row>
    <row r="39713">
      <c r="P39713" s="42"/>
      <c r="AB39713" s="38"/>
    </row>
    <row r="39714">
      <c r="P39714" s="42"/>
      <c r="AB39714" s="38"/>
    </row>
    <row r="39715">
      <c r="P39715" s="42"/>
      <c r="AB39715" s="38"/>
    </row>
    <row r="39716">
      <c r="P39716" s="42"/>
      <c r="AB39716" s="38"/>
    </row>
    <row r="39717">
      <c r="P39717" s="42"/>
      <c r="AB39717" s="38"/>
    </row>
    <row r="39718">
      <c r="P39718" s="42"/>
      <c r="AB39718" s="38"/>
    </row>
    <row r="39719">
      <c r="P39719" s="42"/>
      <c r="AB39719" s="38"/>
    </row>
    <row r="39720">
      <c r="P39720" s="42"/>
      <c r="AB39720" s="38"/>
    </row>
    <row r="39721">
      <c r="P39721" s="42"/>
      <c r="AB39721" s="38"/>
    </row>
    <row r="39722">
      <c r="P39722" s="42"/>
      <c r="AB39722" s="38"/>
    </row>
    <row r="39723">
      <c r="P39723" s="42"/>
      <c r="AB39723" s="38"/>
    </row>
    <row r="39724">
      <c r="P39724" s="42"/>
      <c r="AB39724" s="38"/>
    </row>
    <row r="39725">
      <c r="P39725" s="42"/>
      <c r="AB39725" s="38"/>
    </row>
    <row r="39726">
      <c r="P39726" s="42"/>
      <c r="AB39726" s="38"/>
    </row>
    <row r="39727">
      <c r="P39727" s="42"/>
      <c r="AB39727" s="38"/>
    </row>
    <row r="39728">
      <c r="P39728" s="42"/>
      <c r="AB39728" s="38"/>
    </row>
    <row r="39729">
      <c r="P39729" s="42"/>
      <c r="AB39729" s="38"/>
    </row>
    <row r="39730">
      <c r="P39730" s="42"/>
      <c r="AB39730" s="38"/>
    </row>
    <row r="39731">
      <c r="P39731" s="42"/>
      <c r="AB39731" s="38"/>
    </row>
    <row r="39732">
      <c r="P39732" s="42"/>
      <c r="AB39732" s="38"/>
    </row>
    <row r="39733">
      <c r="P39733" s="42"/>
      <c r="AB39733" s="38"/>
    </row>
    <row r="39734">
      <c r="P39734" s="42"/>
      <c r="AB39734" s="38"/>
    </row>
    <row r="39735">
      <c r="P39735" s="42"/>
      <c r="AB39735" s="38"/>
    </row>
    <row r="39736">
      <c r="P39736" s="42"/>
      <c r="AB39736" s="38"/>
    </row>
    <row r="39737">
      <c r="P39737" s="42"/>
      <c r="AB39737" s="38"/>
    </row>
    <row r="39738">
      <c r="P39738" s="42"/>
      <c r="AB39738" s="38"/>
    </row>
    <row r="39739">
      <c r="P39739" s="42"/>
      <c r="AB39739" s="38"/>
    </row>
    <row r="39740">
      <c r="P39740" s="42"/>
      <c r="AB39740" s="38"/>
    </row>
    <row r="39741">
      <c r="P39741" s="42"/>
      <c r="AB39741" s="38"/>
    </row>
    <row r="39742">
      <c r="P39742" s="42"/>
      <c r="AB39742" s="38"/>
    </row>
    <row r="39743">
      <c r="P39743" s="42"/>
      <c r="AB39743" s="38"/>
    </row>
    <row r="39744">
      <c r="P39744" s="42"/>
      <c r="AB39744" s="38"/>
    </row>
    <row r="39745">
      <c r="P39745" s="42"/>
      <c r="AB39745" s="38"/>
    </row>
    <row r="39746">
      <c r="P39746" s="42"/>
      <c r="AB39746" s="38"/>
    </row>
    <row r="39747">
      <c r="P39747" s="42"/>
      <c r="AB39747" s="38"/>
    </row>
    <row r="39748">
      <c r="P39748" s="42"/>
      <c r="AB39748" s="38"/>
    </row>
    <row r="39749">
      <c r="P39749" s="42"/>
      <c r="AB39749" s="38"/>
    </row>
    <row r="39750">
      <c r="P39750" s="42"/>
      <c r="AB39750" s="38"/>
    </row>
    <row r="39751">
      <c r="P39751" s="42"/>
      <c r="AB39751" s="38"/>
    </row>
    <row r="39752">
      <c r="P39752" s="42"/>
      <c r="AB39752" s="38"/>
    </row>
    <row r="39753">
      <c r="P39753" s="42"/>
      <c r="AB39753" s="38"/>
    </row>
    <row r="39754">
      <c r="P39754" s="42"/>
      <c r="AB39754" s="38"/>
    </row>
    <row r="39755">
      <c r="P39755" s="42"/>
      <c r="AB39755" s="38"/>
    </row>
    <row r="39756">
      <c r="P39756" s="42"/>
      <c r="AB39756" s="38"/>
    </row>
    <row r="39757">
      <c r="P39757" s="42"/>
      <c r="AB39757" s="38"/>
    </row>
    <row r="39758">
      <c r="P39758" s="42"/>
      <c r="AB39758" s="38"/>
    </row>
    <row r="39759">
      <c r="P39759" s="42"/>
      <c r="AB39759" s="38"/>
    </row>
    <row r="39760">
      <c r="P39760" s="42"/>
      <c r="AB39760" s="38"/>
    </row>
    <row r="39761">
      <c r="P39761" s="42"/>
      <c r="AB39761" s="38"/>
    </row>
    <row r="39762">
      <c r="P39762" s="42"/>
      <c r="AB39762" s="38"/>
    </row>
    <row r="39763">
      <c r="P39763" s="42"/>
      <c r="AB39763" s="38"/>
    </row>
    <row r="39764">
      <c r="P39764" s="42"/>
      <c r="AB39764" s="38"/>
    </row>
    <row r="39765">
      <c r="P39765" s="42"/>
      <c r="AB39765" s="38"/>
    </row>
    <row r="39766">
      <c r="P39766" s="42"/>
      <c r="AB39766" s="38"/>
    </row>
    <row r="39767">
      <c r="P39767" s="42"/>
      <c r="AB39767" s="38"/>
    </row>
    <row r="39768">
      <c r="P39768" s="42"/>
      <c r="AB39768" s="38"/>
    </row>
    <row r="39769">
      <c r="P39769" s="42"/>
      <c r="AB39769" s="38"/>
    </row>
    <row r="39770">
      <c r="P39770" s="42"/>
      <c r="AB39770" s="38"/>
    </row>
    <row r="39771">
      <c r="P39771" s="42"/>
      <c r="AB39771" s="38"/>
    </row>
    <row r="39772">
      <c r="P39772" s="42"/>
      <c r="AB39772" s="38"/>
    </row>
    <row r="39773">
      <c r="P39773" s="42"/>
      <c r="AB39773" s="38"/>
    </row>
    <row r="39774">
      <c r="P39774" s="42"/>
      <c r="AB39774" s="38"/>
    </row>
    <row r="39775">
      <c r="P39775" s="42"/>
      <c r="AB39775" s="38"/>
    </row>
    <row r="39776">
      <c r="P39776" s="42"/>
      <c r="AB39776" s="38"/>
    </row>
    <row r="39777">
      <c r="P39777" s="42"/>
      <c r="AB39777" s="38"/>
    </row>
    <row r="39778">
      <c r="P39778" s="42"/>
      <c r="AB39778" s="38"/>
    </row>
    <row r="39779">
      <c r="P39779" s="42"/>
      <c r="AB39779" s="38"/>
    </row>
    <row r="39780">
      <c r="P39780" s="42"/>
      <c r="AB39780" s="38"/>
    </row>
    <row r="39781">
      <c r="P39781" s="42"/>
      <c r="AB39781" s="38"/>
    </row>
    <row r="39782">
      <c r="P39782" s="42"/>
      <c r="AB39782" s="38"/>
    </row>
    <row r="39783">
      <c r="P39783" s="42"/>
      <c r="AB39783" s="38"/>
    </row>
    <row r="39784">
      <c r="P39784" s="42"/>
      <c r="AB39784" s="38"/>
    </row>
    <row r="39785">
      <c r="P39785" s="42"/>
      <c r="AB39785" s="38"/>
    </row>
    <row r="39786">
      <c r="P39786" s="42"/>
      <c r="AB39786" s="38"/>
    </row>
    <row r="39787">
      <c r="P39787" s="42"/>
      <c r="AB39787" s="38"/>
    </row>
    <row r="39788">
      <c r="P39788" s="42"/>
      <c r="AB39788" s="38"/>
    </row>
    <row r="39789">
      <c r="P39789" s="42"/>
      <c r="AB39789" s="38"/>
    </row>
    <row r="39790">
      <c r="P39790" s="42"/>
      <c r="AB39790" s="38"/>
    </row>
    <row r="39791">
      <c r="P39791" s="42"/>
      <c r="AB39791" s="38"/>
    </row>
    <row r="39792">
      <c r="P39792" s="42"/>
      <c r="AB39792" s="38"/>
    </row>
    <row r="39793">
      <c r="P39793" s="42"/>
      <c r="AB39793" s="38"/>
    </row>
    <row r="39794">
      <c r="P39794" s="42"/>
      <c r="AB39794" s="38"/>
    </row>
    <row r="39795">
      <c r="P39795" s="42"/>
      <c r="AB39795" s="38"/>
    </row>
    <row r="39796">
      <c r="P39796" s="42"/>
      <c r="AB39796" s="38"/>
    </row>
    <row r="39797">
      <c r="P39797" s="42"/>
      <c r="AB39797" s="38"/>
    </row>
    <row r="39798">
      <c r="P39798" s="42"/>
      <c r="AB39798" s="38"/>
    </row>
    <row r="39799">
      <c r="P39799" s="42"/>
      <c r="AB39799" s="38"/>
    </row>
    <row r="39800">
      <c r="P39800" s="42"/>
      <c r="AB39800" s="38"/>
    </row>
    <row r="39801">
      <c r="P39801" s="42"/>
      <c r="AB39801" s="38"/>
    </row>
    <row r="39802">
      <c r="P39802" s="42"/>
      <c r="AB39802" s="38"/>
    </row>
    <row r="39803">
      <c r="P39803" s="42"/>
      <c r="AB39803" s="38"/>
    </row>
    <row r="39804">
      <c r="P39804" s="42"/>
      <c r="AB39804" s="38"/>
    </row>
    <row r="39805">
      <c r="P39805" s="42"/>
      <c r="AB39805" s="38"/>
    </row>
    <row r="39806">
      <c r="P39806" s="42"/>
      <c r="AB39806" s="38"/>
    </row>
    <row r="39807">
      <c r="P39807" s="42"/>
      <c r="AB39807" s="38"/>
    </row>
    <row r="39808">
      <c r="P39808" s="42"/>
      <c r="AB39808" s="38"/>
    </row>
    <row r="39809">
      <c r="P39809" s="42"/>
      <c r="AB39809" s="38"/>
    </row>
    <row r="39810">
      <c r="P39810" s="42"/>
      <c r="AB39810" s="38"/>
    </row>
    <row r="39811">
      <c r="P39811" s="42"/>
      <c r="AB39811" s="38"/>
    </row>
    <row r="39812">
      <c r="P39812" s="42"/>
      <c r="AB39812" s="38"/>
    </row>
    <row r="39813">
      <c r="P39813" s="42"/>
      <c r="AB39813" s="38"/>
    </row>
    <row r="39814">
      <c r="P39814" s="42"/>
      <c r="AB39814" s="38"/>
    </row>
    <row r="39815">
      <c r="P39815" s="42"/>
      <c r="AB39815" s="38"/>
    </row>
    <row r="39816">
      <c r="P39816" s="42"/>
      <c r="AB39816" s="38"/>
    </row>
    <row r="39817">
      <c r="P39817" s="42"/>
      <c r="AB39817" s="38"/>
    </row>
    <row r="39818">
      <c r="P39818" s="42"/>
      <c r="AB39818" s="38"/>
    </row>
    <row r="39819">
      <c r="P39819" s="42"/>
      <c r="AB39819" s="38"/>
    </row>
    <row r="39820">
      <c r="P39820" s="42"/>
      <c r="AB39820" s="38"/>
    </row>
    <row r="39821">
      <c r="P39821" s="42"/>
      <c r="AB39821" s="38"/>
    </row>
    <row r="39822">
      <c r="P39822" s="42"/>
      <c r="AB39822" s="38"/>
    </row>
    <row r="39823">
      <c r="P39823" s="42"/>
      <c r="AB39823" s="38"/>
    </row>
    <row r="39824">
      <c r="P39824" s="42"/>
      <c r="AB39824" s="38"/>
    </row>
    <row r="39825">
      <c r="P39825" s="42"/>
      <c r="AB39825" s="38"/>
    </row>
    <row r="39826">
      <c r="P39826" s="42"/>
      <c r="AB39826" s="38"/>
    </row>
    <row r="39827">
      <c r="P39827" s="42"/>
      <c r="AB39827" s="38"/>
    </row>
    <row r="39828">
      <c r="P39828" s="42"/>
      <c r="AB39828" s="38"/>
    </row>
    <row r="39829">
      <c r="P39829" s="42"/>
      <c r="AB39829" s="38"/>
    </row>
    <row r="39830">
      <c r="P39830" s="42"/>
      <c r="AB39830" s="38"/>
    </row>
    <row r="39831">
      <c r="P39831" s="42"/>
      <c r="AB39831" s="38"/>
    </row>
    <row r="39832">
      <c r="P39832" s="42"/>
      <c r="AB39832" s="38"/>
    </row>
    <row r="39833">
      <c r="P39833" s="42"/>
      <c r="AB39833" s="38"/>
    </row>
    <row r="39834">
      <c r="P39834" s="42"/>
      <c r="AB39834" s="38"/>
    </row>
    <row r="39835">
      <c r="P39835" s="42"/>
      <c r="AB39835" s="38"/>
    </row>
    <row r="39836">
      <c r="P39836" s="42"/>
      <c r="AB39836" s="38"/>
    </row>
    <row r="39837">
      <c r="P39837" s="42"/>
      <c r="AB39837" s="38"/>
    </row>
    <row r="39838">
      <c r="P39838" s="42"/>
      <c r="AB39838" s="38"/>
    </row>
    <row r="39839">
      <c r="P39839" s="42"/>
      <c r="AB39839" s="38"/>
    </row>
    <row r="39840">
      <c r="P39840" s="42"/>
      <c r="AB39840" s="38"/>
    </row>
    <row r="39841">
      <c r="P39841" s="42"/>
      <c r="AB39841" s="38"/>
    </row>
    <row r="39842">
      <c r="P39842" s="42"/>
      <c r="AB39842" s="38"/>
    </row>
    <row r="39843">
      <c r="P39843" s="42"/>
      <c r="AB39843" s="38"/>
    </row>
    <row r="39844">
      <c r="P39844" s="42"/>
      <c r="AB39844" s="38"/>
    </row>
    <row r="39845">
      <c r="P39845" s="42"/>
      <c r="AB39845" s="38"/>
    </row>
    <row r="39846">
      <c r="P39846" s="42"/>
      <c r="AB39846" s="38"/>
    </row>
    <row r="39847">
      <c r="P39847" s="42"/>
      <c r="AB39847" s="38"/>
    </row>
    <row r="39848">
      <c r="P39848" s="42"/>
      <c r="AB39848" s="38"/>
    </row>
    <row r="39849">
      <c r="P39849" s="42"/>
      <c r="AB39849" s="38"/>
    </row>
    <row r="39850">
      <c r="P39850" s="42"/>
      <c r="AB39850" s="38"/>
    </row>
    <row r="39851">
      <c r="P39851" s="42"/>
      <c r="AB39851" s="38"/>
    </row>
    <row r="39852">
      <c r="P39852" s="42"/>
      <c r="AB39852" s="38"/>
    </row>
    <row r="39853">
      <c r="P39853" s="42"/>
      <c r="AB39853" s="38"/>
    </row>
    <row r="39854">
      <c r="P39854" s="42"/>
      <c r="AB39854" s="38"/>
    </row>
    <row r="39855">
      <c r="P39855" s="42"/>
      <c r="AB39855" s="38"/>
    </row>
    <row r="39856">
      <c r="P39856" s="42"/>
      <c r="AB39856" s="38"/>
    </row>
    <row r="39857">
      <c r="P39857" s="42"/>
      <c r="AB39857" s="38"/>
    </row>
    <row r="39858">
      <c r="P39858" s="42"/>
      <c r="AB39858" s="38"/>
    </row>
    <row r="39859">
      <c r="P39859" s="42"/>
      <c r="AB39859" s="38"/>
    </row>
    <row r="39860">
      <c r="P39860" s="42"/>
      <c r="AB39860" s="38"/>
    </row>
    <row r="39861">
      <c r="P39861" s="42"/>
      <c r="AB39861" s="38"/>
    </row>
    <row r="39862">
      <c r="P39862" s="42"/>
      <c r="AB39862" s="38"/>
    </row>
    <row r="39863">
      <c r="P39863" s="42"/>
      <c r="AB39863" s="38"/>
    </row>
    <row r="39864">
      <c r="P39864" s="42"/>
      <c r="AB39864" s="38"/>
    </row>
    <row r="39865">
      <c r="P39865" s="42"/>
      <c r="AB39865" s="38"/>
    </row>
    <row r="39866">
      <c r="P39866" s="42"/>
      <c r="AB39866" s="38"/>
    </row>
    <row r="39867">
      <c r="P39867" s="42"/>
      <c r="AB39867" s="38"/>
    </row>
    <row r="39868">
      <c r="P39868" s="42"/>
      <c r="AB39868" s="38"/>
    </row>
    <row r="39869">
      <c r="P39869" s="42"/>
      <c r="AB39869" s="38"/>
    </row>
    <row r="39870">
      <c r="P39870" s="42"/>
      <c r="AB39870" s="38"/>
    </row>
    <row r="39871">
      <c r="P39871" s="42"/>
      <c r="AB39871" s="38"/>
    </row>
    <row r="39872">
      <c r="P39872" s="42"/>
      <c r="AB39872" s="38"/>
    </row>
    <row r="39873">
      <c r="P39873" s="42"/>
      <c r="AB39873" s="38"/>
    </row>
    <row r="39874">
      <c r="P39874" s="42"/>
      <c r="AB39874" s="38"/>
    </row>
    <row r="39875">
      <c r="P39875" s="42"/>
      <c r="AB39875" s="38"/>
    </row>
    <row r="39876">
      <c r="P39876" s="42"/>
      <c r="AB39876" s="38"/>
    </row>
    <row r="39877">
      <c r="P39877" s="42"/>
      <c r="AB39877" s="38"/>
    </row>
    <row r="39878">
      <c r="P39878" s="42"/>
      <c r="AB39878" s="38"/>
    </row>
    <row r="39879">
      <c r="P39879" s="42"/>
      <c r="AB39879" s="38"/>
    </row>
    <row r="39880">
      <c r="P39880" s="42"/>
      <c r="AB39880" s="38"/>
    </row>
    <row r="39881">
      <c r="P39881" s="42"/>
      <c r="AB39881" s="38"/>
    </row>
    <row r="39882">
      <c r="P39882" s="42"/>
      <c r="AB39882" s="38"/>
    </row>
    <row r="39883">
      <c r="P39883" s="42"/>
      <c r="AB39883" s="38"/>
    </row>
    <row r="39884">
      <c r="P39884" s="42"/>
      <c r="AB39884" s="38"/>
    </row>
    <row r="39885">
      <c r="P39885" s="42"/>
      <c r="AB39885" s="38"/>
    </row>
    <row r="39886">
      <c r="P39886" s="42"/>
      <c r="AB39886" s="38"/>
    </row>
    <row r="39887">
      <c r="P39887" s="42"/>
      <c r="AB39887" s="38"/>
    </row>
    <row r="39888">
      <c r="P39888" s="42"/>
      <c r="AB39888" s="38"/>
    </row>
    <row r="39889">
      <c r="P39889" s="42"/>
      <c r="AB39889" s="38"/>
    </row>
    <row r="39890">
      <c r="P39890" s="42"/>
      <c r="AB39890" s="38"/>
    </row>
    <row r="39891">
      <c r="P39891" s="42"/>
      <c r="AB39891" s="38"/>
    </row>
    <row r="39892">
      <c r="P39892" s="42"/>
      <c r="AB39892" s="38"/>
    </row>
    <row r="39893">
      <c r="P39893" s="42"/>
      <c r="AB39893" s="38"/>
    </row>
    <row r="39894">
      <c r="P39894" s="42"/>
      <c r="AB39894" s="38"/>
    </row>
    <row r="39895">
      <c r="P39895" s="42"/>
      <c r="AB39895" s="38"/>
    </row>
    <row r="39896">
      <c r="P39896" s="42"/>
      <c r="AB39896" s="38"/>
    </row>
    <row r="39897">
      <c r="P39897" s="42"/>
      <c r="AB39897" s="38"/>
    </row>
    <row r="39898">
      <c r="P39898" s="42"/>
      <c r="AB39898" s="38"/>
    </row>
    <row r="39899">
      <c r="P39899" s="42"/>
      <c r="AB39899" s="38"/>
    </row>
    <row r="39900">
      <c r="P39900" s="42"/>
      <c r="AB39900" s="38"/>
    </row>
    <row r="39901">
      <c r="P39901" s="42"/>
      <c r="AB39901" s="38"/>
    </row>
    <row r="39902">
      <c r="P39902" s="42"/>
      <c r="AB39902" s="38"/>
    </row>
    <row r="39903">
      <c r="P39903" s="42"/>
      <c r="AB39903" s="38"/>
    </row>
    <row r="39904">
      <c r="P39904" s="42"/>
      <c r="AB39904" s="38"/>
    </row>
    <row r="39905">
      <c r="P39905" s="42"/>
      <c r="AB39905" s="38"/>
    </row>
    <row r="39906">
      <c r="P39906" s="42"/>
      <c r="AB39906" s="38"/>
    </row>
    <row r="39907">
      <c r="P39907" s="42"/>
      <c r="AB39907" s="38"/>
    </row>
    <row r="39908">
      <c r="P39908" s="42"/>
      <c r="AB39908" s="38"/>
    </row>
    <row r="39909">
      <c r="P39909" s="42"/>
      <c r="AB39909" s="38"/>
    </row>
    <row r="39910">
      <c r="P39910" s="42"/>
      <c r="AB39910" s="38"/>
    </row>
    <row r="39911">
      <c r="P39911" s="42"/>
      <c r="AB39911" s="38"/>
    </row>
    <row r="39912">
      <c r="P39912" s="42"/>
      <c r="AB39912" s="38"/>
    </row>
    <row r="39913">
      <c r="P39913" s="42"/>
      <c r="AB39913" s="38"/>
    </row>
    <row r="39914">
      <c r="P39914" s="42"/>
      <c r="AB39914" s="38"/>
    </row>
    <row r="39915">
      <c r="P39915" s="42"/>
      <c r="AB39915" s="38"/>
    </row>
    <row r="39916">
      <c r="P39916" s="42"/>
      <c r="AB39916" s="38"/>
    </row>
    <row r="39917">
      <c r="P39917" s="42"/>
      <c r="AB39917" s="38"/>
    </row>
    <row r="39918">
      <c r="P39918" s="42"/>
      <c r="AB39918" s="38"/>
    </row>
    <row r="39919">
      <c r="P39919" s="42"/>
      <c r="AB39919" s="38"/>
    </row>
    <row r="39920">
      <c r="P39920" s="42"/>
      <c r="AB39920" s="38"/>
    </row>
    <row r="39921">
      <c r="P39921" s="42"/>
      <c r="AB39921" s="38"/>
    </row>
    <row r="39922">
      <c r="P39922" s="42"/>
      <c r="AB39922" s="38"/>
    </row>
    <row r="39923">
      <c r="P39923" s="42"/>
      <c r="AB39923" s="38"/>
    </row>
    <row r="39924">
      <c r="P39924" s="42"/>
      <c r="AB39924" s="38"/>
    </row>
    <row r="39925">
      <c r="P39925" s="42"/>
      <c r="AB39925" s="38"/>
    </row>
    <row r="39926">
      <c r="P39926" s="42"/>
      <c r="AB39926" s="38"/>
    </row>
    <row r="39927">
      <c r="P39927" s="42"/>
      <c r="AB39927" s="38"/>
    </row>
    <row r="39928">
      <c r="P39928" s="42"/>
      <c r="AB39928" s="38"/>
    </row>
    <row r="39929">
      <c r="P39929" s="42"/>
      <c r="AB39929" s="38"/>
    </row>
    <row r="39930">
      <c r="P39930" s="42"/>
      <c r="AB39930" s="38"/>
    </row>
    <row r="39931">
      <c r="P39931" s="42"/>
      <c r="AB39931" s="38"/>
    </row>
    <row r="39932">
      <c r="P39932" s="42"/>
      <c r="AB39932" s="38"/>
    </row>
    <row r="39933">
      <c r="P39933" s="42"/>
      <c r="AB39933" s="38"/>
    </row>
    <row r="39934">
      <c r="P39934" s="42"/>
      <c r="AB39934" s="38"/>
    </row>
    <row r="39935">
      <c r="P39935" s="42"/>
      <c r="AB39935" s="38"/>
    </row>
    <row r="39936">
      <c r="P39936" s="42"/>
      <c r="AB39936" s="38"/>
    </row>
    <row r="39937">
      <c r="P39937" s="42"/>
      <c r="AB39937" s="38"/>
    </row>
    <row r="39938">
      <c r="P39938" s="42"/>
      <c r="AB39938" s="38"/>
    </row>
    <row r="39939">
      <c r="P39939" s="42"/>
      <c r="AB39939" s="38"/>
    </row>
    <row r="39940">
      <c r="P39940" s="42"/>
      <c r="AB39940" s="38"/>
    </row>
    <row r="39941">
      <c r="P39941" s="42"/>
      <c r="AB39941" s="38"/>
    </row>
    <row r="39942">
      <c r="P39942" s="42"/>
      <c r="AB39942" s="38"/>
    </row>
    <row r="39943">
      <c r="P39943" s="42"/>
      <c r="AB39943" s="38"/>
    </row>
    <row r="39944">
      <c r="P39944" s="42"/>
      <c r="AB39944" s="38"/>
    </row>
    <row r="39945">
      <c r="P39945" s="42"/>
      <c r="AB39945" s="38"/>
    </row>
    <row r="39946">
      <c r="P39946" s="42"/>
      <c r="AB39946" s="38"/>
    </row>
    <row r="39947">
      <c r="P39947" s="42"/>
      <c r="AB39947" s="38"/>
    </row>
    <row r="39948">
      <c r="P39948" s="42"/>
      <c r="AB39948" s="38"/>
    </row>
    <row r="39949">
      <c r="P39949" s="42"/>
      <c r="AB39949" s="38"/>
    </row>
    <row r="39950">
      <c r="P39950" s="42"/>
      <c r="AB39950" s="38"/>
    </row>
    <row r="39951">
      <c r="P39951" s="42"/>
      <c r="AB39951" s="38"/>
    </row>
    <row r="39952">
      <c r="P39952" s="42"/>
      <c r="AB39952" s="38"/>
    </row>
    <row r="39953">
      <c r="P39953" s="42"/>
      <c r="AB39953" s="38"/>
    </row>
    <row r="39954">
      <c r="P39954" s="42"/>
      <c r="AB39954" s="38"/>
    </row>
    <row r="39955">
      <c r="P39955" s="42"/>
      <c r="AB39955" s="38"/>
    </row>
    <row r="39956">
      <c r="P39956" s="42"/>
      <c r="AB39956" s="38"/>
    </row>
    <row r="39957">
      <c r="P39957" s="42"/>
      <c r="AB39957" s="38"/>
    </row>
    <row r="39958">
      <c r="P39958" s="42"/>
      <c r="AB39958" s="38"/>
    </row>
    <row r="39959">
      <c r="P39959" s="42"/>
      <c r="AB39959" s="38"/>
    </row>
    <row r="39960">
      <c r="P39960" s="42"/>
      <c r="AB39960" s="38"/>
    </row>
    <row r="39961">
      <c r="P39961" s="42"/>
      <c r="AB39961" s="38"/>
    </row>
    <row r="39962">
      <c r="P39962" s="42"/>
      <c r="AB39962" s="38"/>
    </row>
    <row r="39963">
      <c r="P39963" s="42"/>
      <c r="AB39963" s="38"/>
    </row>
    <row r="39964">
      <c r="P39964" s="42"/>
      <c r="AB39964" s="38"/>
    </row>
    <row r="39965">
      <c r="P39965" s="42"/>
      <c r="AB39965" s="38"/>
    </row>
    <row r="39966">
      <c r="P39966" s="42"/>
      <c r="AB39966" s="38"/>
    </row>
    <row r="39967">
      <c r="P39967" s="42"/>
      <c r="AB39967" s="38"/>
    </row>
    <row r="39968">
      <c r="P39968" s="42"/>
      <c r="AB39968" s="38"/>
    </row>
    <row r="39969">
      <c r="P39969" s="42"/>
      <c r="AB39969" s="38"/>
    </row>
    <row r="39970">
      <c r="P39970" s="42"/>
      <c r="AB39970" s="38"/>
    </row>
    <row r="39971">
      <c r="P39971" s="42"/>
      <c r="AB39971" s="38"/>
    </row>
    <row r="39972">
      <c r="P39972" s="42"/>
      <c r="AB39972" s="38"/>
    </row>
    <row r="39973">
      <c r="P39973" s="42"/>
      <c r="AB39973" s="38"/>
    </row>
    <row r="39974">
      <c r="P39974" s="42"/>
      <c r="AB39974" s="38"/>
    </row>
    <row r="39975">
      <c r="P39975" s="42"/>
      <c r="AB39975" s="38"/>
    </row>
    <row r="39976">
      <c r="P39976" s="42"/>
      <c r="AB39976" s="38"/>
    </row>
    <row r="39977">
      <c r="P39977" s="42"/>
      <c r="AB39977" s="38"/>
    </row>
    <row r="39978">
      <c r="P39978" s="42"/>
      <c r="AB39978" s="38"/>
    </row>
    <row r="39979">
      <c r="P39979" s="42"/>
      <c r="AB39979" s="38"/>
    </row>
    <row r="39980">
      <c r="P39980" s="42"/>
      <c r="AB39980" s="38"/>
    </row>
    <row r="39981">
      <c r="P39981" s="42"/>
      <c r="AB39981" s="38"/>
    </row>
    <row r="39982">
      <c r="P39982" s="42"/>
      <c r="AB39982" s="38"/>
    </row>
    <row r="39983">
      <c r="P39983" s="42"/>
      <c r="AB39983" s="38"/>
    </row>
    <row r="39984">
      <c r="P39984" s="42"/>
      <c r="AB39984" s="38"/>
    </row>
    <row r="39985">
      <c r="P39985" s="42"/>
      <c r="AB39985" s="38"/>
    </row>
    <row r="39986">
      <c r="P39986" s="42"/>
      <c r="AB39986" s="38"/>
    </row>
    <row r="39987">
      <c r="P39987" s="42"/>
      <c r="AB39987" s="38"/>
    </row>
    <row r="39988">
      <c r="P39988" s="42"/>
      <c r="AB39988" s="38"/>
    </row>
    <row r="39989">
      <c r="P39989" s="42"/>
      <c r="AB39989" s="38"/>
    </row>
    <row r="39990">
      <c r="P39990" s="42"/>
      <c r="AB39990" s="38"/>
    </row>
    <row r="39991">
      <c r="P39991" s="42"/>
      <c r="AB39991" s="38"/>
    </row>
    <row r="39992">
      <c r="P39992" s="42"/>
      <c r="AB39992" s="38"/>
    </row>
    <row r="39993">
      <c r="P39993" s="42"/>
      <c r="AB39993" s="38"/>
    </row>
    <row r="39994">
      <c r="P39994" s="42"/>
      <c r="AB39994" s="38"/>
    </row>
    <row r="39995">
      <c r="P39995" s="42"/>
      <c r="AB39995" s="38"/>
    </row>
    <row r="39996">
      <c r="P39996" s="42"/>
      <c r="AB39996" s="38"/>
    </row>
    <row r="39997">
      <c r="P39997" s="42"/>
      <c r="AB39997" s="38"/>
    </row>
    <row r="39998">
      <c r="P39998" s="42"/>
      <c r="AB39998" s="38"/>
    </row>
    <row r="39999">
      <c r="P39999" s="42"/>
      <c r="AB39999" s="38"/>
    </row>
    <row r="40000">
      <c r="P40000" s="42"/>
      <c r="AB40000" s="38"/>
    </row>
    <row r="40001">
      <c r="P40001" s="42"/>
      <c r="AB40001" s="38"/>
    </row>
    <row r="40002">
      <c r="P40002" s="42"/>
      <c r="AB40002" s="38"/>
    </row>
    <row r="40003">
      <c r="P40003" s="42"/>
      <c r="AB40003" s="38"/>
    </row>
    <row r="40004">
      <c r="P40004" s="42"/>
      <c r="AB40004" s="38"/>
    </row>
    <row r="40005">
      <c r="P40005" s="42"/>
      <c r="AB40005" s="38"/>
    </row>
    <row r="40006">
      <c r="P40006" s="42"/>
      <c r="AB40006" s="38"/>
    </row>
    <row r="40007">
      <c r="P40007" s="42"/>
      <c r="AB40007" s="38"/>
    </row>
    <row r="40008">
      <c r="P40008" s="42"/>
      <c r="AB40008" s="38"/>
    </row>
    <row r="40009">
      <c r="P40009" s="42"/>
      <c r="AB40009" s="38"/>
    </row>
    <row r="40010">
      <c r="P40010" s="42"/>
      <c r="AB40010" s="38"/>
    </row>
    <row r="40011">
      <c r="P40011" s="42"/>
      <c r="AB40011" s="38"/>
    </row>
    <row r="40012">
      <c r="P40012" s="42"/>
      <c r="AB40012" s="38"/>
    </row>
    <row r="40013">
      <c r="P40013" s="42"/>
      <c r="AB40013" s="38"/>
    </row>
    <row r="40014">
      <c r="P40014" s="42"/>
      <c r="AB40014" s="38"/>
    </row>
    <row r="40015">
      <c r="P40015" s="42"/>
      <c r="AB40015" s="38"/>
    </row>
    <row r="40016">
      <c r="P40016" s="42"/>
      <c r="AB40016" s="38"/>
    </row>
    <row r="40017">
      <c r="P40017" s="42"/>
      <c r="AB40017" s="38"/>
    </row>
    <row r="40018">
      <c r="P40018" s="42"/>
      <c r="AB40018" s="38"/>
    </row>
    <row r="40019">
      <c r="P40019" s="42"/>
      <c r="AB40019" s="38"/>
    </row>
    <row r="40020">
      <c r="P40020" s="42"/>
      <c r="AB40020" s="38"/>
    </row>
    <row r="40021">
      <c r="P40021" s="42"/>
      <c r="AB40021" s="38"/>
    </row>
    <row r="40022">
      <c r="P40022" s="42"/>
      <c r="AB40022" s="38"/>
    </row>
    <row r="40023">
      <c r="P40023" s="42"/>
      <c r="AB40023" s="38"/>
    </row>
    <row r="40024">
      <c r="P40024" s="42"/>
      <c r="AB40024" s="38"/>
    </row>
    <row r="40025">
      <c r="P40025" s="42"/>
      <c r="AB40025" s="38"/>
    </row>
    <row r="40026">
      <c r="P40026" s="42"/>
      <c r="AB40026" s="38"/>
    </row>
    <row r="40027">
      <c r="P40027" s="42"/>
      <c r="AB40027" s="38"/>
    </row>
    <row r="40028">
      <c r="P40028" s="42"/>
      <c r="AB40028" s="38"/>
    </row>
    <row r="40029">
      <c r="P40029" s="42"/>
      <c r="AB40029" s="38"/>
    </row>
    <row r="40030">
      <c r="P40030" s="42"/>
      <c r="AB40030" s="38"/>
    </row>
    <row r="40031">
      <c r="P40031" s="42"/>
      <c r="AB40031" s="38"/>
    </row>
    <row r="40032">
      <c r="P40032" s="42"/>
      <c r="AB40032" s="38"/>
    </row>
    <row r="40033">
      <c r="P40033" s="42"/>
      <c r="AB40033" s="38"/>
    </row>
    <row r="40034">
      <c r="P40034" s="42"/>
      <c r="AB40034" s="38"/>
    </row>
    <row r="40035">
      <c r="P40035" s="42"/>
      <c r="AB40035" s="38"/>
    </row>
    <row r="40036">
      <c r="P40036" s="42"/>
      <c r="AB40036" s="38"/>
    </row>
    <row r="40037">
      <c r="P40037" s="42"/>
      <c r="AB40037" s="38"/>
    </row>
    <row r="40038">
      <c r="P40038" s="42"/>
      <c r="AB40038" s="38"/>
    </row>
    <row r="40039">
      <c r="P40039" s="42"/>
      <c r="AB40039" s="38"/>
    </row>
    <row r="40040">
      <c r="P40040" s="42"/>
      <c r="AB40040" s="38"/>
    </row>
    <row r="40041">
      <c r="P40041" s="42"/>
      <c r="AB40041" s="38"/>
    </row>
    <row r="40042">
      <c r="P40042" s="42"/>
      <c r="AB40042" s="38"/>
    </row>
    <row r="40043">
      <c r="P40043" s="42"/>
      <c r="AB40043" s="38"/>
    </row>
    <row r="40044">
      <c r="P40044" s="42"/>
      <c r="AB40044" s="38"/>
    </row>
    <row r="40045">
      <c r="P40045" s="42"/>
      <c r="AB40045" s="38"/>
    </row>
    <row r="40046">
      <c r="P40046" s="42"/>
      <c r="AB40046" s="38"/>
    </row>
    <row r="40047">
      <c r="P40047" s="42"/>
      <c r="AB40047" s="38"/>
    </row>
    <row r="40048">
      <c r="P40048" s="42"/>
      <c r="AB40048" s="38"/>
    </row>
    <row r="40049">
      <c r="P40049" s="42"/>
      <c r="AB40049" s="38"/>
    </row>
    <row r="40050">
      <c r="P40050" s="42"/>
      <c r="AB40050" s="38"/>
    </row>
    <row r="40051">
      <c r="P40051" s="42"/>
      <c r="AB40051" s="38"/>
    </row>
    <row r="40052">
      <c r="P40052" s="42"/>
      <c r="AB40052" s="38"/>
    </row>
    <row r="40053">
      <c r="P40053" s="42"/>
      <c r="AB40053" s="38"/>
    </row>
    <row r="40054">
      <c r="P40054" s="42"/>
      <c r="AB40054" s="38"/>
    </row>
    <row r="40055">
      <c r="P40055" s="42"/>
      <c r="AB40055" s="38"/>
    </row>
    <row r="40056">
      <c r="P40056" s="42"/>
      <c r="AB40056" s="38"/>
    </row>
    <row r="40057">
      <c r="P40057" s="42"/>
      <c r="AB40057" s="38"/>
    </row>
    <row r="40058">
      <c r="P40058" s="42"/>
      <c r="AB40058" s="38"/>
    </row>
    <row r="40059">
      <c r="P40059" s="42"/>
      <c r="AB40059" s="38"/>
    </row>
    <row r="40060">
      <c r="P40060" s="42"/>
      <c r="AB40060" s="38"/>
    </row>
    <row r="40061">
      <c r="P40061" s="42"/>
      <c r="AB40061" s="38"/>
    </row>
    <row r="40062">
      <c r="P40062" s="42"/>
      <c r="AB40062" s="38"/>
    </row>
    <row r="40063">
      <c r="P40063" s="42"/>
      <c r="AB40063" s="38"/>
    </row>
    <row r="40064">
      <c r="P40064" s="42"/>
      <c r="AB40064" s="38"/>
    </row>
    <row r="40065">
      <c r="P40065" s="42"/>
      <c r="AB40065" s="38"/>
    </row>
    <row r="40066">
      <c r="P40066" s="42"/>
      <c r="AB40066" s="38"/>
    </row>
    <row r="40067">
      <c r="P40067" s="42"/>
      <c r="AB40067" s="38"/>
    </row>
    <row r="40068">
      <c r="P40068" s="42"/>
      <c r="AB40068" s="38"/>
    </row>
    <row r="40069">
      <c r="P40069" s="42"/>
      <c r="AB40069" s="38"/>
    </row>
    <row r="40070">
      <c r="P40070" s="42"/>
      <c r="AB40070" s="38"/>
    </row>
    <row r="40071">
      <c r="P40071" s="42"/>
      <c r="AB40071" s="38"/>
    </row>
    <row r="40072">
      <c r="P40072" s="42"/>
      <c r="AB40072" s="38"/>
    </row>
    <row r="40073">
      <c r="P40073" s="42"/>
      <c r="AB40073" s="38"/>
    </row>
    <row r="40074">
      <c r="P40074" s="42"/>
      <c r="AB40074" s="38"/>
    </row>
    <row r="40075">
      <c r="P40075" s="42"/>
      <c r="AB40075" s="38"/>
    </row>
    <row r="40076">
      <c r="P40076" s="42"/>
      <c r="AB40076" s="38"/>
    </row>
    <row r="40077">
      <c r="P40077" s="42"/>
      <c r="AB40077" s="38"/>
    </row>
    <row r="40078">
      <c r="P40078" s="42"/>
      <c r="AB40078" s="38"/>
    </row>
    <row r="40079">
      <c r="P40079" s="42"/>
      <c r="AB40079" s="38"/>
    </row>
    <row r="40080">
      <c r="P40080" s="42"/>
      <c r="AB40080" s="38"/>
    </row>
    <row r="40081">
      <c r="P40081" s="42"/>
      <c r="AB40081" s="38"/>
    </row>
    <row r="40082">
      <c r="P40082" s="42"/>
      <c r="AB40082" s="38"/>
    </row>
    <row r="40083">
      <c r="P40083" s="42"/>
      <c r="AB40083" s="38"/>
    </row>
    <row r="40084">
      <c r="P40084" s="42"/>
      <c r="AB40084" s="38"/>
    </row>
    <row r="40085">
      <c r="P40085" s="42"/>
      <c r="AB40085" s="38"/>
    </row>
    <row r="40086">
      <c r="P40086" s="42"/>
      <c r="AB40086" s="38"/>
    </row>
    <row r="40087">
      <c r="P40087" s="42"/>
      <c r="AB40087" s="38"/>
    </row>
    <row r="40088">
      <c r="P40088" s="42"/>
      <c r="AB40088" s="38"/>
    </row>
    <row r="40089">
      <c r="P40089" s="42"/>
      <c r="AB40089" s="38"/>
    </row>
    <row r="40090">
      <c r="P40090" s="42"/>
      <c r="AB40090" s="38"/>
    </row>
    <row r="40091">
      <c r="P40091" s="42"/>
      <c r="AB40091" s="38"/>
    </row>
    <row r="40092">
      <c r="P40092" s="42"/>
      <c r="AB40092" s="38"/>
    </row>
    <row r="40093">
      <c r="P40093" s="42"/>
      <c r="AB40093" s="38"/>
    </row>
    <row r="40094">
      <c r="P40094" s="42"/>
      <c r="AB40094" s="38"/>
    </row>
    <row r="40095">
      <c r="P40095" s="42"/>
      <c r="AB40095" s="38"/>
    </row>
    <row r="40096">
      <c r="P40096" s="42"/>
      <c r="AB40096" s="38"/>
    </row>
    <row r="40097">
      <c r="P40097" s="42"/>
      <c r="AB40097" s="38"/>
    </row>
    <row r="40098">
      <c r="P40098" s="42"/>
      <c r="AB40098" s="38"/>
    </row>
    <row r="40099">
      <c r="P40099" s="42"/>
      <c r="AB40099" s="38"/>
    </row>
    <row r="40100">
      <c r="P40100" s="42"/>
      <c r="AB40100" s="38"/>
    </row>
    <row r="40101">
      <c r="P40101" s="42"/>
      <c r="AB40101" s="38"/>
    </row>
    <row r="40102">
      <c r="P40102" s="42"/>
      <c r="AB40102" s="38"/>
    </row>
    <row r="40103">
      <c r="P40103" s="42"/>
      <c r="AB40103" s="38"/>
    </row>
    <row r="40104">
      <c r="P40104" s="42"/>
      <c r="AB40104" s="38"/>
    </row>
    <row r="40105">
      <c r="P40105" s="42"/>
      <c r="AB40105" s="38"/>
    </row>
    <row r="40106">
      <c r="P40106" s="42"/>
      <c r="AB40106" s="38"/>
    </row>
    <row r="40107">
      <c r="P40107" s="42"/>
      <c r="AB40107" s="38"/>
    </row>
    <row r="40108">
      <c r="P40108" s="42"/>
      <c r="AB40108" s="38"/>
    </row>
    <row r="40109">
      <c r="P40109" s="42"/>
      <c r="AB40109" s="38"/>
    </row>
    <row r="40110">
      <c r="P40110" s="42"/>
      <c r="AB40110" s="38"/>
    </row>
    <row r="40111">
      <c r="P40111" s="42"/>
      <c r="AB40111" s="38"/>
    </row>
    <row r="40112">
      <c r="P40112" s="42"/>
      <c r="AB40112" s="38"/>
    </row>
    <row r="40113">
      <c r="P40113" s="42"/>
      <c r="AB40113" s="38"/>
    </row>
    <row r="40114">
      <c r="P40114" s="42"/>
      <c r="AB40114" s="38"/>
    </row>
    <row r="40115">
      <c r="P40115" s="42"/>
      <c r="AB40115" s="38"/>
    </row>
    <row r="40116">
      <c r="P40116" s="42"/>
      <c r="AB40116" s="38"/>
    </row>
    <row r="40117">
      <c r="P40117" s="42"/>
      <c r="AB40117" s="38"/>
    </row>
    <row r="40118">
      <c r="P40118" s="42"/>
      <c r="AB40118" s="38"/>
    </row>
    <row r="40119">
      <c r="P40119" s="42"/>
      <c r="AB40119" s="38"/>
    </row>
    <row r="40120">
      <c r="P40120" s="42"/>
      <c r="AB40120" s="38"/>
    </row>
    <row r="40121">
      <c r="P40121" s="42"/>
      <c r="AB40121" s="38"/>
    </row>
    <row r="40122">
      <c r="P40122" s="42"/>
      <c r="AB40122" s="38"/>
    </row>
    <row r="40123">
      <c r="P40123" s="42"/>
      <c r="AB40123" s="38"/>
    </row>
    <row r="40124">
      <c r="P40124" s="42"/>
      <c r="AB40124" s="38"/>
    </row>
    <row r="40125">
      <c r="P40125" s="42"/>
      <c r="AB40125" s="38"/>
    </row>
    <row r="40126">
      <c r="P40126" s="42"/>
      <c r="AB40126" s="38"/>
    </row>
    <row r="40127">
      <c r="P40127" s="42"/>
      <c r="AB40127" s="38"/>
    </row>
    <row r="40128">
      <c r="P40128" s="42"/>
      <c r="AB40128" s="38"/>
    </row>
    <row r="40129">
      <c r="P40129" s="42"/>
      <c r="AB40129" s="38"/>
    </row>
    <row r="40130">
      <c r="P40130" s="42"/>
      <c r="AB40130" s="38"/>
    </row>
    <row r="40131">
      <c r="P40131" s="42"/>
      <c r="AB40131" s="38"/>
    </row>
    <row r="40132">
      <c r="P40132" s="42"/>
      <c r="AB40132" s="38"/>
    </row>
    <row r="40133">
      <c r="P40133" s="42"/>
      <c r="AB40133" s="38"/>
    </row>
    <row r="40134">
      <c r="P40134" s="42"/>
      <c r="AB40134" s="38"/>
    </row>
    <row r="40135">
      <c r="P40135" s="42"/>
      <c r="AB40135" s="38"/>
    </row>
    <row r="40136">
      <c r="P40136" s="42"/>
      <c r="AB40136" s="38"/>
    </row>
    <row r="40137">
      <c r="P40137" s="42"/>
      <c r="AB40137" s="38"/>
    </row>
    <row r="40138">
      <c r="P40138" s="42"/>
      <c r="AB40138" s="38"/>
    </row>
    <row r="40139">
      <c r="P40139" s="42"/>
      <c r="AB40139" s="38"/>
    </row>
    <row r="40140">
      <c r="P40140" s="42"/>
      <c r="AB40140" s="38"/>
    </row>
    <row r="40141">
      <c r="P40141" s="42"/>
      <c r="AB40141" s="38"/>
    </row>
    <row r="40142">
      <c r="P40142" s="42"/>
      <c r="AB40142" s="38"/>
    </row>
    <row r="40143">
      <c r="P40143" s="42"/>
      <c r="AB40143" s="38"/>
    </row>
    <row r="40144">
      <c r="P40144" s="42"/>
      <c r="AB40144" s="38"/>
    </row>
    <row r="40145">
      <c r="P40145" s="42"/>
      <c r="AB40145" s="38"/>
    </row>
    <row r="40146">
      <c r="P40146" s="42"/>
      <c r="AB40146" s="38"/>
    </row>
    <row r="40147">
      <c r="P40147" s="42"/>
      <c r="AB40147" s="38"/>
    </row>
    <row r="40148">
      <c r="P40148" s="42"/>
      <c r="AB40148" s="38"/>
    </row>
    <row r="40149">
      <c r="P40149" s="42"/>
      <c r="AB40149" s="38"/>
    </row>
    <row r="40150">
      <c r="P40150" s="42"/>
      <c r="AB40150" s="38"/>
    </row>
    <row r="40151">
      <c r="P40151" s="42"/>
      <c r="AB40151" s="38"/>
    </row>
    <row r="40152">
      <c r="P40152" s="42"/>
      <c r="AB40152" s="38"/>
    </row>
    <row r="40153">
      <c r="P40153" s="42"/>
      <c r="AB40153" s="38"/>
    </row>
    <row r="40154">
      <c r="P40154" s="42"/>
      <c r="AB40154" s="38"/>
    </row>
    <row r="40155">
      <c r="P40155" s="42"/>
      <c r="AB40155" s="38"/>
    </row>
    <row r="40156">
      <c r="P40156" s="42"/>
      <c r="AB40156" s="38"/>
    </row>
    <row r="40157">
      <c r="P40157" s="42"/>
      <c r="AB40157" s="38"/>
    </row>
    <row r="40158">
      <c r="P40158" s="42"/>
      <c r="AB40158" s="38"/>
    </row>
    <row r="40159">
      <c r="P40159" s="42"/>
      <c r="AB40159" s="38"/>
    </row>
    <row r="40160">
      <c r="P40160" s="42"/>
      <c r="AB40160" s="38"/>
    </row>
    <row r="40161">
      <c r="P40161" s="42"/>
      <c r="AB40161" s="38"/>
    </row>
    <row r="40162">
      <c r="P40162" s="42"/>
      <c r="AB40162" s="38"/>
    </row>
    <row r="40163">
      <c r="P40163" s="42"/>
      <c r="AB40163" s="38"/>
    </row>
    <row r="40164">
      <c r="P40164" s="42"/>
      <c r="AB40164" s="38"/>
    </row>
    <row r="40165">
      <c r="P40165" s="42"/>
      <c r="AB40165" s="38"/>
    </row>
    <row r="40166">
      <c r="P40166" s="42"/>
      <c r="AB40166" s="38"/>
    </row>
    <row r="40167">
      <c r="P40167" s="42"/>
      <c r="AB40167" s="38"/>
    </row>
    <row r="40168">
      <c r="P40168" s="42"/>
      <c r="AB40168" s="38"/>
    </row>
    <row r="40169">
      <c r="P40169" s="42"/>
      <c r="AB40169" s="38"/>
    </row>
    <row r="40170">
      <c r="P40170" s="42"/>
      <c r="AB40170" s="38"/>
    </row>
    <row r="40171">
      <c r="P40171" s="42"/>
      <c r="AB40171" s="38"/>
    </row>
    <row r="40172">
      <c r="P40172" s="42"/>
      <c r="AB40172" s="38"/>
    </row>
    <row r="40173">
      <c r="P40173" s="42"/>
      <c r="AB40173" s="38"/>
    </row>
    <row r="40174">
      <c r="P40174" s="42"/>
      <c r="AB40174" s="38"/>
    </row>
    <row r="40175">
      <c r="P40175" s="42"/>
      <c r="AB40175" s="38"/>
    </row>
    <row r="40176">
      <c r="P40176" s="42"/>
      <c r="AB40176" s="38"/>
    </row>
    <row r="40177">
      <c r="P40177" s="42"/>
      <c r="AB40177" s="38"/>
    </row>
    <row r="40178">
      <c r="P40178" s="42"/>
      <c r="AB40178" s="38"/>
    </row>
    <row r="40179">
      <c r="P40179" s="42"/>
      <c r="AB40179" s="38"/>
    </row>
    <row r="40180">
      <c r="P40180" s="42"/>
      <c r="AB40180" s="38"/>
    </row>
    <row r="40181">
      <c r="P40181" s="42"/>
      <c r="AB40181" s="38"/>
    </row>
    <row r="40182">
      <c r="P40182" s="42"/>
      <c r="AB40182" s="38"/>
    </row>
    <row r="40183">
      <c r="P40183" s="42"/>
      <c r="AB40183" s="38"/>
    </row>
    <row r="40184">
      <c r="P40184" s="42"/>
      <c r="AB40184" s="38"/>
    </row>
    <row r="40185">
      <c r="P40185" s="42"/>
      <c r="AB40185" s="38"/>
    </row>
    <row r="40186">
      <c r="P40186" s="42"/>
      <c r="AB40186" s="38"/>
    </row>
    <row r="40187">
      <c r="P40187" s="42"/>
      <c r="AB40187" s="38"/>
    </row>
    <row r="40188">
      <c r="P40188" s="42"/>
      <c r="AB40188" s="38"/>
    </row>
    <row r="40189">
      <c r="P40189" s="42"/>
      <c r="AB40189" s="38"/>
    </row>
    <row r="40190">
      <c r="P40190" s="42"/>
      <c r="AB40190" s="38"/>
    </row>
    <row r="40191">
      <c r="P40191" s="42"/>
      <c r="AB40191" s="38"/>
    </row>
    <row r="40192">
      <c r="P40192" s="42"/>
      <c r="AB40192" s="38"/>
    </row>
    <row r="40193">
      <c r="P40193" s="42"/>
      <c r="AB40193" s="38"/>
    </row>
    <row r="40194">
      <c r="P40194" s="42"/>
      <c r="AB40194" s="38"/>
    </row>
    <row r="40195">
      <c r="P40195" s="42"/>
      <c r="AB40195" s="38"/>
    </row>
    <row r="40196">
      <c r="P40196" s="42"/>
      <c r="AB40196" s="38"/>
    </row>
    <row r="40197">
      <c r="P40197" s="42"/>
      <c r="AB40197" s="38"/>
    </row>
    <row r="40198">
      <c r="P40198" s="42"/>
      <c r="AB40198" s="38"/>
    </row>
    <row r="40199">
      <c r="P40199" s="42"/>
      <c r="AB40199" s="38"/>
    </row>
    <row r="40200">
      <c r="P40200" s="42"/>
      <c r="AB40200" s="38"/>
    </row>
    <row r="40201">
      <c r="P40201" s="42"/>
      <c r="AB40201" s="38"/>
    </row>
    <row r="40202">
      <c r="P40202" s="42"/>
      <c r="AB40202" s="38"/>
    </row>
    <row r="40203">
      <c r="P40203" s="42"/>
      <c r="AB40203" s="38"/>
    </row>
    <row r="40204">
      <c r="P40204" s="42"/>
      <c r="AB40204" s="38"/>
    </row>
    <row r="40205">
      <c r="P40205" s="42"/>
      <c r="AB40205" s="38"/>
    </row>
    <row r="40206">
      <c r="P40206" s="42"/>
      <c r="AB40206" s="38"/>
    </row>
    <row r="40207">
      <c r="P40207" s="42"/>
      <c r="AB40207" s="38"/>
    </row>
    <row r="40208">
      <c r="P40208" s="42"/>
      <c r="AB40208" s="38"/>
    </row>
    <row r="40209">
      <c r="P40209" s="42"/>
      <c r="AB40209" s="38"/>
    </row>
    <row r="40210">
      <c r="P40210" s="42"/>
      <c r="AB40210" s="38"/>
    </row>
    <row r="40211">
      <c r="P40211" s="42"/>
      <c r="AB40211" s="38"/>
    </row>
    <row r="40212">
      <c r="P40212" s="42"/>
      <c r="AB40212" s="38"/>
    </row>
    <row r="40213">
      <c r="P40213" s="42"/>
      <c r="AB40213" s="38"/>
    </row>
    <row r="40214">
      <c r="P40214" s="42"/>
      <c r="AB40214" s="38"/>
    </row>
    <row r="40215">
      <c r="P40215" s="42"/>
      <c r="AB40215" s="38"/>
    </row>
    <row r="40216">
      <c r="P40216" s="42"/>
      <c r="AB40216" s="38"/>
    </row>
    <row r="40217">
      <c r="P40217" s="42"/>
      <c r="AB40217" s="38"/>
    </row>
    <row r="40218">
      <c r="P40218" s="42"/>
      <c r="AB40218" s="38"/>
    </row>
    <row r="40219">
      <c r="P40219" s="42"/>
      <c r="AB40219" s="38"/>
    </row>
    <row r="40220">
      <c r="P40220" s="42"/>
      <c r="AB40220" s="38"/>
    </row>
    <row r="40221">
      <c r="P40221" s="42"/>
      <c r="AB40221" s="38"/>
    </row>
    <row r="40222">
      <c r="P40222" s="42"/>
      <c r="AB40222" s="38"/>
    </row>
    <row r="40223">
      <c r="P40223" s="42"/>
      <c r="AB40223" s="38"/>
    </row>
    <row r="40224">
      <c r="P40224" s="42"/>
      <c r="AB40224" s="38"/>
    </row>
    <row r="40225">
      <c r="P40225" s="42"/>
      <c r="AB40225" s="38"/>
    </row>
    <row r="40226">
      <c r="P40226" s="42"/>
      <c r="AB40226" s="38"/>
    </row>
    <row r="40227">
      <c r="P40227" s="42"/>
      <c r="AB40227" s="38"/>
    </row>
    <row r="40228">
      <c r="P40228" s="42"/>
      <c r="AB40228" s="38"/>
    </row>
    <row r="40229">
      <c r="P40229" s="42"/>
      <c r="AB40229" s="38"/>
    </row>
    <row r="40230">
      <c r="P40230" s="42"/>
      <c r="AB40230" s="38"/>
    </row>
    <row r="40231">
      <c r="P40231" s="42"/>
      <c r="AB40231" s="38"/>
    </row>
    <row r="40232">
      <c r="P40232" s="42"/>
      <c r="AB40232" s="38"/>
    </row>
    <row r="40233">
      <c r="P40233" s="42"/>
      <c r="AB40233" s="38"/>
    </row>
    <row r="40234">
      <c r="P40234" s="42"/>
      <c r="AB40234" s="38"/>
    </row>
    <row r="40235">
      <c r="P40235" s="42"/>
      <c r="AB40235" s="38"/>
    </row>
    <row r="40236">
      <c r="P40236" s="42"/>
      <c r="AB40236" s="38"/>
    </row>
    <row r="40237">
      <c r="P40237" s="42"/>
      <c r="AB40237" s="38"/>
    </row>
    <row r="40238">
      <c r="P40238" s="42"/>
      <c r="AB40238" s="38"/>
    </row>
    <row r="40239">
      <c r="P40239" s="42"/>
      <c r="AB40239" s="38"/>
    </row>
    <row r="40240">
      <c r="P40240" s="42"/>
      <c r="AB40240" s="38"/>
    </row>
    <row r="40241">
      <c r="P40241" s="42"/>
      <c r="AB40241" s="38"/>
    </row>
    <row r="40242">
      <c r="P40242" s="42"/>
      <c r="AB40242" s="38"/>
    </row>
    <row r="40243">
      <c r="P40243" s="42"/>
      <c r="AB40243" s="38"/>
    </row>
    <row r="40244">
      <c r="P40244" s="42"/>
      <c r="AB40244" s="38"/>
    </row>
    <row r="40245">
      <c r="P40245" s="42"/>
      <c r="AB40245" s="38"/>
    </row>
    <row r="40246">
      <c r="P40246" s="42"/>
      <c r="AB40246" s="38"/>
    </row>
    <row r="40247">
      <c r="P40247" s="42"/>
      <c r="AB40247" s="38"/>
    </row>
    <row r="40248">
      <c r="P40248" s="42"/>
      <c r="AB40248" s="38"/>
    </row>
    <row r="40249">
      <c r="P40249" s="42"/>
      <c r="AB40249" s="38"/>
    </row>
    <row r="40250">
      <c r="P40250" s="42"/>
      <c r="AB40250" s="38"/>
    </row>
    <row r="40251">
      <c r="P40251" s="42"/>
      <c r="AB40251" s="38"/>
    </row>
    <row r="40252">
      <c r="P40252" s="42"/>
      <c r="AB40252" s="38"/>
    </row>
    <row r="40253">
      <c r="P40253" s="42"/>
      <c r="AB40253" s="38"/>
    </row>
    <row r="40254">
      <c r="P40254" s="42"/>
      <c r="AB40254" s="38"/>
    </row>
    <row r="40255">
      <c r="P40255" s="42"/>
      <c r="AB40255" s="38"/>
    </row>
    <row r="40256">
      <c r="P40256" s="42"/>
      <c r="AB40256" s="38"/>
    </row>
    <row r="40257">
      <c r="P40257" s="42"/>
      <c r="AB40257" s="38"/>
    </row>
    <row r="40258">
      <c r="P40258" s="42"/>
      <c r="AB40258" s="38"/>
    </row>
    <row r="40259">
      <c r="P40259" s="42"/>
      <c r="AB40259" s="38"/>
    </row>
    <row r="40260">
      <c r="P40260" s="42"/>
      <c r="AB40260" s="38"/>
    </row>
    <row r="40261">
      <c r="P40261" s="42"/>
      <c r="AB40261" s="38"/>
    </row>
    <row r="40262">
      <c r="P40262" s="42"/>
      <c r="AB40262" s="38"/>
    </row>
    <row r="40263">
      <c r="P40263" s="42"/>
      <c r="AB40263" s="38"/>
    </row>
    <row r="40264">
      <c r="P40264" s="42"/>
      <c r="AB40264" s="38"/>
    </row>
    <row r="40265">
      <c r="P40265" s="42"/>
      <c r="AB40265" s="38"/>
    </row>
    <row r="40266">
      <c r="P40266" s="42"/>
      <c r="AB40266" s="38"/>
    </row>
    <row r="40267">
      <c r="P40267" s="42"/>
      <c r="AB40267" s="38"/>
    </row>
    <row r="40268">
      <c r="P40268" s="42"/>
      <c r="AB40268" s="38"/>
    </row>
    <row r="40269">
      <c r="P40269" s="42"/>
      <c r="AB40269" s="38"/>
    </row>
    <row r="40270">
      <c r="P40270" s="42"/>
      <c r="AB40270" s="38"/>
    </row>
    <row r="40271">
      <c r="P40271" s="42"/>
      <c r="AB40271" s="38"/>
    </row>
    <row r="40272">
      <c r="P40272" s="42"/>
      <c r="AB40272" s="38"/>
    </row>
    <row r="40273">
      <c r="P40273" s="42"/>
      <c r="AB40273" s="38"/>
    </row>
    <row r="40274">
      <c r="P40274" s="42"/>
      <c r="AB40274" s="38"/>
    </row>
    <row r="40275">
      <c r="P40275" s="42"/>
      <c r="AB40275" s="38"/>
    </row>
    <row r="40276">
      <c r="P40276" s="42"/>
      <c r="AB40276" s="38"/>
    </row>
    <row r="40277">
      <c r="P40277" s="42"/>
      <c r="AB40277" s="38"/>
    </row>
    <row r="40278">
      <c r="P40278" s="42"/>
      <c r="AB40278" s="38"/>
    </row>
    <row r="40279">
      <c r="P40279" s="42"/>
      <c r="AB40279" s="38"/>
    </row>
    <row r="40280">
      <c r="P40280" s="42"/>
      <c r="AB40280" s="38"/>
    </row>
    <row r="40281">
      <c r="P40281" s="42"/>
      <c r="AB40281" s="38"/>
    </row>
    <row r="40282">
      <c r="P40282" s="42"/>
      <c r="AB40282" s="38"/>
    </row>
    <row r="40283">
      <c r="P40283" s="42"/>
      <c r="AB40283" s="38"/>
    </row>
    <row r="40284">
      <c r="P40284" s="42"/>
      <c r="AB40284" s="38"/>
    </row>
    <row r="40285">
      <c r="P40285" s="42"/>
      <c r="AB40285" s="38"/>
    </row>
    <row r="40286">
      <c r="P40286" s="42"/>
      <c r="AB40286" s="38"/>
    </row>
    <row r="40287">
      <c r="P40287" s="42"/>
      <c r="AB40287" s="38"/>
    </row>
    <row r="40288">
      <c r="P40288" s="42"/>
      <c r="AB40288" s="38"/>
    </row>
    <row r="40289">
      <c r="P40289" s="42"/>
      <c r="AB40289" s="38"/>
    </row>
    <row r="40290">
      <c r="P40290" s="42"/>
      <c r="AB40290" s="38"/>
    </row>
    <row r="40291">
      <c r="P40291" s="42"/>
      <c r="AB40291" s="38"/>
    </row>
    <row r="40292">
      <c r="P40292" s="42"/>
      <c r="AB40292" s="38"/>
    </row>
    <row r="40293">
      <c r="P40293" s="42"/>
      <c r="AB40293" s="38"/>
    </row>
    <row r="40294">
      <c r="P40294" s="42"/>
      <c r="AB40294" s="38"/>
    </row>
    <row r="40295">
      <c r="P40295" s="42"/>
      <c r="AB40295" s="38"/>
    </row>
    <row r="40296">
      <c r="P40296" s="42"/>
      <c r="AB40296" s="38"/>
    </row>
    <row r="40297">
      <c r="P40297" s="42"/>
      <c r="AB40297" s="38"/>
    </row>
    <row r="40298">
      <c r="P40298" s="42"/>
      <c r="AB40298" s="38"/>
    </row>
    <row r="40299">
      <c r="P40299" s="42"/>
      <c r="AB40299" s="38"/>
    </row>
    <row r="40300">
      <c r="P40300" s="42"/>
      <c r="AB40300" s="38"/>
    </row>
    <row r="40301">
      <c r="P40301" s="42"/>
      <c r="AB40301" s="38"/>
    </row>
    <row r="40302">
      <c r="P40302" s="42"/>
      <c r="AB40302" s="38"/>
    </row>
    <row r="40303">
      <c r="P40303" s="42"/>
      <c r="AB40303" s="38"/>
    </row>
    <row r="40304">
      <c r="P40304" s="42"/>
      <c r="AB40304" s="38"/>
    </row>
    <row r="40305">
      <c r="P40305" s="42"/>
      <c r="AB40305" s="38"/>
    </row>
    <row r="40306">
      <c r="P40306" s="42"/>
      <c r="AB40306" s="38"/>
    </row>
    <row r="40307">
      <c r="P40307" s="42"/>
      <c r="AB40307" s="38"/>
    </row>
    <row r="40308">
      <c r="P40308" s="42"/>
      <c r="AB40308" s="38"/>
    </row>
    <row r="40309">
      <c r="P40309" s="42"/>
      <c r="AB40309" s="38"/>
    </row>
    <row r="40310">
      <c r="P40310" s="42"/>
      <c r="AB40310" s="38"/>
    </row>
    <row r="40311">
      <c r="P40311" s="42"/>
      <c r="AB40311" s="38"/>
    </row>
    <row r="40312">
      <c r="P40312" s="42"/>
      <c r="AB40312" s="38"/>
    </row>
    <row r="40313">
      <c r="P40313" s="42"/>
      <c r="AB40313" s="38"/>
    </row>
    <row r="40314">
      <c r="P40314" s="42"/>
      <c r="AB40314" s="38"/>
    </row>
    <row r="40315">
      <c r="P40315" s="42"/>
      <c r="AB40315" s="38"/>
    </row>
    <row r="40316">
      <c r="P40316" s="42"/>
      <c r="AB40316" s="38"/>
    </row>
    <row r="40317">
      <c r="P40317" s="42"/>
      <c r="AB40317" s="38"/>
    </row>
    <row r="40318">
      <c r="P40318" s="42"/>
      <c r="AB40318" s="38"/>
    </row>
    <row r="40319">
      <c r="P40319" s="42"/>
      <c r="AB40319" s="38"/>
    </row>
    <row r="40320">
      <c r="P40320" s="42"/>
      <c r="AB40320" s="38"/>
    </row>
    <row r="40321">
      <c r="P40321" s="42"/>
      <c r="AB40321" s="38"/>
    </row>
    <row r="40322">
      <c r="P40322" s="42"/>
      <c r="AB40322" s="38"/>
    </row>
    <row r="40323">
      <c r="P40323" s="42"/>
      <c r="AB40323" s="38"/>
    </row>
    <row r="40324">
      <c r="P40324" s="42"/>
      <c r="AB40324" s="38"/>
    </row>
    <row r="40325">
      <c r="P40325" s="42"/>
      <c r="AB40325" s="38"/>
    </row>
    <row r="40326">
      <c r="P40326" s="42"/>
      <c r="AB40326" s="38"/>
    </row>
    <row r="40327">
      <c r="P40327" s="42"/>
      <c r="AB40327" s="38"/>
    </row>
    <row r="40328">
      <c r="P40328" s="42"/>
      <c r="AB40328" s="38"/>
    </row>
    <row r="40329">
      <c r="P40329" s="42"/>
      <c r="AB40329" s="38"/>
    </row>
    <row r="40330">
      <c r="P40330" s="42"/>
      <c r="AB40330" s="38"/>
    </row>
    <row r="40331">
      <c r="P40331" s="42"/>
      <c r="AB40331" s="38"/>
    </row>
    <row r="40332">
      <c r="P40332" s="42"/>
      <c r="AB40332" s="38"/>
    </row>
    <row r="40333">
      <c r="P40333" s="42"/>
      <c r="AB40333" s="38"/>
    </row>
    <row r="40334">
      <c r="P40334" s="42"/>
      <c r="AB40334" s="38"/>
    </row>
    <row r="40335">
      <c r="P40335" s="42"/>
      <c r="AB40335" s="38"/>
    </row>
    <row r="40336">
      <c r="P40336" s="42"/>
      <c r="AB40336" s="38"/>
    </row>
    <row r="40337">
      <c r="P40337" s="42"/>
      <c r="AB40337" s="38"/>
    </row>
    <row r="40338">
      <c r="P40338" s="42"/>
      <c r="AB40338" s="38"/>
    </row>
    <row r="40339">
      <c r="P40339" s="42"/>
      <c r="AB40339" s="38"/>
    </row>
    <row r="40340">
      <c r="P40340" s="42"/>
      <c r="AB40340" s="38"/>
    </row>
    <row r="40341">
      <c r="P40341" s="42"/>
      <c r="AB40341" s="38"/>
    </row>
    <row r="40342">
      <c r="P40342" s="42"/>
      <c r="AB40342" s="38"/>
    </row>
    <row r="40343">
      <c r="P40343" s="42"/>
      <c r="AB40343" s="38"/>
    </row>
    <row r="40344">
      <c r="P40344" s="42"/>
      <c r="AB40344" s="38"/>
    </row>
    <row r="40345">
      <c r="P40345" s="42"/>
      <c r="AB40345" s="38"/>
    </row>
    <row r="40346">
      <c r="P40346" s="42"/>
      <c r="AB40346" s="38"/>
    </row>
    <row r="40347">
      <c r="P40347" s="42"/>
      <c r="AB40347" s="38"/>
    </row>
    <row r="40348">
      <c r="P40348" s="42"/>
      <c r="AB40348" s="38"/>
    </row>
    <row r="40349">
      <c r="P40349" s="42"/>
      <c r="AB40349" s="38"/>
    </row>
    <row r="40350">
      <c r="P40350" s="42"/>
      <c r="AB40350" s="38"/>
    </row>
    <row r="40351">
      <c r="P40351" s="42"/>
      <c r="AB40351" s="38"/>
    </row>
    <row r="40352">
      <c r="P40352" s="42"/>
      <c r="AB40352" s="38"/>
    </row>
    <row r="40353">
      <c r="P40353" s="42"/>
      <c r="AB40353" s="38"/>
    </row>
    <row r="40354">
      <c r="P40354" s="42"/>
      <c r="AB40354" s="38"/>
    </row>
    <row r="40355">
      <c r="P40355" s="42"/>
      <c r="AB40355" s="38"/>
    </row>
    <row r="40356">
      <c r="P40356" s="42"/>
      <c r="AB40356" s="38"/>
    </row>
    <row r="40357">
      <c r="P40357" s="42"/>
      <c r="AB40357" s="38"/>
    </row>
    <row r="40358">
      <c r="P40358" s="42"/>
      <c r="AB40358" s="38"/>
    </row>
    <row r="40359">
      <c r="P40359" s="42"/>
      <c r="AB40359" s="38"/>
    </row>
    <row r="40360">
      <c r="P40360" s="42"/>
      <c r="AB40360" s="38"/>
    </row>
    <row r="40361">
      <c r="P40361" s="42"/>
      <c r="AB40361" s="38"/>
    </row>
    <row r="40362">
      <c r="P40362" s="42"/>
      <c r="AB40362" s="38"/>
    </row>
    <row r="40363">
      <c r="P40363" s="42"/>
      <c r="AB40363" s="38"/>
    </row>
    <row r="40364">
      <c r="P40364" s="42"/>
      <c r="AB40364" s="38"/>
    </row>
    <row r="40365">
      <c r="P40365" s="42"/>
      <c r="AB40365" s="38"/>
    </row>
    <row r="40366">
      <c r="P40366" s="42"/>
      <c r="AB40366" s="38"/>
    </row>
    <row r="40367">
      <c r="P40367" s="42"/>
      <c r="AB40367" s="38"/>
    </row>
    <row r="40368">
      <c r="P40368" s="42"/>
      <c r="AB40368" s="38"/>
    </row>
    <row r="40369">
      <c r="P40369" s="42"/>
      <c r="AB40369" s="38"/>
    </row>
    <row r="40370">
      <c r="P40370" s="42"/>
      <c r="AB40370" s="38"/>
    </row>
    <row r="40371">
      <c r="P40371" s="42"/>
      <c r="AB40371" s="38"/>
    </row>
    <row r="40372">
      <c r="P40372" s="42"/>
      <c r="AB40372" s="38"/>
    </row>
    <row r="40373">
      <c r="P40373" s="42"/>
      <c r="AB40373" s="38"/>
    </row>
    <row r="40374">
      <c r="P40374" s="42"/>
      <c r="AB40374" s="38"/>
    </row>
    <row r="40375">
      <c r="P40375" s="42"/>
      <c r="AB40375" s="38"/>
    </row>
    <row r="40376">
      <c r="P40376" s="42"/>
      <c r="AB40376" s="38"/>
    </row>
    <row r="40377">
      <c r="P40377" s="42"/>
      <c r="AB40377" s="38"/>
    </row>
    <row r="40378">
      <c r="P40378" s="42"/>
      <c r="AB40378" s="38"/>
    </row>
    <row r="40379">
      <c r="P40379" s="42"/>
      <c r="AB40379" s="38"/>
    </row>
    <row r="40380">
      <c r="P40380" s="42"/>
      <c r="AB40380" s="38"/>
    </row>
    <row r="40381">
      <c r="P40381" s="42"/>
      <c r="AB40381" s="38"/>
    </row>
    <row r="40382">
      <c r="P40382" s="42"/>
      <c r="AB40382" s="38"/>
    </row>
    <row r="40383">
      <c r="P40383" s="42"/>
      <c r="AB40383" s="38"/>
    </row>
    <row r="40384">
      <c r="P40384" s="42"/>
      <c r="AB40384" s="38"/>
    </row>
    <row r="40385">
      <c r="P40385" s="42"/>
      <c r="AB40385" s="38"/>
    </row>
    <row r="40386">
      <c r="P40386" s="42"/>
      <c r="AB40386" s="38"/>
    </row>
    <row r="40387">
      <c r="P40387" s="42"/>
      <c r="AB40387" s="38"/>
    </row>
    <row r="40388">
      <c r="P40388" s="42"/>
      <c r="AB40388" s="38"/>
    </row>
    <row r="40389">
      <c r="P40389" s="42"/>
      <c r="AB40389" s="38"/>
    </row>
    <row r="40390">
      <c r="P40390" s="42"/>
      <c r="AB40390" s="38"/>
    </row>
    <row r="40391">
      <c r="P40391" s="42"/>
      <c r="AB40391" s="38"/>
    </row>
    <row r="40392">
      <c r="P40392" s="42"/>
      <c r="AB40392" s="38"/>
    </row>
    <row r="40393">
      <c r="P40393" s="42"/>
      <c r="AB40393" s="38"/>
    </row>
    <row r="40394">
      <c r="P40394" s="42"/>
      <c r="AB40394" s="38"/>
    </row>
    <row r="40395">
      <c r="P40395" s="42"/>
      <c r="AB40395" s="38"/>
    </row>
    <row r="40396">
      <c r="P40396" s="42"/>
      <c r="AB40396" s="38"/>
    </row>
    <row r="40397">
      <c r="P40397" s="42"/>
      <c r="AB40397" s="38"/>
    </row>
    <row r="40398">
      <c r="P40398" s="42"/>
      <c r="AB40398" s="38"/>
    </row>
    <row r="40399">
      <c r="P40399" s="42"/>
      <c r="AB40399" s="38"/>
    </row>
    <row r="40400">
      <c r="P40400" s="42"/>
      <c r="AB40400" s="38"/>
    </row>
    <row r="40401">
      <c r="P40401" s="42"/>
      <c r="AB40401" s="38"/>
    </row>
    <row r="40402">
      <c r="P40402" s="42"/>
      <c r="AB40402" s="38"/>
    </row>
    <row r="40403">
      <c r="P40403" s="42"/>
      <c r="AB40403" s="38"/>
    </row>
    <row r="40404">
      <c r="P40404" s="42"/>
      <c r="AB40404" s="38"/>
    </row>
    <row r="40405">
      <c r="P40405" s="42"/>
      <c r="AB40405" s="38"/>
    </row>
    <row r="40406">
      <c r="P40406" s="42"/>
      <c r="AB40406" s="38"/>
    </row>
    <row r="40407">
      <c r="P40407" s="42"/>
      <c r="AB40407" s="38"/>
    </row>
    <row r="40408">
      <c r="P40408" s="42"/>
      <c r="AB40408" s="38"/>
    </row>
    <row r="40409">
      <c r="P40409" s="42"/>
      <c r="AB40409" s="38"/>
    </row>
    <row r="40410">
      <c r="P40410" s="42"/>
      <c r="AB40410" s="38"/>
    </row>
    <row r="40411">
      <c r="P40411" s="42"/>
      <c r="AB40411" s="38"/>
    </row>
    <row r="40412">
      <c r="P40412" s="42"/>
      <c r="AB40412" s="38"/>
    </row>
    <row r="40413">
      <c r="P40413" s="42"/>
      <c r="AB40413" s="38"/>
    </row>
    <row r="40414">
      <c r="P40414" s="42"/>
      <c r="AB40414" s="38"/>
    </row>
    <row r="40415">
      <c r="P40415" s="42"/>
      <c r="AB40415" s="38"/>
    </row>
    <row r="40416">
      <c r="P40416" s="42"/>
      <c r="AB40416" s="38"/>
    </row>
    <row r="40417">
      <c r="P40417" s="42"/>
      <c r="AB40417" s="38"/>
    </row>
    <row r="40418">
      <c r="P40418" s="42"/>
      <c r="AB40418" s="38"/>
    </row>
    <row r="40419">
      <c r="P40419" s="42"/>
      <c r="AB40419" s="38"/>
    </row>
    <row r="40420">
      <c r="P40420" s="42"/>
      <c r="AB40420" s="38"/>
    </row>
    <row r="40421">
      <c r="P40421" s="42"/>
      <c r="AB40421" s="38"/>
    </row>
    <row r="40422">
      <c r="P40422" s="42"/>
      <c r="AB40422" s="38"/>
    </row>
    <row r="40423">
      <c r="P40423" s="42"/>
      <c r="AB40423" s="38"/>
    </row>
    <row r="40424">
      <c r="P40424" s="42"/>
      <c r="AB40424" s="38"/>
    </row>
    <row r="40425">
      <c r="P40425" s="42"/>
      <c r="AB40425" s="38"/>
    </row>
    <row r="40426">
      <c r="P40426" s="42"/>
      <c r="AB40426" s="38"/>
    </row>
    <row r="40427">
      <c r="P40427" s="42"/>
      <c r="AB40427" s="38"/>
    </row>
    <row r="40428">
      <c r="P40428" s="42"/>
      <c r="AB40428" s="38"/>
    </row>
    <row r="40429">
      <c r="P40429" s="42"/>
      <c r="AB40429" s="38"/>
    </row>
    <row r="40430">
      <c r="P40430" s="42"/>
      <c r="AB40430" s="38"/>
    </row>
    <row r="40431">
      <c r="P40431" s="42"/>
      <c r="AB40431" s="38"/>
    </row>
    <row r="40432">
      <c r="P40432" s="42"/>
      <c r="AB40432" s="38"/>
    </row>
    <row r="40433">
      <c r="P40433" s="42"/>
      <c r="AB40433" s="38"/>
    </row>
    <row r="40434">
      <c r="P40434" s="42"/>
      <c r="AB40434" s="38"/>
    </row>
    <row r="40435">
      <c r="P40435" s="42"/>
      <c r="AB40435" s="38"/>
    </row>
    <row r="40436">
      <c r="P40436" s="42"/>
      <c r="AB40436" s="38"/>
    </row>
    <row r="40437">
      <c r="P40437" s="42"/>
      <c r="AB40437" s="38"/>
    </row>
    <row r="40438">
      <c r="P40438" s="42"/>
      <c r="AB40438" s="38"/>
    </row>
    <row r="40439">
      <c r="P40439" s="42"/>
      <c r="AB40439" s="38"/>
    </row>
    <row r="40440">
      <c r="P40440" s="42"/>
      <c r="AB40440" s="38"/>
    </row>
    <row r="40441">
      <c r="P40441" s="42"/>
      <c r="AB40441" s="38"/>
    </row>
    <row r="40442">
      <c r="P40442" s="42"/>
      <c r="AB40442" s="38"/>
    </row>
    <row r="40443">
      <c r="P40443" s="42"/>
      <c r="AB40443" s="38"/>
    </row>
    <row r="40444">
      <c r="P40444" s="42"/>
      <c r="AB40444" s="38"/>
    </row>
    <row r="40445">
      <c r="P40445" s="42"/>
      <c r="AB40445" s="38"/>
    </row>
    <row r="40446">
      <c r="P40446" s="42"/>
      <c r="AB40446" s="38"/>
    </row>
    <row r="40447">
      <c r="P40447" s="42"/>
      <c r="AB40447" s="38"/>
    </row>
    <row r="40448">
      <c r="P40448" s="42"/>
      <c r="AB40448" s="38"/>
    </row>
    <row r="40449">
      <c r="P40449" s="42"/>
      <c r="AB40449" s="38"/>
    </row>
    <row r="40450">
      <c r="P40450" s="42"/>
      <c r="AB40450" s="38"/>
    </row>
    <row r="40451">
      <c r="P40451" s="42"/>
      <c r="AB40451" s="38"/>
    </row>
    <row r="40452">
      <c r="P40452" s="42"/>
      <c r="AB40452" s="38"/>
    </row>
    <row r="40453">
      <c r="P40453" s="42"/>
      <c r="AB40453" s="38"/>
    </row>
    <row r="40454">
      <c r="P40454" s="42"/>
      <c r="AB40454" s="38"/>
    </row>
    <row r="40455">
      <c r="P40455" s="42"/>
      <c r="AB40455" s="38"/>
    </row>
    <row r="40456">
      <c r="P40456" s="42"/>
      <c r="AB40456" s="38"/>
    </row>
    <row r="40457">
      <c r="P40457" s="42"/>
      <c r="AB40457" s="38"/>
    </row>
    <row r="40458">
      <c r="P40458" s="42"/>
      <c r="AB40458" s="38"/>
    </row>
    <row r="40459">
      <c r="P40459" s="42"/>
      <c r="AB40459" s="38"/>
    </row>
    <row r="40460">
      <c r="P40460" s="42"/>
      <c r="AB40460" s="38"/>
    </row>
    <row r="40461">
      <c r="P40461" s="42"/>
      <c r="AB40461" s="38"/>
    </row>
    <row r="40462">
      <c r="P40462" s="42"/>
      <c r="AB40462" s="38"/>
    </row>
    <row r="40463">
      <c r="P40463" s="42"/>
      <c r="AB40463" s="38"/>
    </row>
    <row r="40464">
      <c r="P40464" s="42"/>
      <c r="AB40464" s="38"/>
    </row>
    <row r="40465">
      <c r="P40465" s="42"/>
      <c r="AB40465" s="38"/>
    </row>
    <row r="40466">
      <c r="P40466" s="42"/>
      <c r="AB40466" s="38"/>
    </row>
    <row r="40467">
      <c r="P40467" s="42"/>
      <c r="AB40467" s="38"/>
    </row>
    <row r="40468">
      <c r="P40468" s="42"/>
      <c r="AB40468" s="38"/>
    </row>
    <row r="40469">
      <c r="P40469" s="42"/>
      <c r="AB40469" s="38"/>
    </row>
    <row r="40470">
      <c r="P40470" s="42"/>
      <c r="AB40470" s="38"/>
    </row>
    <row r="40471">
      <c r="P40471" s="42"/>
      <c r="AB40471" s="38"/>
    </row>
    <row r="40472">
      <c r="P40472" s="42"/>
      <c r="AB40472" s="38"/>
    </row>
    <row r="40473">
      <c r="P40473" s="42"/>
      <c r="AB40473" s="38"/>
    </row>
    <row r="40474">
      <c r="P40474" s="42"/>
      <c r="AB40474" s="38"/>
    </row>
    <row r="40475">
      <c r="P40475" s="42"/>
      <c r="AB40475" s="38"/>
    </row>
    <row r="40476">
      <c r="P40476" s="42"/>
      <c r="AB40476" s="38"/>
    </row>
    <row r="40477">
      <c r="P40477" s="42"/>
      <c r="AB40477" s="38"/>
    </row>
    <row r="40478">
      <c r="P40478" s="42"/>
      <c r="AB40478" s="38"/>
    </row>
    <row r="40479">
      <c r="P40479" s="42"/>
      <c r="AB40479" s="38"/>
    </row>
    <row r="40480">
      <c r="P40480" s="42"/>
      <c r="AB40480" s="38"/>
    </row>
    <row r="40481">
      <c r="P40481" s="42"/>
      <c r="AB40481" s="38"/>
    </row>
    <row r="40482">
      <c r="P40482" s="42"/>
      <c r="AB40482" s="38"/>
    </row>
    <row r="40483">
      <c r="P40483" s="42"/>
      <c r="AB40483" s="38"/>
    </row>
    <row r="40484">
      <c r="P40484" s="42"/>
      <c r="AB40484" s="38"/>
    </row>
    <row r="40485">
      <c r="P40485" s="42"/>
      <c r="AB40485" s="38"/>
    </row>
    <row r="40486">
      <c r="P40486" s="42"/>
      <c r="AB40486" s="38"/>
    </row>
    <row r="40487">
      <c r="P40487" s="42"/>
      <c r="AB40487" s="38"/>
    </row>
    <row r="40488">
      <c r="P40488" s="42"/>
      <c r="AB40488" s="38"/>
    </row>
    <row r="40489">
      <c r="P40489" s="42"/>
      <c r="AB40489" s="38"/>
    </row>
    <row r="40490">
      <c r="P40490" s="42"/>
      <c r="AB40490" s="38"/>
    </row>
    <row r="40491">
      <c r="P40491" s="42"/>
      <c r="AB40491" s="38"/>
    </row>
    <row r="40492">
      <c r="P40492" s="42"/>
      <c r="AB40492" s="38"/>
    </row>
    <row r="40493">
      <c r="P40493" s="42"/>
      <c r="AB40493" s="38"/>
    </row>
    <row r="40494">
      <c r="P40494" s="42"/>
      <c r="AB40494" s="38"/>
    </row>
    <row r="40495">
      <c r="P40495" s="42"/>
      <c r="AB40495" s="38"/>
    </row>
    <row r="40496">
      <c r="P40496" s="42"/>
      <c r="AB40496" s="38"/>
    </row>
    <row r="40497">
      <c r="P40497" s="42"/>
      <c r="AB40497" s="38"/>
    </row>
    <row r="40498">
      <c r="P40498" s="42"/>
      <c r="AB40498" s="38"/>
    </row>
    <row r="40499">
      <c r="P40499" s="42"/>
      <c r="AB40499" s="38"/>
    </row>
    <row r="40500">
      <c r="P40500" s="42"/>
      <c r="AB40500" s="38"/>
    </row>
    <row r="40501">
      <c r="P40501" s="42"/>
      <c r="AB40501" s="38"/>
    </row>
    <row r="40502">
      <c r="P40502" s="42"/>
      <c r="AB40502" s="38"/>
    </row>
    <row r="40503">
      <c r="P40503" s="42"/>
      <c r="AB40503" s="38"/>
    </row>
    <row r="40504">
      <c r="P40504" s="42"/>
      <c r="AB40504" s="38"/>
    </row>
    <row r="40505">
      <c r="P40505" s="42"/>
      <c r="AB40505" s="38"/>
    </row>
    <row r="40506">
      <c r="P40506" s="42"/>
      <c r="AB40506" s="38"/>
    </row>
    <row r="40507">
      <c r="P40507" s="42"/>
      <c r="AB40507" s="38"/>
    </row>
    <row r="40508">
      <c r="P40508" s="42"/>
      <c r="AB40508" s="38"/>
    </row>
    <row r="40509">
      <c r="P40509" s="42"/>
      <c r="AB40509" s="38"/>
    </row>
    <row r="40510">
      <c r="P40510" s="42"/>
      <c r="AB40510" s="38"/>
    </row>
    <row r="40511">
      <c r="P40511" s="42"/>
      <c r="AB40511" s="38"/>
    </row>
    <row r="40512">
      <c r="P40512" s="42"/>
      <c r="AB40512" s="38"/>
    </row>
    <row r="40513">
      <c r="P40513" s="42"/>
      <c r="AB40513" s="38"/>
    </row>
    <row r="40514">
      <c r="P40514" s="42"/>
      <c r="AB40514" s="38"/>
    </row>
    <row r="40515">
      <c r="P40515" s="42"/>
      <c r="AB40515" s="38"/>
    </row>
    <row r="40516">
      <c r="P40516" s="42"/>
      <c r="AB40516" s="38"/>
    </row>
    <row r="40517">
      <c r="P40517" s="42"/>
      <c r="AB40517" s="38"/>
    </row>
    <row r="40518">
      <c r="P40518" s="42"/>
      <c r="AB40518" s="38"/>
    </row>
    <row r="40519">
      <c r="P40519" s="42"/>
      <c r="AB40519" s="38"/>
    </row>
    <row r="40520">
      <c r="P40520" s="42"/>
      <c r="AB40520" s="38"/>
    </row>
    <row r="40521">
      <c r="P40521" s="42"/>
      <c r="AB40521" s="38"/>
    </row>
    <row r="40522">
      <c r="P40522" s="42"/>
      <c r="AB40522" s="38"/>
    </row>
    <row r="40523">
      <c r="P40523" s="42"/>
      <c r="AB40523" s="38"/>
    </row>
    <row r="40524">
      <c r="P40524" s="42"/>
      <c r="AB40524" s="38"/>
    </row>
    <row r="40525">
      <c r="P40525" s="42"/>
      <c r="AB40525" s="38"/>
    </row>
    <row r="40526">
      <c r="P40526" s="42"/>
      <c r="AB40526" s="38"/>
    </row>
    <row r="40527">
      <c r="P40527" s="42"/>
      <c r="AB40527" s="38"/>
    </row>
    <row r="40528">
      <c r="P40528" s="42"/>
      <c r="AB40528" s="38"/>
    </row>
    <row r="40529">
      <c r="P40529" s="42"/>
      <c r="AB40529" s="38"/>
    </row>
    <row r="40530">
      <c r="P40530" s="42"/>
      <c r="AB40530" s="38"/>
    </row>
    <row r="40531">
      <c r="P40531" s="42"/>
      <c r="AB40531" s="38"/>
    </row>
    <row r="40532">
      <c r="P40532" s="42"/>
      <c r="AB40532" s="38"/>
    </row>
    <row r="40533">
      <c r="P40533" s="42"/>
      <c r="AB40533" s="38"/>
    </row>
    <row r="40534">
      <c r="P40534" s="42"/>
      <c r="AB40534" s="38"/>
    </row>
    <row r="40535">
      <c r="P40535" s="42"/>
      <c r="AB40535" s="38"/>
    </row>
    <row r="40536">
      <c r="P40536" s="42"/>
      <c r="AB40536" s="38"/>
    </row>
    <row r="40537">
      <c r="P40537" s="42"/>
      <c r="AB40537" s="38"/>
    </row>
    <row r="40538">
      <c r="P40538" s="42"/>
      <c r="AB40538" s="38"/>
    </row>
    <row r="40539">
      <c r="P40539" s="42"/>
      <c r="AB40539" s="38"/>
    </row>
    <row r="40540">
      <c r="P40540" s="42"/>
      <c r="AB40540" s="38"/>
    </row>
    <row r="40541">
      <c r="P40541" s="42"/>
      <c r="AB40541" s="38"/>
    </row>
    <row r="40542">
      <c r="P40542" s="42"/>
      <c r="AB40542" s="38"/>
    </row>
    <row r="40543">
      <c r="P40543" s="42"/>
      <c r="AB40543" s="38"/>
    </row>
    <row r="40544">
      <c r="P40544" s="42"/>
      <c r="AB40544" s="38"/>
    </row>
    <row r="40545">
      <c r="P40545" s="42"/>
      <c r="AB40545" s="38"/>
    </row>
    <row r="40546">
      <c r="P40546" s="42"/>
      <c r="AB40546" s="38"/>
    </row>
    <row r="40547">
      <c r="P40547" s="42"/>
      <c r="AB40547" s="38"/>
    </row>
    <row r="40548">
      <c r="P40548" s="42"/>
      <c r="AB40548" s="38"/>
    </row>
    <row r="40549">
      <c r="P40549" s="42"/>
      <c r="AB40549" s="38"/>
    </row>
    <row r="40550">
      <c r="P40550" s="42"/>
      <c r="AB40550" s="38"/>
    </row>
    <row r="40551">
      <c r="P40551" s="42"/>
      <c r="AB40551" s="38"/>
    </row>
    <row r="40552">
      <c r="P40552" s="42"/>
      <c r="AB40552" s="38"/>
    </row>
    <row r="40553">
      <c r="P40553" s="42"/>
      <c r="AB40553" s="38"/>
    </row>
    <row r="40554">
      <c r="P40554" s="42"/>
      <c r="AB40554" s="38"/>
    </row>
    <row r="40555">
      <c r="P40555" s="42"/>
      <c r="AB40555" s="38"/>
    </row>
    <row r="40556">
      <c r="P40556" s="42"/>
      <c r="AB40556" s="38"/>
    </row>
    <row r="40557">
      <c r="P40557" s="42"/>
      <c r="AB40557" s="38"/>
    </row>
    <row r="40558">
      <c r="P40558" s="42"/>
      <c r="AB40558" s="38"/>
    </row>
    <row r="40559">
      <c r="P40559" s="42"/>
      <c r="AB40559" s="38"/>
    </row>
    <row r="40560">
      <c r="P40560" s="42"/>
      <c r="AB40560" s="38"/>
    </row>
    <row r="40561">
      <c r="P40561" s="42"/>
      <c r="AB40561" s="38"/>
    </row>
    <row r="40562">
      <c r="P40562" s="42"/>
      <c r="AB40562" s="38"/>
    </row>
    <row r="40563">
      <c r="P40563" s="42"/>
      <c r="AB40563" s="38"/>
    </row>
    <row r="40564">
      <c r="P40564" s="42"/>
      <c r="AB40564" s="38"/>
    </row>
    <row r="40565">
      <c r="P40565" s="42"/>
      <c r="AB40565" s="38"/>
    </row>
    <row r="40566">
      <c r="P40566" s="42"/>
      <c r="AB40566" s="38"/>
    </row>
    <row r="40567">
      <c r="P40567" s="42"/>
      <c r="AB40567" s="38"/>
    </row>
    <row r="40568">
      <c r="P40568" s="42"/>
      <c r="AB40568" s="38"/>
    </row>
    <row r="40569">
      <c r="P40569" s="42"/>
      <c r="AB40569" s="38"/>
    </row>
    <row r="40570">
      <c r="P40570" s="42"/>
      <c r="AB40570" s="38"/>
    </row>
    <row r="40571">
      <c r="P40571" s="42"/>
      <c r="AB40571" s="38"/>
    </row>
    <row r="40572">
      <c r="P40572" s="42"/>
      <c r="AB40572" s="38"/>
    </row>
    <row r="40573">
      <c r="P40573" s="42"/>
      <c r="AB40573" s="38"/>
    </row>
    <row r="40574">
      <c r="P40574" s="42"/>
      <c r="AB40574" s="38"/>
    </row>
    <row r="40575">
      <c r="P40575" s="42"/>
      <c r="AB40575" s="38"/>
    </row>
    <row r="40576">
      <c r="P40576" s="42"/>
      <c r="AB40576" s="38"/>
    </row>
    <row r="40577">
      <c r="P40577" s="42"/>
      <c r="AB40577" s="38"/>
    </row>
    <row r="40578">
      <c r="P40578" s="42"/>
      <c r="AB40578" s="38"/>
    </row>
    <row r="40579">
      <c r="P40579" s="42"/>
      <c r="AB40579" s="38"/>
    </row>
    <row r="40580">
      <c r="P40580" s="42"/>
      <c r="AB40580" s="38"/>
    </row>
    <row r="40581">
      <c r="P40581" s="42"/>
      <c r="AB40581" s="38"/>
    </row>
    <row r="40582">
      <c r="P40582" s="42"/>
      <c r="AB40582" s="38"/>
    </row>
    <row r="40583">
      <c r="P40583" s="42"/>
      <c r="AB40583" s="38"/>
    </row>
    <row r="40584">
      <c r="P40584" s="42"/>
      <c r="AB40584" s="38"/>
    </row>
    <row r="40585">
      <c r="P40585" s="42"/>
      <c r="AB40585" s="38"/>
    </row>
    <row r="40586">
      <c r="P40586" s="42"/>
      <c r="AB40586" s="38"/>
    </row>
    <row r="40587">
      <c r="P40587" s="42"/>
      <c r="AB40587" s="38"/>
    </row>
    <row r="40588">
      <c r="P40588" s="42"/>
      <c r="AB40588" s="38"/>
    </row>
    <row r="40589">
      <c r="P40589" s="42"/>
      <c r="AB40589" s="38"/>
    </row>
    <row r="40590">
      <c r="P40590" s="42"/>
      <c r="AB40590" s="38"/>
    </row>
    <row r="40591">
      <c r="P40591" s="42"/>
      <c r="AB40591" s="38"/>
    </row>
    <row r="40592">
      <c r="P40592" s="42"/>
      <c r="AB40592" s="38"/>
    </row>
    <row r="40593">
      <c r="P40593" s="42"/>
      <c r="AB40593" s="38"/>
    </row>
    <row r="40594">
      <c r="P40594" s="42"/>
      <c r="AB40594" s="38"/>
    </row>
    <row r="40595">
      <c r="P40595" s="42"/>
      <c r="AB40595" s="38"/>
    </row>
    <row r="40596">
      <c r="P40596" s="42"/>
      <c r="AB40596" s="38"/>
    </row>
    <row r="40597">
      <c r="P40597" s="42"/>
      <c r="AB40597" s="38"/>
    </row>
    <row r="40598">
      <c r="P40598" s="42"/>
      <c r="AB40598" s="38"/>
    </row>
    <row r="40599">
      <c r="P40599" s="42"/>
      <c r="AB40599" s="38"/>
    </row>
    <row r="40600">
      <c r="P40600" s="42"/>
      <c r="AB40600" s="38"/>
    </row>
    <row r="40601">
      <c r="P40601" s="42"/>
      <c r="AB40601" s="38"/>
    </row>
    <row r="40602">
      <c r="P40602" s="42"/>
      <c r="AB40602" s="38"/>
    </row>
    <row r="40603">
      <c r="P40603" s="42"/>
      <c r="AB40603" s="38"/>
    </row>
    <row r="40604">
      <c r="P40604" s="42"/>
      <c r="AB40604" s="38"/>
    </row>
    <row r="40605">
      <c r="P40605" s="42"/>
      <c r="AB40605" s="38"/>
    </row>
    <row r="40606">
      <c r="P40606" s="42"/>
      <c r="AB40606" s="38"/>
    </row>
    <row r="40607">
      <c r="P40607" s="42"/>
      <c r="AB40607" s="38"/>
    </row>
    <row r="40608">
      <c r="P40608" s="42"/>
      <c r="AB40608" s="38"/>
    </row>
    <row r="40609">
      <c r="P40609" s="42"/>
      <c r="AB40609" s="38"/>
    </row>
    <row r="40610">
      <c r="P40610" s="42"/>
      <c r="AB40610" s="38"/>
    </row>
    <row r="40611">
      <c r="P40611" s="42"/>
      <c r="AB40611" s="38"/>
    </row>
    <row r="40612">
      <c r="P40612" s="42"/>
      <c r="AB40612" s="38"/>
    </row>
    <row r="40613">
      <c r="P40613" s="42"/>
      <c r="AB40613" s="38"/>
    </row>
    <row r="40614">
      <c r="P40614" s="42"/>
      <c r="AB40614" s="38"/>
    </row>
    <row r="40615">
      <c r="P40615" s="42"/>
      <c r="AB40615" s="38"/>
    </row>
    <row r="40616">
      <c r="P40616" s="42"/>
      <c r="AB40616" s="38"/>
    </row>
    <row r="40617">
      <c r="P40617" s="42"/>
      <c r="AB40617" s="38"/>
    </row>
    <row r="40618">
      <c r="P40618" s="42"/>
      <c r="AB40618" s="38"/>
    </row>
    <row r="40619">
      <c r="P40619" s="42"/>
      <c r="AB40619" s="38"/>
    </row>
    <row r="40620">
      <c r="P40620" s="42"/>
      <c r="AB40620" s="38"/>
    </row>
    <row r="40621">
      <c r="P40621" s="42"/>
      <c r="AB40621" s="38"/>
    </row>
    <row r="40622">
      <c r="P40622" s="42"/>
      <c r="AB40622" s="38"/>
    </row>
    <row r="40623">
      <c r="P40623" s="42"/>
      <c r="AB40623" s="38"/>
    </row>
    <row r="40624">
      <c r="P40624" s="42"/>
      <c r="AB40624" s="38"/>
    </row>
    <row r="40625">
      <c r="P40625" s="42"/>
      <c r="AB40625" s="38"/>
    </row>
    <row r="40626">
      <c r="P40626" s="42"/>
      <c r="AB40626" s="38"/>
    </row>
    <row r="40627">
      <c r="P40627" s="42"/>
      <c r="AB40627" s="38"/>
    </row>
    <row r="40628">
      <c r="P40628" s="42"/>
      <c r="AB40628" s="38"/>
    </row>
    <row r="40629">
      <c r="P40629" s="42"/>
      <c r="AB40629" s="38"/>
    </row>
    <row r="40630">
      <c r="P40630" s="42"/>
      <c r="AB40630" s="38"/>
    </row>
    <row r="40631">
      <c r="P40631" s="42"/>
      <c r="AB40631" s="38"/>
    </row>
    <row r="40632">
      <c r="P40632" s="42"/>
      <c r="AB40632" s="38"/>
    </row>
    <row r="40633">
      <c r="P40633" s="42"/>
      <c r="AB40633" s="38"/>
    </row>
    <row r="40634">
      <c r="P40634" s="42"/>
      <c r="AB40634" s="38"/>
    </row>
    <row r="40635">
      <c r="P40635" s="42"/>
      <c r="AB40635" s="38"/>
    </row>
    <row r="40636">
      <c r="P40636" s="42"/>
      <c r="AB40636" s="38"/>
    </row>
    <row r="40637">
      <c r="P40637" s="42"/>
      <c r="AB40637" s="38"/>
    </row>
    <row r="40638">
      <c r="P40638" s="42"/>
      <c r="AB40638" s="38"/>
    </row>
    <row r="40639">
      <c r="P40639" s="42"/>
      <c r="AB40639" s="38"/>
    </row>
    <row r="40640">
      <c r="P40640" s="42"/>
      <c r="AB40640" s="38"/>
    </row>
    <row r="40641">
      <c r="P40641" s="42"/>
      <c r="AB40641" s="38"/>
    </row>
    <row r="40642">
      <c r="P40642" s="42"/>
      <c r="AB40642" s="38"/>
    </row>
    <row r="40643">
      <c r="P40643" s="42"/>
      <c r="AB40643" s="38"/>
    </row>
    <row r="40644">
      <c r="P40644" s="42"/>
      <c r="AB40644" s="38"/>
    </row>
    <row r="40645">
      <c r="P40645" s="42"/>
      <c r="AB40645" s="38"/>
    </row>
    <row r="40646">
      <c r="P40646" s="42"/>
      <c r="AB40646" s="38"/>
    </row>
    <row r="40647">
      <c r="P40647" s="42"/>
      <c r="AB40647" s="38"/>
    </row>
    <row r="40648">
      <c r="P40648" s="42"/>
      <c r="AB40648" s="38"/>
    </row>
    <row r="40649">
      <c r="P40649" s="42"/>
      <c r="AB40649" s="38"/>
    </row>
    <row r="40650">
      <c r="P40650" s="42"/>
      <c r="AB40650" s="38"/>
    </row>
    <row r="40651">
      <c r="P40651" s="42"/>
      <c r="AB40651" s="38"/>
    </row>
    <row r="40652">
      <c r="P40652" s="42"/>
      <c r="AB40652" s="38"/>
    </row>
    <row r="40653">
      <c r="P40653" s="42"/>
      <c r="AB40653" s="38"/>
    </row>
    <row r="40654">
      <c r="P40654" s="42"/>
      <c r="AB40654" s="38"/>
    </row>
    <row r="40655">
      <c r="P40655" s="42"/>
      <c r="AB40655" s="38"/>
    </row>
    <row r="40656">
      <c r="P40656" s="42"/>
      <c r="AB40656" s="38"/>
    </row>
    <row r="40657">
      <c r="P40657" s="42"/>
      <c r="AB40657" s="38"/>
    </row>
    <row r="40658">
      <c r="P40658" s="42"/>
      <c r="AB40658" s="38"/>
    </row>
    <row r="40659">
      <c r="P40659" s="42"/>
      <c r="AB40659" s="38"/>
    </row>
    <row r="40660">
      <c r="P40660" s="42"/>
      <c r="AB40660" s="38"/>
    </row>
    <row r="40661">
      <c r="P40661" s="42"/>
      <c r="AB40661" s="38"/>
    </row>
    <row r="40662">
      <c r="P40662" s="42"/>
      <c r="AB40662" s="38"/>
    </row>
    <row r="40663">
      <c r="P40663" s="42"/>
      <c r="AB40663" s="38"/>
    </row>
    <row r="40664">
      <c r="P40664" s="42"/>
      <c r="AB40664" s="38"/>
    </row>
    <row r="40665">
      <c r="P40665" s="42"/>
      <c r="AB40665" s="38"/>
    </row>
    <row r="40666">
      <c r="P40666" s="42"/>
      <c r="AB40666" s="38"/>
    </row>
    <row r="40667">
      <c r="P40667" s="42"/>
      <c r="AB40667" s="38"/>
    </row>
    <row r="40668">
      <c r="P40668" s="42"/>
      <c r="AB40668" s="38"/>
    </row>
    <row r="40669">
      <c r="P40669" s="42"/>
      <c r="AB40669" s="38"/>
    </row>
    <row r="40670">
      <c r="P40670" s="42"/>
      <c r="AB40670" s="38"/>
    </row>
    <row r="40671">
      <c r="P40671" s="42"/>
      <c r="AB40671" s="38"/>
    </row>
    <row r="40672">
      <c r="P40672" s="42"/>
      <c r="AB40672" s="38"/>
    </row>
    <row r="40673">
      <c r="P40673" s="42"/>
      <c r="AB40673" s="38"/>
    </row>
    <row r="40674">
      <c r="P40674" s="42"/>
      <c r="AB40674" s="38"/>
    </row>
    <row r="40675">
      <c r="P40675" s="42"/>
      <c r="AB40675" s="38"/>
    </row>
    <row r="40676">
      <c r="P40676" s="42"/>
      <c r="AB40676" s="38"/>
    </row>
    <row r="40677">
      <c r="P40677" s="42"/>
      <c r="AB40677" s="38"/>
    </row>
    <row r="40678">
      <c r="P40678" s="42"/>
      <c r="AB40678" s="38"/>
    </row>
    <row r="40679">
      <c r="P40679" s="42"/>
      <c r="AB40679" s="38"/>
    </row>
    <row r="40680">
      <c r="P40680" s="42"/>
      <c r="AB40680" s="38"/>
    </row>
    <row r="40681">
      <c r="P40681" s="42"/>
      <c r="AB40681" s="38"/>
    </row>
    <row r="40682">
      <c r="P40682" s="42"/>
      <c r="AB40682" s="38"/>
    </row>
    <row r="40683">
      <c r="P40683" s="42"/>
      <c r="AB40683" s="38"/>
    </row>
    <row r="40684">
      <c r="P40684" s="42"/>
      <c r="AB40684" s="38"/>
    </row>
    <row r="40685">
      <c r="P40685" s="42"/>
      <c r="AB40685" s="38"/>
    </row>
    <row r="40686">
      <c r="P40686" s="42"/>
      <c r="AB40686" s="38"/>
    </row>
    <row r="40687">
      <c r="P40687" s="42"/>
      <c r="AB40687" s="38"/>
    </row>
    <row r="40688">
      <c r="P40688" s="42"/>
      <c r="AB40688" s="38"/>
    </row>
    <row r="40689">
      <c r="P40689" s="42"/>
      <c r="AB40689" s="38"/>
    </row>
    <row r="40690">
      <c r="P40690" s="42"/>
      <c r="AB40690" s="38"/>
    </row>
    <row r="40691">
      <c r="P40691" s="42"/>
      <c r="AB40691" s="38"/>
    </row>
    <row r="40692">
      <c r="P40692" s="42"/>
      <c r="AB40692" s="38"/>
    </row>
    <row r="40693">
      <c r="P40693" s="42"/>
      <c r="AB40693" s="38"/>
    </row>
    <row r="40694">
      <c r="P40694" s="42"/>
      <c r="AB40694" s="38"/>
    </row>
    <row r="40695">
      <c r="P40695" s="42"/>
      <c r="AB40695" s="38"/>
    </row>
    <row r="40696">
      <c r="P40696" s="42"/>
      <c r="AB40696" s="38"/>
    </row>
    <row r="40697">
      <c r="P40697" s="42"/>
      <c r="AB40697" s="38"/>
    </row>
    <row r="40698">
      <c r="P40698" s="42"/>
      <c r="AB40698" s="38"/>
    </row>
    <row r="40699">
      <c r="P40699" s="42"/>
      <c r="AB40699" s="38"/>
    </row>
    <row r="40700">
      <c r="P40700" s="42"/>
      <c r="AB40700" s="38"/>
    </row>
    <row r="40701">
      <c r="P40701" s="42"/>
      <c r="AB40701" s="38"/>
    </row>
    <row r="40702">
      <c r="P40702" s="42"/>
      <c r="AB40702" s="38"/>
    </row>
    <row r="40703">
      <c r="P40703" s="42"/>
      <c r="AB40703" s="38"/>
    </row>
    <row r="40704">
      <c r="P40704" s="42"/>
      <c r="AB40704" s="38"/>
    </row>
    <row r="40705">
      <c r="P40705" s="42"/>
      <c r="AB40705" s="38"/>
    </row>
    <row r="40706">
      <c r="P40706" s="42"/>
      <c r="AB40706" s="38"/>
    </row>
    <row r="40707">
      <c r="P40707" s="42"/>
      <c r="AB40707" s="38"/>
    </row>
    <row r="40708">
      <c r="P40708" s="42"/>
      <c r="AB40708" s="38"/>
    </row>
    <row r="40709">
      <c r="P40709" s="42"/>
      <c r="AB40709" s="38"/>
    </row>
    <row r="40710">
      <c r="P40710" s="42"/>
      <c r="AB40710" s="38"/>
    </row>
    <row r="40711">
      <c r="P40711" s="42"/>
      <c r="AB40711" s="38"/>
    </row>
    <row r="40712">
      <c r="P40712" s="42"/>
      <c r="AB40712" s="38"/>
    </row>
    <row r="40713">
      <c r="P40713" s="42"/>
      <c r="AB40713" s="38"/>
    </row>
    <row r="40714">
      <c r="P40714" s="42"/>
      <c r="AB40714" s="38"/>
    </row>
    <row r="40715">
      <c r="P40715" s="42"/>
      <c r="AB40715" s="38"/>
    </row>
    <row r="40716">
      <c r="P40716" s="42"/>
      <c r="AB40716" s="38"/>
    </row>
    <row r="40717">
      <c r="P40717" s="42"/>
      <c r="AB40717" s="38"/>
    </row>
    <row r="40718">
      <c r="P40718" s="42"/>
      <c r="AB40718" s="38"/>
    </row>
    <row r="40719">
      <c r="P40719" s="42"/>
      <c r="AB40719" s="38"/>
    </row>
    <row r="40720">
      <c r="P40720" s="42"/>
      <c r="AB40720" s="38"/>
    </row>
    <row r="40721">
      <c r="P40721" s="42"/>
      <c r="AB40721" s="38"/>
    </row>
    <row r="40722">
      <c r="P40722" s="42"/>
      <c r="AB40722" s="38"/>
    </row>
    <row r="40723">
      <c r="P40723" s="42"/>
      <c r="AB40723" s="38"/>
    </row>
    <row r="40724">
      <c r="P40724" s="42"/>
      <c r="AB40724" s="38"/>
    </row>
    <row r="40725">
      <c r="P40725" s="42"/>
      <c r="AB40725" s="38"/>
    </row>
    <row r="40726">
      <c r="P40726" s="42"/>
      <c r="AB40726" s="38"/>
    </row>
    <row r="40727">
      <c r="P40727" s="42"/>
      <c r="AB40727" s="38"/>
    </row>
    <row r="40728">
      <c r="P40728" s="42"/>
      <c r="AB40728" s="38"/>
    </row>
    <row r="40729">
      <c r="P40729" s="42"/>
      <c r="AB40729" s="38"/>
    </row>
    <row r="40730">
      <c r="P40730" s="42"/>
      <c r="AB40730" s="38"/>
    </row>
    <row r="40731">
      <c r="P40731" s="42"/>
      <c r="AB40731" s="38"/>
    </row>
    <row r="40732">
      <c r="P40732" s="42"/>
      <c r="AB40732" s="38"/>
    </row>
    <row r="40733">
      <c r="P40733" s="42"/>
      <c r="AB40733" s="38"/>
    </row>
    <row r="40734">
      <c r="P40734" s="42"/>
      <c r="AB40734" s="38"/>
    </row>
    <row r="40735">
      <c r="P40735" s="42"/>
      <c r="AB40735" s="38"/>
    </row>
    <row r="40736">
      <c r="P40736" s="42"/>
      <c r="AB40736" s="38"/>
    </row>
    <row r="40737">
      <c r="P40737" s="42"/>
      <c r="AB40737" s="38"/>
    </row>
    <row r="40738">
      <c r="P40738" s="42"/>
      <c r="AB40738" s="38"/>
    </row>
    <row r="40739">
      <c r="P40739" s="42"/>
      <c r="AB40739" s="38"/>
    </row>
    <row r="40740">
      <c r="P40740" s="42"/>
      <c r="AB40740" s="38"/>
    </row>
    <row r="40741">
      <c r="P40741" s="42"/>
      <c r="AB40741" s="38"/>
    </row>
    <row r="40742">
      <c r="P40742" s="42"/>
      <c r="AB40742" s="38"/>
    </row>
    <row r="40743">
      <c r="P40743" s="42"/>
      <c r="AB40743" s="38"/>
    </row>
    <row r="40744">
      <c r="P40744" s="42"/>
      <c r="AB40744" s="38"/>
    </row>
    <row r="40745">
      <c r="P40745" s="42"/>
      <c r="AB40745" s="38"/>
    </row>
    <row r="40746">
      <c r="P40746" s="42"/>
      <c r="AB40746" s="38"/>
    </row>
    <row r="40747">
      <c r="P40747" s="42"/>
      <c r="AB40747" s="38"/>
    </row>
    <row r="40748">
      <c r="P40748" s="42"/>
      <c r="AB40748" s="38"/>
    </row>
    <row r="40749">
      <c r="P40749" s="42"/>
      <c r="AB40749" s="38"/>
    </row>
    <row r="40750">
      <c r="P40750" s="42"/>
      <c r="AB40750" s="38"/>
    </row>
    <row r="40751">
      <c r="P40751" s="42"/>
      <c r="AB40751" s="38"/>
    </row>
    <row r="40752">
      <c r="P40752" s="42"/>
      <c r="AB40752" s="38"/>
    </row>
    <row r="40753">
      <c r="P40753" s="42"/>
      <c r="AB40753" s="38"/>
    </row>
    <row r="40754">
      <c r="P40754" s="42"/>
      <c r="AB40754" s="38"/>
    </row>
    <row r="40755">
      <c r="P40755" s="42"/>
      <c r="AB40755" s="38"/>
    </row>
    <row r="40756">
      <c r="P40756" s="42"/>
      <c r="AB40756" s="38"/>
    </row>
    <row r="40757">
      <c r="P40757" s="42"/>
      <c r="AB40757" s="38"/>
    </row>
    <row r="40758">
      <c r="P40758" s="42"/>
      <c r="AB40758" s="38"/>
    </row>
    <row r="40759">
      <c r="P40759" s="42"/>
      <c r="AB40759" s="38"/>
    </row>
    <row r="40760">
      <c r="P40760" s="42"/>
      <c r="AB40760" s="38"/>
    </row>
    <row r="40761">
      <c r="P40761" s="42"/>
      <c r="AB40761" s="38"/>
    </row>
    <row r="40762">
      <c r="P40762" s="42"/>
      <c r="AB40762" s="38"/>
    </row>
    <row r="40763">
      <c r="P40763" s="42"/>
      <c r="AB40763" s="38"/>
    </row>
    <row r="40764">
      <c r="P40764" s="42"/>
      <c r="AB40764" s="38"/>
    </row>
    <row r="40765">
      <c r="P40765" s="42"/>
      <c r="AB40765" s="38"/>
    </row>
    <row r="40766">
      <c r="P40766" s="42"/>
      <c r="AB40766" s="38"/>
    </row>
    <row r="40767">
      <c r="P40767" s="42"/>
      <c r="AB40767" s="38"/>
    </row>
    <row r="40768">
      <c r="P40768" s="42"/>
      <c r="AB40768" s="38"/>
    </row>
    <row r="40769">
      <c r="P40769" s="42"/>
      <c r="AB40769" s="38"/>
    </row>
    <row r="40770">
      <c r="P40770" s="42"/>
      <c r="AB40770" s="38"/>
    </row>
    <row r="40771">
      <c r="P40771" s="42"/>
      <c r="AB40771" s="38"/>
    </row>
    <row r="40772">
      <c r="P40772" s="42"/>
      <c r="AB40772" s="38"/>
    </row>
    <row r="40773">
      <c r="P40773" s="42"/>
      <c r="AB40773" s="38"/>
    </row>
    <row r="40774">
      <c r="P40774" s="42"/>
      <c r="AB40774" s="38"/>
    </row>
    <row r="40775">
      <c r="P40775" s="42"/>
      <c r="AB40775" s="38"/>
    </row>
    <row r="40776">
      <c r="P40776" s="42"/>
      <c r="AB40776" s="38"/>
    </row>
    <row r="40777">
      <c r="P40777" s="42"/>
      <c r="AB40777" s="38"/>
    </row>
    <row r="40778">
      <c r="P40778" s="42"/>
      <c r="AB40778" s="38"/>
    </row>
    <row r="40779">
      <c r="P40779" s="42"/>
      <c r="AB40779" s="38"/>
    </row>
    <row r="40780">
      <c r="P40780" s="42"/>
      <c r="AB40780" s="38"/>
    </row>
    <row r="40781">
      <c r="P40781" s="42"/>
      <c r="AB40781" s="38"/>
    </row>
    <row r="40782">
      <c r="P40782" s="42"/>
      <c r="AB40782" s="38"/>
    </row>
    <row r="40783">
      <c r="P40783" s="42"/>
      <c r="AB40783" s="38"/>
    </row>
    <row r="40784">
      <c r="P40784" s="42"/>
      <c r="AB40784" s="38"/>
    </row>
    <row r="40785">
      <c r="P40785" s="42"/>
      <c r="AB40785" s="38"/>
    </row>
    <row r="40786">
      <c r="P40786" s="42"/>
      <c r="AB40786" s="38"/>
    </row>
    <row r="40787">
      <c r="P40787" s="42"/>
      <c r="AB40787" s="38"/>
    </row>
    <row r="40788">
      <c r="P40788" s="42"/>
      <c r="AB40788" s="38"/>
    </row>
    <row r="40789">
      <c r="P40789" s="42"/>
      <c r="AB40789" s="38"/>
    </row>
    <row r="40790">
      <c r="P40790" s="42"/>
      <c r="AB40790" s="38"/>
    </row>
    <row r="40791">
      <c r="P40791" s="42"/>
      <c r="AB40791" s="38"/>
    </row>
    <row r="40792">
      <c r="P40792" s="42"/>
      <c r="AB40792" s="38"/>
    </row>
    <row r="40793">
      <c r="P40793" s="42"/>
      <c r="AB40793" s="38"/>
    </row>
    <row r="40794">
      <c r="P40794" s="42"/>
      <c r="AB40794" s="38"/>
    </row>
    <row r="40795">
      <c r="P40795" s="42"/>
      <c r="AB40795" s="38"/>
    </row>
    <row r="40796">
      <c r="P40796" s="42"/>
      <c r="AB40796" s="38"/>
    </row>
    <row r="40797">
      <c r="P40797" s="42"/>
      <c r="AB40797" s="38"/>
    </row>
    <row r="40798">
      <c r="P40798" s="42"/>
      <c r="AB40798" s="38"/>
    </row>
    <row r="40799">
      <c r="P40799" s="42"/>
      <c r="AB40799" s="38"/>
    </row>
    <row r="40800">
      <c r="P40800" s="42"/>
      <c r="AB40800" s="38"/>
    </row>
    <row r="40801">
      <c r="P40801" s="42"/>
      <c r="AB40801" s="38"/>
    </row>
    <row r="40802">
      <c r="P40802" s="42"/>
      <c r="AB40802" s="38"/>
    </row>
    <row r="40803">
      <c r="P40803" s="42"/>
      <c r="AB40803" s="38"/>
    </row>
    <row r="40804">
      <c r="P40804" s="42"/>
      <c r="AB40804" s="38"/>
    </row>
    <row r="40805">
      <c r="P40805" s="42"/>
      <c r="AB40805" s="38"/>
    </row>
    <row r="40806">
      <c r="P40806" s="42"/>
      <c r="AB40806" s="38"/>
    </row>
    <row r="40807">
      <c r="P40807" s="42"/>
      <c r="AB40807" s="38"/>
    </row>
    <row r="40808">
      <c r="P40808" s="42"/>
      <c r="AB40808" s="38"/>
    </row>
    <row r="40809">
      <c r="P40809" s="42"/>
      <c r="AB40809" s="38"/>
    </row>
    <row r="40810">
      <c r="P40810" s="42"/>
      <c r="AB40810" s="38"/>
    </row>
    <row r="40811">
      <c r="P40811" s="42"/>
      <c r="AB40811" s="38"/>
    </row>
    <row r="40812">
      <c r="P40812" s="42"/>
      <c r="AB40812" s="38"/>
    </row>
    <row r="40813">
      <c r="P40813" s="42"/>
      <c r="AB40813" s="38"/>
    </row>
    <row r="40814">
      <c r="P40814" s="42"/>
      <c r="AB40814" s="38"/>
    </row>
    <row r="40815">
      <c r="P40815" s="42"/>
      <c r="AB40815" s="38"/>
    </row>
    <row r="40816">
      <c r="P40816" s="42"/>
      <c r="AB40816" s="38"/>
    </row>
    <row r="40817">
      <c r="P40817" s="42"/>
      <c r="AB40817" s="38"/>
    </row>
    <row r="40818">
      <c r="P40818" s="42"/>
      <c r="AB40818" s="38"/>
    </row>
    <row r="40819">
      <c r="P40819" s="42"/>
      <c r="AB40819" s="38"/>
    </row>
    <row r="40820">
      <c r="P40820" s="42"/>
      <c r="AB40820" s="38"/>
    </row>
    <row r="40821">
      <c r="P40821" s="42"/>
      <c r="AB40821" s="38"/>
    </row>
    <row r="40822">
      <c r="P40822" s="42"/>
      <c r="AB40822" s="38"/>
    </row>
    <row r="40823">
      <c r="P40823" s="42"/>
      <c r="AB40823" s="38"/>
    </row>
    <row r="40824">
      <c r="P40824" s="42"/>
      <c r="AB40824" s="38"/>
    </row>
    <row r="40825">
      <c r="P40825" s="42"/>
      <c r="AB40825" s="38"/>
    </row>
    <row r="40826">
      <c r="P40826" s="42"/>
      <c r="AB40826" s="38"/>
    </row>
    <row r="40827">
      <c r="P40827" s="42"/>
      <c r="AB40827" s="38"/>
    </row>
    <row r="40828">
      <c r="P40828" s="42"/>
      <c r="AB40828" s="38"/>
    </row>
    <row r="40829">
      <c r="P40829" s="42"/>
      <c r="AB40829" s="38"/>
    </row>
    <row r="40830">
      <c r="P40830" s="42"/>
      <c r="AB40830" s="38"/>
    </row>
    <row r="40831">
      <c r="P40831" s="42"/>
      <c r="AB40831" s="38"/>
    </row>
    <row r="40832">
      <c r="P40832" s="42"/>
      <c r="AB40832" s="38"/>
    </row>
    <row r="40833">
      <c r="P40833" s="42"/>
      <c r="AB40833" s="38"/>
    </row>
    <row r="40834">
      <c r="P40834" s="42"/>
      <c r="AB40834" s="38"/>
    </row>
    <row r="40835">
      <c r="P40835" s="42"/>
      <c r="AB40835" s="38"/>
    </row>
    <row r="40836">
      <c r="P40836" s="42"/>
      <c r="AB40836" s="38"/>
    </row>
    <row r="40837">
      <c r="P40837" s="42"/>
      <c r="AB40837" s="38"/>
    </row>
    <row r="40838">
      <c r="P40838" s="42"/>
      <c r="AB40838" s="38"/>
    </row>
    <row r="40839">
      <c r="P40839" s="42"/>
      <c r="AB40839" s="38"/>
    </row>
    <row r="40840">
      <c r="P40840" s="42"/>
      <c r="AB40840" s="38"/>
    </row>
    <row r="40841">
      <c r="P40841" s="42"/>
      <c r="AB40841" s="38"/>
    </row>
    <row r="40842">
      <c r="P40842" s="42"/>
      <c r="AB40842" s="38"/>
    </row>
    <row r="40843">
      <c r="P40843" s="42"/>
      <c r="AB40843" s="38"/>
    </row>
    <row r="40844">
      <c r="P40844" s="42"/>
      <c r="AB40844" s="38"/>
    </row>
    <row r="40845">
      <c r="P40845" s="42"/>
      <c r="AB40845" s="38"/>
    </row>
    <row r="40846">
      <c r="P40846" s="42"/>
      <c r="AB40846" s="38"/>
    </row>
    <row r="40847">
      <c r="P40847" s="42"/>
      <c r="AB40847" s="38"/>
    </row>
    <row r="40848">
      <c r="P40848" s="42"/>
      <c r="AB40848" s="38"/>
    </row>
    <row r="40849">
      <c r="P40849" s="42"/>
      <c r="AB40849" s="38"/>
    </row>
    <row r="40850">
      <c r="P40850" s="42"/>
      <c r="AB40850" s="38"/>
    </row>
    <row r="40851">
      <c r="P40851" s="42"/>
      <c r="AB40851" s="38"/>
    </row>
    <row r="40852">
      <c r="P40852" s="42"/>
      <c r="AB40852" s="38"/>
    </row>
    <row r="40853">
      <c r="P40853" s="42"/>
      <c r="AB40853" s="38"/>
    </row>
    <row r="40854">
      <c r="P40854" s="42"/>
      <c r="AB40854" s="38"/>
    </row>
    <row r="40855">
      <c r="P40855" s="42"/>
      <c r="AB40855" s="38"/>
    </row>
    <row r="40856">
      <c r="P40856" s="42"/>
      <c r="AB40856" s="38"/>
    </row>
    <row r="40857">
      <c r="P40857" s="42"/>
      <c r="AB40857" s="38"/>
    </row>
    <row r="40858">
      <c r="P40858" s="42"/>
      <c r="AB40858" s="38"/>
    </row>
    <row r="40859">
      <c r="P40859" s="42"/>
      <c r="AB40859" s="38"/>
    </row>
    <row r="40860">
      <c r="P40860" s="42"/>
      <c r="AB40860" s="38"/>
    </row>
    <row r="40861">
      <c r="P40861" s="42"/>
      <c r="AB40861" s="38"/>
    </row>
    <row r="40862">
      <c r="P40862" s="42"/>
      <c r="AB40862" s="38"/>
    </row>
    <row r="40863">
      <c r="P40863" s="42"/>
      <c r="AB40863" s="38"/>
    </row>
    <row r="40864">
      <c r="P40864" s="42"/>
      <c r="AB40864" s="38"/>
    </row>
    <row r="40865">
      <c r="P40865" s="42"/>
      <c r="AB40865" s="38"/>
    </row>
    <row r="40866">
      <c r="P40866" s="42"/>
      <c r="AB40866" s="38"/>
    </row>
    <row r="40867">
      <c r="P40867" s="42"/>
      <c r="AB40867" s="38"/>
    </row>
    <row r="40868">
      <c r="P40868" s="42"/>
      <c r="AB40868" s="38"/>
    </row>
    <row r="40869">
      <c r="P40869" s="42"/>
      <c r="AB40869" s="38"/>
    </row>
    <row r="40870">
      <c r="P40870" s="42"/>
      <c r="AB40870" s="38"/>
    </row>
    <row r="40871">
      <c r="P40871" s="42"/>
      <c r="AB40871" s="38"/>
    </row>
    <row r="40872">
      <c r="P40872" s="42"/>
      <c r="AB40872" s="38"/>
    </row>
    <row r="40873">
      <c r="P40873" s="42"/>
      <c r="AB40873" s="38"/>
    </row>
    <row r="40874">
      <c r="P40874" s="42"/>
      <c r="AB40874" s="38"/>
    </row>
    <row r="40875">
      <c r="P40875" s="42"/>
      <c r="AB40875" s="38"/>
    </row>
    <row r="40876">
      <c r="P40876" s="42"/>
      <c r="AB40876" s="38"/>
    </row>
    <row r="40877">
      <c r="P40877" s="42"/>
      <c r="AB40877" s="38"/>
    </row>
    <row r="40878">
      <c r="P40878" s="42"/>
      <c r="AB40878" s="38"/>
    </row>
    <row r="40879">
      <c r="P40879" s="42"/>
      <c r="AB40879" s="38"/>
    </row>
    <row r="40880">
      <c r="P40880" s="42"/>
      <c r="AB40880" s="38"/>
    </row>
    <row r="40881">
      <c r="P40881" s="42"/>
      <c r="AB40881" s="38"/>
    </row>
    <row r="40882">
      <c r="P40882" s="42"/>
      <c r="AB40882" s="38"/>
    </row>
    <row r="40883">
      <c r="P40883" s="42"/>
      <c r="AB40883" s="38"/>
    </row>
    <row r="40884">
      <c r="P40884" s="42"/>
      <c r="AB40884" s="38"/>
    </row>
    <row r="40885">
      <c r="P40885" s="42"/>
      <c r="AB40885" s="38"/>
    </row>
    <row r="40886">
      <c r="P40886" s="42"/>
      <c r="AB40886" s="38"/>
    </row>
    <row r="40887">
      <c r="P40887" s="42"/>
      <c r="AB40887" s="38"/>
    </row>
    <row r="40888">
      <c r="P40888" s="42"/>
      <c r="AB40888" s="38"/>
    </row>
    <row r="40889">
      <c r="P40889" s="42"/>
      <c r="AB40889" s="38"/>
    </row>
    <row r="40890">
      <c r="P40890" s="42"/>
      <c r="AB40890" s="38"/>
    </row>
    <row r="40891">
      <c r="P40891" s="42"/>
      <c r="AB40891" s="38"/>
    </row>
    <row r="40892">
      <c r="P40892" s="42"/>
      <c r="AB40892" s="38"/>
    </row>
    <row r="40893">
      <c r="P40893" s="42"/>
      <c r="AB40893" s="38"/>
    </row>
    <row r="40894">
      <c r="P40894" s="42"/>
      <c r="AB40894" s="38"/>
    </row>
    <row r="40895">
      <c r="P40895" s="42"/>
      <c r="AB40895" s="38"/>
    </row>
    <row r="40896">
      <c r="P40896" s="42"/>
      <c r="AB40896" s="38"/>
    </row>
    <row r="40897">
      <c r="P40897" s="42"/>
      <c r="AB40897" s="38"/>
    </row>
    <row r="40898">
      <c r="P40898" s="42"/>
      <c r="AB40898" s="38"/>
    </row>
    <row r="40899">
      <c r="P40899" s="42"/>
      <c r="AB40899" s="38"/>
    </row>
    <row r="40900">
      <c r="P40900" s="42"/>
      <c r="AB40900" s="38"/>
    </row>
    <row r="40901">
      <c r="P40901" s="42"/>
      <c r="AB40901" s="38"/>
    </row>
    <row r="40902">
      <c r="P40902" s="42"/>
      <c r="AB40902" s="38"/>
    </row>
    <row r="40903">
      <c r="P40903" s="42"/>
      <c r="AB40903" s="38"/>
    </row>
    <row r="40904">
      <c r="P40904" s="42"/>
      <c r="AB40904" s="38"/>
    </row>
    <row r="40905">
      <c r="P40905" s="42"/>
      <c r="AB40905" s="38"/>
    </row>
    <row r="40906">
      <c r="P40906" s="42"/>
      <c r="AB40906" s="38"/>
    </row>
    <row r="40907">
      <c r="P40907" s="42"/>
      <c r="AB40907" s="38"/>
    </row>
    <row r="40908">
      <c r="P40908" s="42"/>
      <c r="AB40908" s="38"/>
    </row>
    <row r="40909">
      <c r="P40909" s="42"/>
      <c r="AB40909" s="38"/>
    </row>
    <row r="40910">
      <c r="P40910" s="42"/>
      <c r="AB40910" s="38"/>
    </row>
    <row r="40911">
      <c r="P40911" s="42"/>
      <c r="AB40911" s="38"/>
    </row>
    <row r="40912">
      <c r="P40912" s="42"/>
      <c r="AB40912" s="38"/>
    </row>
    <row r="40913">
      <c r="P40913" s="42"/>
      <c r="AB40913" s="38"/>
    </row>
    <row r="40914">
      <c r="P40914" s="42"/>
      <c r="AB40914" s="38"/>
    </row>
    <row r="40915">
      <c r="P40915" s="42"/>
      <c r="AB40915" s="38"/>
    </row>
    <row r="40916">
      <c r="P40916" s="42"/>
      <c r="AB40916" s="38"/>
    </row>
    <row r="40917">
      <c r="P40917" s="42"/>
      <c r="AB40917" s="38"/>
    </row>
    <row r="40918">
      <c r="P40918" s="42"/>
      <c r="AB40918" s="38"/>
    </row>
    <row r="40919">
      <c r="P40919" s="42"/>
      <c r="AB40919" s="38"/>
    </row>
    <row r="40920">
      <c r="P40920" s="42"/>
      <c r="AB40920" s="38"/>
    </row>
    <row r="40921">
      <c r="P40921" s="42"/>
      <c r="AB40921" s="38"/>
    </row>
    <row r="40922">
      <c r="P40922" s="42"/>
      <c r="AB40922" s="38"/>
    </row>
    <row r="40923">
      <c r="P40923" s="42"/>
      <c r="AB40923" s="38"/>
    </row>
    <row r="40924">
      <c r="P40924" s="42"/>
      <c r="AB40924" s="38"/>
    </row>
    <row r="40925">
      <c r="P40925" s="42"/>
      <c r="AB40925" s="38"/>
    </row>
    <row r="40926">
      <c r="P40926" s="42"/>
      <c r="AB40926" s="38"/>
    </row>
    <row r="40927">
      <c r="P40927" s="42"/>
      <c r="AB40927" s="38"/>
    </row>
    <row r="40928">
      <c r="P40928" s="42"/>
      <c r="AB40928" s="38"/>
    </row>
    <row r="40929">
      <c r="P40929" s="42"/>
      <c r="AB40929" s="38"/>
    </row>
    <row r="40930">
      <c r="P40930" s="42"/>
      <c r="AB40930" s="38"/>
    </row>
    <row r="40931">
      <c r="P40931" s="42"/>
      <c r="AB40931" s="38"/>
    </row>
    <row r="40932">
      <c r="P40932" s="42"/>
      <c r="AB40932" s="38"/>
    </row>
    <row r="40933">
      <c r="P40933" s="42"/>
      <c r="AB40933" s="38"/>
    </row>
    <row r="40934">
      <c r="P40934" s="42"/>
      <c r="AB40934" s="38"/>
    </row>
    <row r="40935">
      <c r="P40935" s="42"/>
      <c r="AB40935" s="38"/>
    </row>
    <row r="40936">
      <c r="P40936" s="42"/>
      <c r="AB40936" s="38"/>
    </row>
    <row r="40937">
      <c r="P40937" s="42"/>
      <c r="AB40937" s="38"/>
    </row>
    <row r="40938">
      <c r="P40938" s="42"/>
      <c r="AB40938" s="38"/>
    </row>
    <row r="40939">
      <c r="P40939" s="42"/>
      <c r="AB40939" s="38"/>
    </row>
    <row r="40940">
      <c r="P40940" s="42"/>
      <c r="AB40940" s="38"/>
    </row>
    <row r="40941">
      <c r="P40941" s="42"/>
      <c r="AB40941" s="38"/>
    </row>
    <row r="40942">
      <c r="P40942" s="42"/>
      <c r="AB40942" s="38"/>
    </row>
    <row r="40943">
      <c r="P40943" s="42"/>
      <c r="AB40943" s="38"/>
    </row>
    <row r="40944">
      <c r="P40944" s="42"/>
      <c r="AB40944" s="38"/>
    </row>
    <row r="40945">
      <c r="P40945" s="42"/>
      <c r="AB40945" s="38"/>
    </row>
    <row r="40946">
      <c r="P40946" s="42"/>
      <c r="AB40946" s="38"/>
    </row>
    <row r="40947">
      <c r="P40947" s="42"/>
      <c r="AB40947" s="38"/>
    </row>
    <row r="40948">
      <c r="P40948" s="42"/>
      <c r="AB40948" s="38"/>
    </row>
    <row r="40949">
      <c r="P40949" s="42"/>
      <c r="AB40949" s="38"/>
    </row>
    <row r="40950">
      <c r="P40950" s="42"/>
      <c r="AB40950" s="38"/>
    </row>
    <row r="40951">
      <c r="P40951" s="42"/>
      <c r="AB40951" s="38"/>
    </row>
    <row r="40952">
      <c r="P40952" s="42"/>
      <c r="AB40952" s="38"/>
    </row>
    <row r="40953">
      <c r="P40953" s="42"/>
      <c r="AB40953" s="38"/>
    </row>
    <row r="40954">
      <c r="P40954" s="42"/>
      <c r="AB40954" s="38"/>
    </row>
    <row r="40955">
      <c r="P40955" s="42"/>
      <c r="AB40955" s="38"/>
    </row>
    <row r="40956">
      <c r="P40956" s="42"/>
      <c r="AB40956" s="38"/>
    </row>
    <row r="40957">
      <c r="P40957" s="42"/>
      <c r="AB40957" s="38"/>
    </row>
    <row r="40958">
      <c r="P40958" s="42"/>
      <c r="AB40958" s="38"/>
    </row>
    <row r="40959">
      <c r="P40959" s="42"/>
      <c r="AB40959" s="38"/>
    </row>
    <row r="40960">
      <c r="P40960" s="42"/>
      <c r="AB40960" s="38"/>
    </row>
    <row r="40961">
      <c r="P40961" s="42"/>
      <c r="AB40961" s="38"/>
    </row>
    <row r="40962">
      <c r="P40962" s="42"/>
      <c r="AB40962" s="38"/>
    </row>
    <row r="40963">
      <c r="P40963" s="42"/>
      <c r="AB40963" s="38"/>
    </row>
    <row r="40964">
      <c r="P40964" s="42"/>
      <c r="AB40964" s="38"/>
    </row>
    <row r="40965">
      <c r="P40965" s="42"/>
      <c r="AB40965" s="38"/>
    </row>
    <row r="40966">
      <c r="P40966" s="42"/>
      <c r="AB40966" s="38"/>
    </row>
    <row r="40967">
      <c r="P40967" s="42"/>
      <c r="AB40967" s="38"/>
    </row>
    <row r="40968">
      <c r="P40968" s="42"/>
      <c r="AB40968" s="38"/>
    </row>
    <row r="40969">
      <c r="P40969" s="42"/>
      <c r="AB40969" s="38"/>
    </row>
    <row r="40970">
      <c r="P40970" s="42"/>
      <c r="AB40970" s="38"/>
    </row>
    <row r="40971">
      <c r="P40971" s="42"/>
      <c r="AB40971" s="38"/>
    </row>
    <row r="40972">
      <c r="P40972" s="42"/>
      <c r="AB40972" s="38"/>
    </row>
    <row r="40973">
      <c r="P40973" s="42"/>
      <c r="AB40973" s="38"/>
    </row>
    <row r="40974">
      <c r="P40974" s="42"/>
      <c r="AB40974" s="38"/>
    </row>
    <row r="40975">
      <c r="P40975" s="42"/>
      <c r="AB40975" s="38"/>
    </row>
    <row r="40976">
      <c r="P40976" s="42"/>
      <c r="AB40976" s="38"/>
    </row>
    <row r="40977">
      <c r="P40977" s="42"/>
      <c r="AB40977" s="38"/>
    </row>
    <row r="40978">
      <c r="P40978" s="42"/>
      <c r="AB40978" s="38"/>
    </row>
    <row r="40979">
      <c r="P40979" s="42"/>
      <c r="AB40979" s="38"/>
    </row>
    <row r="40980">
      <c r="P40980" s="42"/>
      <c r="AB40980" s="38"/>
    </row>
    <row r="40981">
      <c r="P40981" s="42"/>
      <c r="AB40981" s="38"/>
    </row>
    <row r="40982">
      <c r="P40982" s="42"/>
      <c r="AB40982" s="38"/>
    </row>
    <row r="40983">
      <c r="P40983" s="42"/>
      <c r="AB40983" s="38"/>
    </row>
    <row r="40984">
      <c r="P40984" s="42"/>
      <c r="AB40984" s="38"/>
    </row>
    <row r="40985">
      <c r="P40985" s="42"/>
      <c r="AB40985" s="38"/>
    </row>
    <row r="40986">
      <c r="P40986" s="42"/>
      <c r="AB40986" s="38"/>
    </row>
    <row r="40987">
      <c r="P40987" s="42"/>
      <c r="AB40987" s="38"/>
    </row>
    <row r="40988">
      <c r="P40988" s="42"/>
      <c r="AB40988" s="38"/>
    </row>
    <row r="40989">
      <c r="P40989" s="42"/>
      <c r="AB40989" s="38"/>
    </row>
    <row r="40990">
      <c r="P40990" s="42"/>
      <c r="AB40990" s="38"/>
    </row>
    <row r="40991">
      <c r="P40991" s="42"/>
      <c r="AB40991" s="38"/>
    </row>
    <row r="40992">
      <c r="P40992" s="42"/>
      <c r="AB40992" s="38"/>
    </row>
    <row r="40993">
      <c r="P40993" s="42"/>
      <c r="AB40993" s="38"/>
    </row>
    <row r="40994">
      <c r="P40994" s="42"/>
      <c r="AB40994" s="38"/>
    </row>
    <row r="40995">
      <c r="P40995" s="42"/>
      <c r="AB40995" s="38"/>
    </row>
    <row r="40996">
      <c r="P40996" s="42"/>
      <c r="AB40996" s="38"/>
    </row>
    <row r="40997">
      <c r="P40997" s="42"/>
      <c r="AB40997" s="38"/>
    </row>
    <row r="40998">
      <c r="P40998" s="42"/>
      <c r="AB40998" s="38"/>
    </row>
    <row r="40999">
      <c r="P40999" s="42"/>
      <c r="AB40999" s="38"/>
    </row>
    <row r="41000">
      <c r="P41000" s="42"/>
      <c r="AB41000" s="38"/>
    </row>
    <row r="41001">
      <c r="P41001" s="42"/>
      <c r="AB41001" s="38"/>
    </row>
    <row r="41002">
      <c r="P41002" s="42"/>
      <c r="AB41002" s="38"/>
    </row>
    <row r="41003">
      <c r="P41003" s="42"/>
      <c r="AB41003" s="38"/>
    </row>
    <row r="41004">
      <c r="P41004" s="42"/>
      <c r="AB41004" s="38"/>
    </row>
    <row r="41005">
      <c r="P41005" s="42"/>
      <c r="AB41005" s="38"/>
    </row>
    <row r="41006">
      <c r="P41006" s="42"/>
      <c r="AB41006" s="38"/>
    </row>
    <row r="41007">
      <c r="P41007" s="42"/>
      <c r="AB41007" s="38"/>
    </row>
    <row r="41008">
      <c r="P41008" s="42"/>
      <c r="AB41008" s="38"/>
    </row>
    <row r="41009">
      <c r="P41009" s="42"/>
      <c r="AB41009" s="38"/>
    </row>
    <row r="41010">
      <c r="P41010" s="42"/>
      <c r="AB41010" s="38"/>
    </row>
    <row r="41011">
      <c r="P41011" s="42"/>
      <c r="AB41011" s="38"/>
    </row>
    <row r="41012">
      <c r="P41012" s="42"/>
      <c r="AB41012" s="38"/>
    </row>
    <row r="41013">
      <c r="P41013" s="42"/>
      <c r="AB41013" s="38"/>
    </row>
    <row r="41014">
      <c r="P41014" s="42"/>
      <c r="AB41014" s="38"/>
    </row>
    <row r="41015">
      <c r="P41015" s="42"/>
      <c r="AB41015" s="38"/>
    </row>
    <row r="41016">
      <c r="P41016" s="42"/>
      <c r="AB41016" s="38"/>
    </row>
    <row r="41017">
      <c r="P41017" s="42"/>
      <c r="AB41017" s="38"/>
    </row>
    <row r="41018">
      <c r="P41018" s="42"/>
      <c r="AB41018" s="38"/>
    </row>
    <row r="41019">
      <c r="P41019" s="42"/>
      <c r="AB41019" s="38"/>
    </row>
    <row r="41020">
      <c r="P41020" s="42"/>
      <c r="AB41020" s="38"/>
    </row>
    <row r="41021">
      <c r="P41021" s="42"/>
      <c r="AB41021" s="38"/>
    </row>
    <row r="41022">
      <c r="P41022" s="42"/>
      <c r="AB41022" s="38"/>
    </row>
    <row r="41023">
      <c r="P41023" s="42"/>
      <c r="AB41023" s="38"/>
    </row>
    <row r="41024">
      <c r="P41024" s="42"/>
      <c r="AB41024" s="38"/>
    </row>
    <row r="41025">
      <c r="P41025" s="42"/>
      <c r="AB41025" s="38"/>
    </row>
    <row r="41026">
      <c r="P41026" s="42"/>
      <c r="AB41026" s="38"/>
    </row>
    <row r="41027">
      <c r="P41027" s="42"/>
      <c r="AB41027" s="38"/>
    </row>
    <row r="41028">
      <c r="P41028" s="42"/>
      <c r="AB41028" s="38"/>
    </row>
    <row r="41029">
      <c r="P41029" s="42"/>
      <c r="AB41029" s="38"/>
    </row>
    <row r="41030">
      <c r="P41030" s="42"/>
      <c r="AB41030" s="38"/>
    </row>
    <row r="41031">
      <c r="P41031" s="42"/>
      <c r="AB41031" s="38"/>
    </row>
    <row r="41032">
      <c r="P41032" s="42"/>
      <c r="AB41032" s="38"/>
    </row>
    <row r="41033">
      <c r="P41033" s="42"/>
      <c r="AB41033" s="38"/>
    </row>
    <row r="41034">
      <c r="P41034" s="42"/>
      <c r="AB41034" s="38"/>
    </row>
    <row r="41035">
      <c r="P41035" s="42"/>
      <c r="AB41035" s="38"/>
    </row>
    <row r="41036">
      <c r="P41036" s="42"/>
      <c r="AB41036" s="38"/>
    </row>
    <row r="41037">
      <c r="P41037" s="42"/>
      <c r="AB41037" s="38"/>
    </row>
    <row r="41038">
      <c r="P41038" s="42"/>
      <c r="AB41038" s="38"/>
    </row>
    <row r="41039">
      <c r="P41039" s="42"/>
      <c r="AB41039" s="38"/>
    </row>
    <row r="41040">
      <c r="P41040" s="42"/>
      <c r="AB41040" s="38"/>
    </row>
    <row r="41041">
      <c r="P41041" s="42"/>
      <c r="AB41041" s="38"/>
    </row>
    <row r="41042">
      <c r="P41042" s="42"/>
      <c r="AB41042" s="38"/>
    </row>
    <row r="41043">
      <c r="P41043" s="42"/>
      <c r="AB41043" s="38"/>
    </row>
    <row r="41044">
      <c r="P41044" s="42"/>
      <c r="AB41044" s="38"/>
    </row>
    <row r="41045">
      <c r="P41045" s="42"/>
      <c r="AB41045" s="38"/>
    </row>
    <row r="41046">
      <c r="P41046" s="42"/>
      <c r="AB41046" s="38"/>
    </row>
    <row r="41047">
      <c r="P41047" s="42"/>
      <c r="AB41047" s="38"/>
    </row>
    <row r="41048">
      <c r="P41048" s="42"/>
      <c r="AB41048" s="38"/>
    </row>
    <row r="41049">
      <c r="P41049" s="42"/>
      <c r="AB41049" s="38"/>
    </row>
    <row r="41050">
      <c r="P41050" s="42"/>
      <c r="AB41050" s="38"/>
    </row>
    <row r="41051">
      <c r="P41051" s="42"/>
      <c r="AB41051" s="38"/>
    </row>
    <row r="41052">
      <c r="P41052" s="42"/>
      <c r="AB41052" s="38"/>
    </row>
    <row r="41053">
      <c r="P41053" s="42"/>
      <c r="AB41053" s="38"/>
    </row>
    <row r="41054">
      <c r="P41054" s="42"/>
      <c r="AB41054" s="38"/>
    </row>
    <row r="41055">
      <c r="P41055" s="42"/>
      <c r="AB41055" s="38"/>
    </row>
    <row r="41056">
      <c r="P41056" s="42"/>
      <c r="AB41056" s="38"/>
    </row>
    <row r="41057">
      <c r="P41057" s="42"/>
      <c r="AB41057" s="38"/>
    </row>
    <row r="41058">
      <c r="P41058" s="42"/>
      <c r="AB41058" s="38"/>
    </row>
    <row r="41059">
      <c r="P41059" s="42"/>
      <c r="AB41059" s="38"/>
    </row>
    <row r="41060">
      <c r="P41060" s="42"/>
      <c r="AB41060" s="38"/>
    </row>
    <row r="41061">
      <c r="P41061" s="42"/>
      <c r="AB41061" s="38"/>
    </row>
    <row r="41062">
      <c r="P41062" s="42"/>
      <c r="AB41062" s="38"/>
    </row>
    <row r="41063">
      <c r="P41063" s="42"/>
      <c r="AB41063" s="38"/>
    </row>
    <row r="41064">
      <c r="P41064" s="42"/>
      <c r="AB41064" s="38"/>
    </row>
    <row r="41065">
      <c r="P41065" s="42"/>
      <c r="AB41065" s="38"/>
    </row>
    <row r="41066">
      <c r="P41066" s="42"/>
      <c r="AB41066" s="38"/>
    </row>
    <row r="41067">
      <c r="P41067" s="42"/>
      <c r="AB41067" s="38"/>
    </row>
    <row r="41068">
      <c r="P41068" s="42"/>
      <c r="AB41068" s="38"/>
    </row>
    <row r="41069">
      <c r="P41069" s="42"/>
      <c r="AB41069" s="38"/>
    </row>
    <row r="41070">
      <c r="P41070" s="42"/>
      <c r="AB41070" s="38"/>
    </row>
    <row r="41071">
      <c r="P41071" s="42"/>
      <c r="AB41071" s="38"/>
    </row>
    <row r="41072">
      <c r="P41072" s="42"/>
      <c r="AB41072" s="38"/>
    </row>
    <row r="41073">
      <c r="P41073" s="42"/>
      <c r="AB41073" s="38"/>
    </row>
    <row r="41074">
      <c r="P41074" s="42"/>
      <c r="AB41074" s="38"/>
    </row>
    <row r="41075">
      <c r="P41075" s="42"/>
      <c r="AB41075" s="38"/>
    </row>
    <row r="41076">
      <c r="P41076" s="42"/>
      <c r="AB41076" s="38"/>
    </row>
    <row r="41077">
      <c r="P41077" s="42"/>
      <c r="AB41077" s="38"/>
    </row>
    <row r="41078">
      <c r="P41078" s="42"/>
      <c r="AB41078" s="38"/>
    </row>
    <row r="41079">
      <c r="P41079" s="42"/>
      <c r="AB41079" s="38"/>
    </row>
    <row r="41080">
      <c r="P41080" s="42"/>
      <c r="AB41080" s="38"/>
    </row>
    <row r="41081">
      <c r="P41081" s="42"/>
      <c r="AB41081" s="38"/>
    </row>
    <row r="41082">
      <c r="P41082" s="42"/>
      <c r="AB41082" s="38"/>
    </row>
    <row r="41083">
      <c r="P41083" s="42"/>
      <c r="AB41083" s="38"/>
    </row>
    <row r="41084">
      <c r="P41084" s="42"/>
      <c r="AB41084" s="38"/>
    </row>
    <row r="41085">
      <c r="P41085" s="42"/>
      <c r="AB41085" s="38"/>
    </row>
    <row r="41086">
      <c r="P41086" s="42"/>
      <c r="AB41086" s="38"/>
    </row>
    <row r="41087">
      <c r="P41087" s="42"/>
      <c r="AB41087" s="38"/>
    </row>
    <row r="41088">
      <c r="P41088" s="42"/>
      <c r="AB41088" s="38"/>
    </row>
    <row r="41089">
      <c r="P41089" s="42"/>
      <c r="AB41089" s="38"/>
    </row>
    <row r="41090">
      <c r="P41090" s="42"/>
      <c r="AB41090" s="38"/>
    </row>
    <row r="41091">
      <c r="P41091" s="42"/>
      <c r="AB41091" s="38"/>
    </row>
    <row r="41092">
      <c r="P41092" s="42"/>
      <c r="AB41092" s="38"/>
    </row>
    <row r="41093">
      <c r="P41093" s="42"/>
      <c r="AB41093" s="38"/>
    </row>
    <row r="41094">
      <c r="P41094" s="42"/>
      <c r="AB41094" s="38"/>
    </row>
    <row r="41095">
      <c r="P41095" s="42"/>
      <c r="AB41095" s="38"/>
    </row>
    <row r="41096">
      <c r="P41096" s="42"/>
      <c r="AB41096" s="38"/>
    </row>
    <row r="41097">
      <c r="P41097" s="42"/>
      <c r="AB41097" s="38"/>
    </row>
    <row r="41098">
      <c r="P41098" s="42"/>
      <c r="AB41098" s="38"/>
    </row>
    <row r="41099">
      <c r="P41099" s="42"/>
      <c r="AB41099" s="38"/>
    </row>
    <row r="41100">
      <c r="P41100" s="42"/>
      <c r="AB41100" s="38"/>
    </row>
    <row r="41101">
      <c r="P41101" s="42"/>
      <c r="AB41101" s="38"/>
    </row>
    <row r="41102">
      <c r="P41102" s="42"/>
      <c r="AB41102" s="38"/>
    </row>
    <row r="41103">
      <c r="P41103" s="42"/>
      <c r="AB41103" s="38"/>
    </row>
    <row r="41104">
      <c r="P41104" s="42"/>
      <c r="AB41104" s="38"/>
    </row>
    <row r="41105">
      <c r="P41105" s="42"/>
      <c r="AB41105" s="38"/>
    </row>
    <row r="41106">
      <c r="P41106" s="42"/>
      <c r="AB41106" s="38"/>
    </row>
    <row r="41107">
      <c r="P41107" s="42"/>
      <c r="AB41107" s="38"/>
    </row>
    <row r="41108">
      <c r="P41108" s="42"/>
      <c r="AB41108" s="38"/>
    </row>
    <row r="41109">
      <c r="P41109" s="42"/>
      <c r="AB41109" s="38"/>
    </row>
    <row r="41110">
      <c r="P41110" s="42"/>
      <c r="AB41110" s="38"/>
    </row>
    <row r="41111">
      <c r="P41111" s="42"/>
      <c r="AB41111" s="38"/>
    </row>
    <row r="41112">
      <c r="P41112" s="42"/>
      <c r="AB41112" s="38"/>
    </row>
    <row r="41113">
      <c r="P41113" s="42"/>
      <c r="AB41113" s="38"/>
    </row>
    <row r="41114">
      <c r="P41114" s="42"/>
      <c r="AB41114" s="38"/>
    </row>
    <row r="41115">
      <c r="P41115" s="42"/>
      <c r="AB41115" s="38"/>
    </row>
    <row r="41116">
      <c r="P41116" s="42"/>
      <c r="AB41116" s="38"/>
    </row>
    <row r="41117">
      <c r="P41117" s="42"/>
      <c r="AB41117" s="38"/>
    </row>
    <row r="41118">
      <c r="P41118" s="42"/>
      <c r="AB41118" s="38"/>
    </row>
    <row r="41119">
      <c r="P41119" s="42"/>
      <c r="AB41119" s="38"/>
    </row>
    <row r="41120">
      <c r="P41120" s="42"/>
      <c r="AB41120" s="38"/>
    </row>
    <row r="41121">
      <c r="P41121" s="42"/>
      <c r="AB41121" s="38"/>
    </row>
    <row r="41122">
      <c r="P41122" s="42"/>
      <c r="AB41122" s="38"/>
    </row>
    <row r="41123">
      <c r="P41123" s="42"/>
      <c r="AB41123" s="38"/>
    </row>
    <row r="41124">
      <c r="P41124" s="42"/>
      <c r="AB41124" s="38"/>
    </row>
    <row r="41125">
      <c r="P41125" s="42"/>
      <c r="AB41125" s="38"/>
    </row>
    <row r="41126">
      <c r="P41126" s="42"/>
      <c r="AB41126" s="38"/>
    </row>
    <row r="41127">
      <c r="P41127" s="42"/>
      <c r="AB41127" s="38"/>
    </row>
    <row r="41128">
      <c r="P41128" s="42"/>
      <c r="AB41128" s="38"/>
    </row>
    <row r="41129">
      <c r="P41129" s="42"/>
      <c r="AB41129" s="38"/>
    </row>
    <row r="41130">
      <c r="P41130" s="42"/>
      <c r="AB41130" s="38"/>
    </row>
    <row r="41131">
      <c r="P41131" s="42"/>
      <c r="AB41131" s="38"/>
    </row>
    <row r="41132">
      <c r="P41132" s="42"/>
      <c r="AB41132" s="38"/>
    </row>
    <row r="41133">
      <c r="P41133" s="42"/>
      <c r="AB41133" s="38"/>
    </row>
    <row r="41134">
      <c r="P41134" s="42"/>
      <c r="AB41134" s="38"/>
    </row>
    <row r="41135">
      <c r="P41135" s="42"/>
      <c r="AB41135" s="38"/>
    </row>
    <row r="41136">
      <c r="P41136" s="42"/>
      <c r="AB41136" s="38"/>
    </row>
    <row r="41137">
      <c r="P41137" s="42"/>
      <c r="AB41137" s="38"/>
    </row>
    <row r="41138">
      <c r="P41138" s="42"/>
      <c r="AB41138" s="38"/>
    </row>
    <row r="41139">
      <c r="P41139" s="42"/>
      <c r="AB41139" s="38"/>
    </row>
    <row r="41140">
      <c r="P41140" s="42"/>
      <c r="AB41140" s="38"/>
    </row>
    <row r="41141">
      <c r="P41141" s="42"/>
      <c r="AB41141" s="38"/>
    </row>
    <row r="41142">
      <c r="P41142" s="42"/>
      <c r="AB41142" s="38"/>
    </row>
    <row r="41143">
      <c r="P41143" s="42"/>
      <c r="AB41143" s="38"/>
    </row>
    <row r="41144">
      <c r="P41144" s="42"/>
      <c r="AB41144" s="38"/>
    </row>
    <row r="41145">
      <c r="P41145" s="42"/>
      <c r="AB41145" s="38"/>
    </row>
    <row r="41146">
      <c r="P41146" s="42"/>
      <c r="AB41146" s="38"/>
    </row>
    <row r="41147">
      <c r="P41147" s="42"/>
      <c r="AB41147" s="38"/>
    </row>
    <row r="41148">
      <c r="P41148" s="42"/>
      <c r="AB41148" s="38"/>
    </row>
    <row r="41149">
      <c r="P41149" s="42"/>
      <c r="AB41149" s="38"/>
    </row>
    <row r="41150">
      <c r="P41150" s="42"/>
      <c r="AB41150" s="38"/>
    </row>
    <row r="41151">
      <c r="P41151" s="42"/>
      <c r="AB41151" s="38"/>
    </row>
    <row r="41152">
      <c r="P41152" s="42"/>
      <c r="AB41152" s="38"/>
    </row>
    <row r="41153">
      <c r="P41153" s="42"/>
      <c r="AB41153" s="38"/>
    </row>
    <row r="41154">
      <c r="P41154" s="42"/>
      <c r="AB41154" s="38"/>
    </row>
    <row r="41155">
      <c r="P41155" s="42"/>
      <c r="AB41155" s="38"/>
    </row>
    <row r="41156">
      <c r="P41156" s="42"/>
      <c r="AB41156" s="38"/>
    </row>
    <row r="41157">
      <c r="P41157" s="42"/>
      <c r="AB41157" s="38"/>
    </row>
    <row r="41158">
      <c r="P41158" s="42"/>
      <c r="AB41158" s="38"/>
    </row>
    <row r="41159">
      <c r="P41159" s="42"/>
      <c r="AB41159" s="38"/>
    </row>
    <row r="41160">
      <c r="P41160" s="42"/>
      <c r="AB41160" s="38"/>
    </row>
    <row r="41161">
      <c r="P41161" s="42"/>
      <c r="AB41161" s="38"/>
    </row>
    <row r="41162">
      <c r="P41162" s="42"/>
      <c r="AB41162" s="38"/>
    </row>
    <row r="41163">
      <c r="P41163" s="42"/>
      <c r="AB41163" s="38"/>
    </row>
    <row r="41164">
      <c r="P41164" s="42"/>
      <c r="AB41164" s="38"/>
    </row>
    <row r="41165">
      <c r="P41165" s="42"/>
      <c r="AB41165" s="38"/>
    </row>
    <row r="41166">
      <c r="P41166" s="42"/>
      <c r="AB41166" s="38"/>
    </row>
    <row r="41167">
      <c r="P41167" s="42"/>
      <c r="AB41167" s="38"/>
    </row>
    <row r="41168">
      <c r="P41168" s="42"/>
      <c r="AB41168" s="38"/>
    </row>
    <row r="41169">
      <c r="P41169" s="42"/>
      <c r="AB41169" s="38"/>
    </row>
    <row r="41170">
      <c r="P41170" s="42"/>
      <c r="AB41170" s="38"/>
    </row>
    <row r="41171">
      <c r="P41171" s="42"/>
      <c r="AB41171" s="38"/>
    </row>
    <row r="41172">
      <c r="P41172" s="42"/>
      <c r="AB41172" s="38"/>
    </row>
    <row r="41173">
      <c r="P41173" s="42"/>
      <c r="AB41173" s="38"/>
    </row>
    <row r="41174">
      <c r="P41174" s="42"/>
      <c r="AB41174" s="38"/>
    </row>
    <row r="41175">
      <c r="P41175" s="42"/>
      <c r="AB41175" s="38"/>
    </row>
    <row r="41176">
      <c r="P41176" s="42"/>
      <c r="AB41176" s="38"/>
    </row>
    <row r="41177">
      <c r="P41177" s="42"/>
      <c r="AB41177" s="38"/>
    </row>
    <row r="41178">
      <c r="P41178" s="42"/>
      <c r="AB41178" s="38"/>
    </row>
    <row r="41179">
      <c r="P41179" s="42"/>
      <c r="AB41179" s="38"/>
    </row>
    <row r="41180">
      <c r="P41180" s="42"/>
      <c r="AB41180" s="38"/>
    </row>
    <row r="41181">
      <c r="P41181" s="42"/>
      <c r="AB41181" s="38"/>
    </row>
    <row r="41182">
      <c r="P41182" s="42"/>
      <c r="AB41182" s="38"/>
    </row>
    <row r="41183">
      <c r="P41183" s="42"/>
      <c r="AB41183" s="38"/>
    </row>
    <row r="41184">
      <c r="P41184" s="42"/>
      <c r="AB41184" s="38"/>
    </row>
    <row r="41185">
      <c r="P41185" s="42"/>
      <c r="AB41185" s="38"/>
    </row>
    <row r="41186">
      <c r="P41186" s="42"/>
      <c r="AB41186" s="38"/>
    </row>
    <row r="41187">
      <c r="P41187" s="42"/>
      <c r="AB41187" s="38"/>
    </row>
    <row r="41188">
      <c r="P41188" s="42"/>
      <c r="AB41188" s="38"/>
    </row>
    <row r="41189">
      <c r="P41189" s="42"/>
      <c r="AB41189" s="38"/>
    </row>
    <row r="41190">
      <c r="P41190" s="42"/>
      <c r="AB41190" s="38"/>
    </row>
    <row r="41191">
      <c r="P41191" s="42"/>
      <c r="AB41191" s="38"/>
    </row>
    <row r="41192">
      <c r="P41192" s="42"/>
      <c r="AB41192" s="38"/>
    </row>
    <row r="41193">
      <c r="P41193" s="42"/>
      <c r="AB41193" s="38"/>
    </row>
    <row r="41194">
      <c r="P41194" s="42"/>
      <c r="AB41194" s="38"/>
    </row>
    <row r="41195">
      <c r="P41195" s="42"/>
      <c r="AB41195" s="38"/>
    </row>
    <row r="41196">
      <c r="P41196" s="42"/>
      <c r="AB41196" s="38"/>
    </row>
    <row r="41197">
      <c r="P41197" s="42"/>
      <c r="AB41197" s="38"/>
    </row>
    <row r="41198">
      <c r="P41198" s="42"/>
      <c r="AB41198" s="38"/>
    </row>
    <row r="41199">
      <c r="P41199" s="42"/>
      <c r="AB41199" s="38"/>
    </row>
    <row r="41200">
      <c r="P41200" s="42"/>
      <c r="AB41200" s="38"/>
    </row>
    <row r="41201">
      <c r="P41201" s="42"/>
      <c r="AB41201" s="38"/>
    </row>
    <row r="41202">
      <c r="P41202" s="42"/>
      <c r="AB41202" s="38"/>
    </row>
    <row r="41203">
      <c r="P41203" s="42"/>
      <c r="AB41203" s="38"/>
    </row>
    <row r="41204">
      <c r="P41204" s="42"/>
      <c r="AB41204" s="38"/>
    </row>
    <row r="41205">
      <c r="P41205" s="42"/>
      <c r="AB41205" s="38"/>
    </row>
    <row r="41206">
      <c r="P41206" s="42"/>
      <c r="AB41206" s="38"/>
    </row>
    <row r="41207">
      <c r="P41207" s="42"/>
      <c r="AB41207" s="38"/>
    </row>
    <row r="41208">
      <c r="P41208" s="42"/>
      <c r="AB41208" s="38"/>
    </row>
    <row r="41209">
      <c r="P41209" s="42"/>
      <c r="AB41209" s="38"/>
    </row>
    <row r="41210">
      <c r="P41210" s="42"/>
      <c r="AB41210" s="38"/>
    </row>
    <row r="41211">
      <c r="P41211" s="42"/>
      <c r="AB41211" s="38"/>
    </row>
    <row r="41212">
      <c r="P41212" s="42"/>
      <c r="AB41212" s="38"/>
    </row>
    <row r="41213">
      <c r="P41213" s="42"/>
      <c r="AB41213" s="38"/>
    </row>
    <row r="41214">
      <c r="P41214" s="42"/>
      <c r="AB41214" s="38"/>
    </row>
    <row r="41215">
      <c r="P41215" s="42"/>
      <c r="AB41215" s="38"/>
    </row>
    <row r="41216">
      <c r="P41216" s="42"/>
      <c r="AB41216" s="38"/>
    </row>
    <row r="41217">
      <c r="P41217" s="42"/>
      <c r="AB41217" s="38"/>
    </row>
    <row r="41218">
      <c r="P41218" s="42"/>
      <c r="AB41218" s="38"/>
    </row>
    <row r="41219">
      <c r="P41219" s="42"/>
      <c r="AB41219" s="38"/>
    </row>
    <row r="41220">
      <c r="P41220" s="42"/>
      <c r="AB41220" s="38"/>
    </row>
    <row r="41221">
      <c r="P41221" s="42"/>
      <c r="AB41221" s="38"/>
    </row>
    <row r="41222">
      <c r="P41222" s="42"/>
      <c r="AB41222" s="38"/>
    </row>
    <row r="41223">
      <c r="P41223" s="42"/>
      <c r="AB41223" s="38"/>
    </row>
    <row r="41224">
      <c r="P41224" s="42"/>
      <c r="AB41224" s="38"/>
    </row>
    <row r="41225">
      <c r="P41225" s="42"/>
      <c r="AB41225" s="38"/>
    </row>
    <row r="41226">
      <c r="P41226" s="42"/>
      <c r="AB41226" s="38"/>
    </row>
    <row r="41227">
      <c r="P41227" s="42"/>
      <c r="AB41227" s="38"/>
    </row>
    <row r="41228">
      <c r="P41228" s="42"/>
      <c r="AB41228" s="38"/>
    </row>
    <row r="41229">
      <c r="P41229" s="42"/>
      <c r="AB41229" s="38"/>
    </row>
    <row r="41230">
      <c r="P41230" s="42"/>
      <c r="AB41230" s="38"/>
    </row>
    <row r="41231">
      <c r="P41231" s="42"/>
      <c r="AB41231" s="38"/>
    </row>
    <row r="41232">
      <c r="P41232" s="42"/>
      <c r="AB41232" s="38"/>
    </row>
    <row r="41233">
      <c r="P41233" s="42"/>
      <c r="AB41233" s="38"/>
    </row>
    <row r="41234">
      <c r="P41234" s="42"/>
      <c r="AB41234" s="38"/>
    </row>
    <row r="41235">
      <c r="P41235" s="42"/>
      <c r="AB41235" s="38"/>
    </row>
    <row r="41236">
      <c r="P41236" s="42"/>
      <c r="AB41236" s="38"/>
    </row>
    <row r="41237">
      <c r="P41237" s="42"/>
      <c r="AB41237" s="38"/>
    </row>
    <row r="41238">
      <c r="P41238" s="42"/>
      <c r="AB41238" s="38"/>
    </row>
    <row r="41239">
      <c r="P41239" s="42"/>
      <c r="AB41239" s="38"/>
    </row>
    <row r="41240">
      <c r="P41240" s="42"/>
      <c r="AB41240" s="38"/>
    </row>
    <row r="41241">
      <c r="P41241" s="42"/>
      <c r="AB41241" s="38"/>
    </row>
    <row r="41242">
      <c r="P41242" s="42"/>
      <c r="AB41242" s="38"/>
    </row>
    <row r="41243">
      <c r="P41243" s="42"/>
      <c r="AB41243" s="38"/>
    </row>
    <row r="41244">
      <c r="P41244" s="42"/>
      <c r="AB41244" s="38"/>
    </row>
    <row r="41245">
      <c r="P41245" s="42"/>
      <c r="AB41245" s="38"/>
    </row>
    <row r="41246">
      <c r="P41246" s="42"/>
      <c r="AB41246" s="38"/>
    </row>
    <row r="41247">
      <c r="P41247" s="42"/>
      <c r="AB41247" s="38"/>
    </row>
    <row r="41248">
      <c r="P41248" s="42"/>
      <c r="AB41248" s="38"/>
    </row>
    <row r="41249">
      <c r="P41249" s="42"/>
      <c r="AB41249" s="38"/>
    </row>
    <row r="41250">
      <c r="P41250" s="42"/>
      <c r="AB41250" s="38"/>
    </row>
    <row r="41251">
      <c r="P41251" s="42"/>
      <c r="AB41251" s="38"/>
    </row>
    <row r="41252">
      <c r="P41252" s="42"/>
      <c r="AB41252" s="38"/>
    </row>
    <row r="41253">
      <c r="P41253" s="42"/>
      <c r="AB41253" s="38"/>
    </row>
    <row r="41254">
      <c r="P41254" s="42"/>
      <c r="AB41254" s="38"/>
    </row>
    <row r="41255">
      <c r="P41255" s="42"/>
      <c r="AB41255" s="38"/>
    </row>
    <row r="41256">
      <c r="P41256" s="42"/>
      <c r="AB41256" s="38"/>
    </row>
    <row r="41257">
      <c r="P41257" s="42"/>
      <c r="AB41257" s="38"/>
    </row>
    <row r="41258">
      <c r="P41258" s="42"/>
      <c r="AB41258" s="38"/>
    </row>
    <row r="41259">
      <c r="P41259" s="42"/>
      <c r="AB41259" s="38"/>
    </row>
    <row r="41260">
      <c r="P41260" s="42"/>
      <c r="AB41260" s="38"/>
    </row>
    <row r="41261">
      <c r="P41261" s="42"/>
      <c r="AB41261" s="38"/>
    </row>
    <row r="41262">
      <c r="P41262" s="42"/>
      <c r="AB41262" s="38"/>
    </row>
    <row r="41263">
      <c r="P41263" s="42"/>
      <c r="AB41263" s="38"/>
    </row>
    <row r="41264">
      <c r="P41264" s="42"/>
      <c r="AB41264" s="38"/>
    </row>
    <row r="41265">
      <c r="P41265" s="42"/>
      <c r="AB41265" s="38"/>
    </row>
    <row r="41266">
      <c r="P41266" s="42"/>
      <c r="AB41266" s="38"/>
    </row>
    <row r="41267">
      <c r="P41267" s="42"/>
      <c r="AB41267" s="38"/>
    </row>
    <row r="41268">
      <c r="P41268" s="42"/>
      <c r="AB41268" s="38"/>
    </row>
    <row r="41269">
      <c r="P41269" s="42"/>
      <c r="AB41269" s="38"/>
    </row>
    <row r="41270">
      <c r="P41270" s="42"/>
      <c r="AB41270" s="38"/>
    </row>
    <row r="41271">
      <c r="P41271" s="42"/>
      <c r="AB41271" s="38"/>
    </row>
    <row r="41272">
      <c r="P41272" s="42"/>
      <c r="AB41272" s="38"/>
    </row>
    <row r="41273">
      <c r="P41273" s="42"/>
      <c r="AB41273" s="38"/>
    </row>
    <row r="41274">
      <c r="P41274" s="42"/>
      <c r="AB41274" s="38"/>
    </row>
    <row r="41275">
      <c r="P41275" s="42"/>
      <c r="AB41275" s="38"/>
    </row>
    <row r="41276">
      <c r="P41276" s="42"/>
      <c r="AB41276" s="38"/>
    </row>
    <row r="41277">
      <c r="P41277" s="42"/>
      <c r="AB41277" s="38"/>
    </row>
    <row r="41278">
      <c r="P41278" s="42"/>
      <c r="AB41278" s="38"/>
    </row>
    <row r="41279">
      <c r="P41279" s="42"/>
      <c r="AB41279" s="38"/>
    </row>
    <row r="41280">
      <c r="P41280" s="42"/>
      <c r="AB41280" s="38"/>
    </row>
    <row r="41281">
      <c r="P41281" s="42"/>
      <c r="AB41281" s="38"/>
    </row>
    <row r="41282">
      <c r="P41282" s="42"/>
      <c r="AB41282" s="38"/>
    </row>
    <row r="41283">
      <c r="P41283" s="42"/>
      <c r="AB41283" s="38"/>
    </row>
    <row r="41284">
      <c r="P41284" s="42"/>
      <c r="AB41284" s="38"/>
    </row>
    <row r="41285">
      <c r="P41285" s="42"/>
      <c r="AB41285" s="38"/>
    </row>
    <row r="41286">
      <c r="P41286" s="42"/>
      <c r="AB41286" s="38"/>
    </row>
    <row r="41287">
      <c r="P41287" s="42"/>
      <c r="AB41287" s="38"/>
    </row>
    <row r="41288">
      <c r="P41288" s="42"/>
      <c r="AB41288" s="38"/>
    </row>
    <row r="41289">
      <c r="P41289" s="42"/>
      <c r="AB41289" s="38"/>
    </row>
    <row r="41290">
      <c r="P41290" s="42"/>
      <c r="AB41290" s="38"/>
    </row>
    <row r="41291">
      <c r="P41291" s="42"/>
      <c r="AB41291" s="38"/>
    </row>
    <row r="41292">
      <c r="P41292" s="42"/>
      <c r="AB41292" s="38"/>
    </row>
    <row r="41293">
      <c r="P41293" s="42"/>
      <c r="AB41293" s="38"/>
    </row>
    <row r="41294">
      <c r="P41294" s="42"/>
      <c r="AB41294" s="38"/>
    </row>
    <row r="41295">
      <c r="P41295" s="42"/>
      <c r="AB41295" s="38"/>
    </row>
    <row r="41296">
      <c r="P41296" s="42"/>
      <c r="AB41296" s="38"/>
    </row>
    <row r="41297">
      <c r="P41297" s="42"/>
      <c r="AB41297" s="38"/>
    </row>
    <row r="41298">
      <c r="P41298" s="42"/>
      <c r="AB41298" s="38"/>
    </row>
    <row r="41299">
      <c r="P41299" s="42"/>
      <c r="AB41299" s="38"/>
    </row>
    <row r="41300">
      <c r="P41300" s="42"/>
      <c r="AB41300" s="38"/>
    </row>
    <row r="41301">
      <c r="P41301" s="42"/>
      <c r="AB41301" s="38"/>
    </row>
    <row r="41302">
      <c r="P41302" s="42"/>
      <c r="AB41302" s="38"/>
    </row>
    <row r="41303">
      <c r="P41303" s="42"/>
      <c r="AB41303" s="38"/>
    </row>
    <row r="41304">
      <c r="P41304" s="42"/>
      <c r="AB41304" s="38"/>
    </row>
    <row r="41305">
      <c r="P41305" s="42"/>
      <c r="AB41305" s="38"/>
    </row>
    <row r="41306">
      <c r="P41306" s="42"/>
      <c r="AB41306" s="38"/>
    </row>
    <row r="41307">
      <c r="P41307" s="42"/>
      <c r="AB41307" s="38"/>
    </row>
    <row r="41308">
      <c r="P41308" s="42"/>
      <c r="AB41308" s="38"/>
    </row>
    <row r="41309">
      <c r="P41309" s="42"/>
      <c r="AB41309" s="38"/>
    </row>
    <row r="41310">
      <c r="P41310" s="42"/>
      <c r="AB41310" s="38"/>
    </row>
    <row r="41311">
      <c r="P41311" s="42"/>
      <c r="AB41311" s="38"/>
    </row>
    <row r="41312">
      <c r="P41312" s="42"/>
      <c r="AB41312" s="38"/>
    </row>
    <row r="41313">
      <c r="P41313" s="42"/>
      <c r="AB41313" s="38"/>
    </row>
    <row r="41314">
      <c r="P41314" s="42"/>
      <c r="AB41314" s="38"/>
    </row>
    <row r="41315">
      <c r="P41315" s="42"/>
      <c r="AB41315" s="38"/>
    </row>
    <row r="41316">
      <c r="P41316" s="42"/>
      <c r="AB41316" s="38"/>
    </row>
    <row r="41317">
      <c r="P41317" s="42"/>
      <c r="AB41317" s="38"/>
    </row>
    <row r="41318">
      <c r="P41318" s="42"/>
      <c r="AB41318" s="38"/>
    </row>
    <row r="41319">
      <c r="P41319" s="42"/>
      <c r="AB41319" s="38"/>
    </row>
    <row r="41320">
      <c r="P41320" s="42"/>
      <c r="AB41320" s="38"/>
    </row>
    <row r="41321">
      <c r="P41321" s="42"/>
      <c r="AB41321" s="38"/>
    </row>
    <row r="41322">
      <c r="P41322" s="42"/>
      <c r="AB41322" s="38"/>
    </row>
    <row r="41323">
      <c r="P41323" s="42"/>
      <c r="AB41323" s="38"/>
    </row>
    <row r="41324">
      <c r="P41324" s="42"/>
      <c r="AB41324" s="38"/>
    </row>
    <row r="41325">
      <c r="P41325" s="42"/>
      <c r="AB41325" s="38"/>
    </row>
    <row r="41326">
      <c r="P41326" s="42"/>
      <c r="AB41326" s="38"/>
    </row>
    <row r="41327">
      <c r="P41327" s="42"/>
      <c r="AB41327" s="38"/>
    </row>
    <row r="41328">
      <c r="P41328" s="42"/>
      <c r="AB41328" s="38"/>
    </row>
    <row r="41329">
      <c r="P41329" s="42"/>
      <c r="AB41329" s="38"/>
    </row>
    <row r="41330">
      <c r="P41330" s="42"/>
      <c r="AB41330" s="38"/>
    </row>
    <row r="41331">
      <c r="P41331" s="42"/>
      <c r="AB41331" s="38"/>
    </row>
    <row r="41332">
      <c r="P41332" s="42"/>
      <c r="AB41332" s="38"/>
    </row>
    <row r="41333">
      <c r="P41333" s="42"/>
      <c r="AB41333" s="38"/>
    </row>
    <row r="41334">
      <c r="P41334" s="42"/>
      <c r="AB41334" s="38"/>
    </row>
    <row r="41335">
      <c r="P41335" s="42"/>
      <c r="AB41335" s="38"/>
    </row>
    <row r="41336">
      <c r="P41336" s="42"/>
      <c r="AB41336" s="38"/>
    </row>
    <row r="41337">
      <c r="P41337" s="42"/>
      <c r="AB41337" s="38"/>
    </row>
    <row r="41338">
      <c r="P41338" s="42"/>
      <c r="AB41338" s="38"/>
    </row>
    <row r="41339">
      <c r="P41339" s="42"/>
      <c r="AB41339" s="38"/>
    </row>
    <row r="41340">
      <c r="P41340" s="42"/>
      <c r="AB41340" s="38"/>
    </row>
    <row r="41341">
      <c r="P41341" s="42"/>
      <c r="AB41341" s="38"/>
    </row>
    <row r="41342">
      <c r="P41342" s="42"/>
      <c r="AB41342" s="38"/>
    </row>
    <row r="41343">
      <c r="P41343" s="42"/>
      <c r="AB41343" s="38"/>
    </row>
    <row r="41344">
      <c r="P41344" s="42"/>
      <c r="AB41344" s="38"/>
    </row>
    <row r="41345">
      <c r="P41345" s="42"/>
      <c r="AB41345" s="38"/>
    </row>
    <row r="41346">
      <c r="P41346" s="42"/>
      <c r="AB41346" s="38"/>
    </row>
    <row r="41347">
      <c r="P41347" s="42"/>
      <c r="AB41347" s="38"/>
    </row>
    <row r="41348">
      <c r="P41348" s="42"/>
      <c r="AB41348" s="38"/>
    </row>
    <row r="41349">
      <c r="P41349" s="42"/>
      <c r="AB41349" s="38"/>
    </row>
    <row r="41350">
      <c r="P41350" s="42"/>
      <c r="AB41350" s="38"/>
    </row>
    <row r="41351">
      <c r="P41351" s="42"/>
      <c r="AB41351" s="38"/>
    </row>
    <row r="41352">
      <c r="P41352" s="42"/>
      <c r="AB41352" s="38"/>
    </row>
    <row r="41353">
      <c r="P41353" s="42"/>
      <c r="AB41353" s="38"/>
    </row>
    <row r="41354">
      <c r="P41354" s="42"/>
      <c r="AB41354" s="38"/>
    </row>
    <row r="41355">
      <c r="P41355" s="42"/>
      <c r="AB41355" s="38"/>
    </row>
    <row r="41356">
      <c r="P41356" s="42"/>
      <c r="AB41356" s="38"/>
    </row>
    <row r="41357">
      <c r="P41357" s="42"/>
      <c r="AB41357" s="38"/>
    </row>
    <row r="41358">
      <c r="P41358" s="42"/>
      <c r="AB41358" s="38"/>
    </row>
    <row r="41359">
      <c r="P41359" s="42"/>
      <c r="AB41359" s="38"/>
    </row>
    <row r="41360">
      <c r="P41360" s="42"/>
      <c r="AB41360" s="38"/>
    </row>
    <row r="41361">
      <c r="P41361" s="42"/>
      <c r="AB41361" s="38"/>
    </row>
    <row r="41362">
      <c r="P41362" s="42"/>
      <c r="AB41362" s="38"/>
    </row>
    <row r="41363">
      <c r="P41363" s="42"/>
      <c r="AB41363" s="38"/>
    </row>
    <row r="41364">
      <c r="P41364" s="42"/>
      <c r="AB41364" s="38"/>
    </row>
    <row r="41365">
      <c r="P41365" s="42"/>
      <c r="AB41365" s="38"/>
    </row>
    <row r="41366">
      <c r="P41366" s="42"/>
      <c r="AB41366" s="38"/>
    </row>
    <row r="41367">
      <c r="P41367" s="42"/>
      <c r="AB41367" s="38"/>
    </row>
    <row r="41368">
      <c r="P41368" s="42"/>
      <c r="AB41368" s="38"/>
    </row>
    <row r="41369">
      <c r="P41369" s="42"/>
      <c r="AB41369" s="38"/>
    </row>
    <row r="41370">
      <c r="P41370" s="42"/>
      <c r="AB41370" s="38"/>
    </row>
    <row r="41371">
      <c r="P41371" s="42"/>
      <c r="AB41371" s="38"/>
    </row>
    <row r="41372">
      <c r="P41372" s="42"/>
      <c r="AB41372" s="38"/>
    </row>
    <row r="41373">
      <c r="P41373" s="42"/>
      <c r="AB41373" s="38"/>
    </row>
    <row r="41374">
      <c r="P41374" s="42"/>
      <c r="AB41374" s="38"/>
    </row>
    <row r="41375">
      <c r="P41375" s="42"/>
      <c r="AB41375" s="38"/>
    </row>
    <row r="41376">
      <c r="P41376" s="42"/>
      <c r="AB41376" s="38"/>
    </row>
    <row r="41377">
      <c r="P41377" s="42"/>
      <c r="AB41377" s="38"/>
    </row>
    <row r="41378">
      <c r="P41378" s="42"/>
      <c r="AB41378" s="38"/>
    </row>
    <row r="41379">
      <c r="P41379" s="42"/>
      <c r="AB41379" s="38"/>
    </row>
    <row r="41380">
      <c r="P41380" s="42"/>
      <c r="AB41380" s="38"/>
    </row>
    <row r="41381">
      <c r="P41381" s="42"/>
      <c r="AB41381" s="38"/>
    </row>
    <row r="41382">
      <c r="P41382" s="42"/>
      <c r="AB41382" s="38"/>
    </row>
    <row r="41383">
      <c r="P41383" s="42"/>
      <c r="AB41383" s="38"/>
    </row>
    <row r="41384">
      <c r="P41384" s="42"/>
      <c r="AB41384" s="38"/>
    </row>
    <row r="41385">
      <c r="P41385" s="42"/>
      <c r="AB41385" s="38"/>
    </row>
    <row r="41386">
      <c r="P41386" s="42"/>
      <c r="AB41386" s="38"/>
    </row>
    <row r="41387">
      <c r="P41387" s="42"/>
      <c r="AB41387" s="38"/>
    </row>
    <row r="41388">
      <c r="P41388" s="42"/>
      <c r="AB41388" s="38"/>
    </row>
    <row r="41389">
      <c r="P41389" s="42"/>
      <c r="AB41389" s="38"/>
    </row>
    <row r="41390">
      <c r="P41390" s="42"/>
      <c r="AB41390" s="38"/>
    </row>
    <row r="41391">
      <c r="P41391" s="42"/>
      <c r="AB41391" s="38"/>
    </row>
    <row r="41392">
      <c r="P41392" s="42"/>
      <c r="AB41392" s="38"/>
    </row>
    <row r="41393">
      <c r="P41393" s="42"/>
      <c r="AB41393" s="38"/>
    </row>
    <row r="41394">
      <c r="P41394" s="42"/>
      <c r="AB41394" s="38"/>
    </row>
    <row r="41395">
      <c r="P41395" s="42"/>
      <c r="AB41395" s="38"/>
    </row>
    <row r="41396">
      <c r="P41396" s="42"/>
      <c r="AB41396" s="38"/>
    </row>
    <row r="41397">
      <c r="P41397" s="42"/>
      <c r="AB41397" s="38"/>
    </row>
    <row r="41398">
      <c r="P41398" s="42"/>
      <c r="AB41398" s="38"/>
    </row>
    <row r="41399">
      <c r="P41399" s="42"/>
      <c r="AB41399" s="38"/>
    </row>
    <row r="41400">
      <c r="P41400" s="42"/>
      <c r="AB41400" s="38"/>
    </row>
    <row r="41401">
      <c r="P41401" s="42"/>
      <c r="AB41401" s="38"/>
    </row>
    <row r="41402">
      <c r="P41402" s="42"/>
      <c r="AB41402" s="38"/>
    </row>
    <row r="41403">
      <c r="P41403" s="42"/>
      <c r="AB41403" s="38"/>
    </row>
    <row r="41404">
      <c r="P41404" s="42"/>
      <c r="AB41404" s="38"/>
    </row>
    <row r="41405">
      <c r="P41405" s="42"/>
      <c r="AB41405" s="38"/>
    </row>
    <row r="41406">
      <c r="P41406" s="42"/>
      <c r="AB41406" s="38"/>
    </row>
    <row r="41407">
      <c r="P41407" s="42"/>
      <c r="AB41407" s="38"/>
    </row>
    <row r="41408">
      <c r="P41408" s="42"/>
      <c r="AB41408" s="38"/>
    </row>
    <row r="41409">
      <c r="P41409" s="42"/>
      <c r="AB41409" s="38"/>
    </row>
    <row r="41410">
      <c r="P41410" s="42"/>
      <c r="AB41410" s="38"/>
    </row>
    <row r="41411">
      <c r="P41411" s="42"/>
      <c r="AB41411" s="38"/>
    </row>
    <row r="41412">
      <c r="P41412" s="42"/>
      <c r="AB41412" s="38"/>
    </row>
    <row r="41413">
      <c r="P41413" s="42"/>
      <c r="AB41413" s="38"/>
    </row>
    <row r="41414">
      <c r="P41414" s="42"/>
      <c r="AB41414" s="38"/>
    </row>
    <row r="41415">
      <c r="P41415" s="42"/>
      <c r="AB41415" s="38"/>
    </row>
    <row r="41416">
      <c r="P41416" s="42"/>
      <c r="AB41416" s="38"/>
    </row>
    <row r="41417">
      <c r="P41417" s="42"/>
      <c r="AB41417" s="38"/>
    </row>
    <row r="41418">
      <c r="P41418" s="42"/>
      <c r="AB41418" s="38"/>
    </row>
    <row r="41419">
      <c r="P41419" s="42"/>
      <c r="AB41419" s="38"/>
    </row>
    <row r="41420">
      <c r="P41420" s="42"/>
      <c r="AB41420" s="38"/>
    </row>
    <row r="41421">
      <c r="P41421" s="42"/>
      <c r="AB41421" s="38"/>
    </row>
    <row r="41422">
      <c r="P41422" s="42"/>
      <c r="AB41422" s="38"/>
    </row>
    <row r="41423">
      <c r="P41423" s="42"/>
      <c r="AB41423" s="38"/>
    </row>
    <row r="41424">
      <c r="P41424" s="42"/>
      <c r="AB41424" s="38"/>
    </row>
    <row r="41425">
      <c r="P41425" s="42"/>
      <c r="AB41425" s="38"/>
    </row>
    <row r="41426">
      <c r="P41426" s="42"/>
      <c r="AB41426" s="38"/>
    </row>
    <row r="41427">
      <c r="P41427" s="42"/>
      <c r="AB41427" s="38"/>
    </row>
    <row r="41428">
      <c r="P41428" s="42"/>
      <c r="AB41428" s="38"/>
    </row>
    <row r="41429">
      <c r="P41429" s="42"/>
      <c r="AB41429" s="38"/>
    </row>
    <row r="41430">
      <c r="P41430" s="42"/>
      <c r="AB41430" s="38"/>
    </row>
    <row r="41431">
      <c r="P41431" s="42"/>
      <c r="AB41431" s="38"/>
    </row>
    <row r="41432">
      <c r="P41432" s="42"/>
      <c r="AB41432" s="38"/>
    </row>
    <row r="41433">
      <c r="P41433" s="42"/>
      <c r="AB41433" s="38"/>
    </row>
    <row r="41434">
      <c r="P41434" s="42"/>
      <c r="AB41434" s="38"/>
    </row>
    <row r="41435">
      <c r="P41435" s="42"/>
      <c r="AB41435" s="38"/>
    </row>
    <row r="41436">
      <c r="P41436" s="42"/>
      <c r="AB41436" s="38"/>
    </row>
    <row r="41437">
      <c r="P41437" s="42"/>
      <c r="AB41437" s="38"/>
    </row>
    <row r="41438">
      <c r="P41438" s="42"/>
      <c r="AB41438" s="38"/>
    </row>
    <row r="41439">
      <c r="P41439" s="42"/>
      <c r="AB41439" s="38"/>
    </row>
    <row r="41440">
      <c r="P41440" s="42"/>
      <c r="AB41440" s="38"/>
    </row>
    <row r="41441">
      <c r="P41441" s="42"/>
      <c r="AB41441" s="38"/>
    </row>
    <row r="41442">
      <c r="P41442" s="42"/>
      <c r="AB41442" s="38"/>
    </row>
    <row r="41443">
      <c r="P41443" s="42"/>
      <c r="AB41443" s="38"/>
    </row>
    <row r="41444">
      <c r="P41444" s="42"/>
      <c r="AB41444" s="38"/>
    </row>
    <row r="41445">
      <c r="P41445" s="42"/>
      <c r="AB41445" s="38"/>
    </row>
    <row r="41446">
      <c r="P41446" s="42"/>
      <c r="AB41446" s="38"/>
    </row>
    <row r="41447">
      <c r="P41447" s="42"/>
      <c r="AB41447" s="38"/>
    </row>
    <row r="41448">
      <c r="P41448" s="42"/>
      <c r="AB41448" s="38"/>
    </row>
    <row r="41449">
      <c r="P41449" s="42"/>
      <c r="AB41449" s="38"/>
    </row>
    <row r="41450">
      <c r="P41450" s="42"/>
      <c r="AB41450" s="38"/>
    </row>
    <row r="41451">
      <c r="P41451" s="42"/>
      <c r="AB41451" s="38"/>
    </row>
    <row r="41452">
      <c r="P41452" s="42"/>
      <c r="AB41452" s="38"/>
    </row>
    <row r="41453">
      <c r="P41453" s="42"/>
      <c r="AB41453" s="38"/>
    </row>
    <row r="41454">
      <c r="P41454" s="42"/>
      <c r="AB41454" s="38"/>
    </row>
    <row r="41455">
      <c r="P41455" s="42"/>
      <c r="AB41455" s="38"/>
    </row>
    <row r="41456">
      <c r="P41456" s="42"/>
      <c r="AB41456" s="38"/>
    </row>
    <row r="41457">
      <c r="P41457" s="42"/>
      <c r="AB41457" s="38"/>
    </row>
    <row r="41458">
      <c r="P41458" s="42"/>
      <c r="AB41458" s="38"/>
    </row>
    <row r="41459">
      <c r="P41459" s="42"/>
      <c r="AB41459" s="38"/>
    </row>
    <row r="41460">
      <c r="P41460" s="42"/>
      <c r="AB41460" s="38"/>
    </row>
    <row r="41461">
      <c r="P41461" s="42"/>
      <c r="AB41461" s="38"/>
    </row>
    <row r="41462">
      <c r="P41462" s="42"/>
      <c r="AB41462" s="38"/>
    </row>
    <row r="41463">
      <c r="P41463" s="42"/>
      <c r="AB41463" s="38"/>
    </row>
    <row r="41464">
      <c r="P41464" s="42"/>
      <c r="AB41464" s="38"/>
    </row>
    <row r="41465">
      <c r="P41465" s="42"/>
      <c r="AB41465" s="38"/>
    </row>
    <row r="41466">
      <c r="P41466" s="42"/>
      <c r="AB41466" s="38"/>
    </row>
    <row r="41467">
      <c r="P41467" s="42"/>
      <c r="AB41467" s="38"/>
    </row>
    <row r="41468">
      <c r="P41468" s="42"/>
      <c r="AB41468" s="38"/>
    </row>
    <row r="41469">
      <c r="P41469" s="42"/>
      <c r="AB41469" s="38"/>
    </row>
    <row r="41470">
      <c r="P41470" s="42"/>
      <c r="AB41470" s="38"/>
    </row>
    <row r="41471">
      <c r="P41471" s="42"/>
      <c r="AB41471" s="38"/>
    </row>
    <row r="41472">
      <c r="P41472" s="42"/>
      <c r="AB41472" s="38"/>
    </row>
    <row r="41473">
      <c r="P41473" s="42"/>
      <c r="AB41473" s="38"/>
    </row>
    <row r="41474">
      <c r="P41474" s="42"/>
      <c r="AB41474" s="38"/>
    </row>
    <row r="41475">
      <c r="P41475" s="42"/>
      <c r="AB41475" s="38"/>
    </row>
    <row r="41476">
      <c r="P41476" s="42"/>
      <c r="AB41476" s="38"/>
    </row>
    <row r="41477">
      <c r="P41477" s="42"/>
      <c r="AB41477" s="38"/>
    </row>
    <row r="41478">
      <c r="P41478" s="42"/>
      <c r="AB41478" s="38"/>
    </row>
    <row r="41479">
      <c r="P41479" s="42"/>
      <c r="AB41479" s="38"/>
    </row>
    <row r="41480">
      <c r="P41480" s="42"/>
      <c r="AB41480" s="38"/>
    </row>
    <row r="41481">
      <c r="P41481" s="42"/>
      <c r="AB41481" s="38"/>
    </row>
    <row r="41482">
      <c r="P41482" s="42"/>
      <c r="AB41482" s="38"/>
    </row>
    <row r="41483">
      <c r="P41483" s="42"/>
      <c r="AB41483" s="38"/>
    </row>
    <row r="41484">
      <c r="P41484" s="42"/>
      <c r="AB41484" s="38"/>
    </row>
    <row r="41485">
      <c r="P41485" s="42"/>
      <c r="AB41485" s="38"/>
    </row>
    <row r="41486">
      <c r="P41486" s="42"/>
      <c r="AB41486" s="38"/>
    </row>
    <row r="41487">
      <c r="P41487" s="42"/>
      <c r="AB41487" s="38"/>
    </row>
    <row r="41488">
      <c r="P41488" s="42"/>
      <c r="AB41488" s="38"/>
    </row>
    <row r="41489">
      <c r="P41489" s="42"/>
      <c r="AB41489" s="38"/>
    </row>
    <row r="41490">
      <c r="P41490" s="42"/>
      <c r="AB41490" s="38"/>
    </row>
    <row r="41491">
      <c r="P41491" s="42"/>
      <c r="AB41491" s="38"/>
    </row>
    <row r="41492">
      <c r="P41492" s="42"/>
      <c r="AB41492" s="38"/>
    </row>
    <row r="41493">
      <c r="P41493" s="42"/>
      <c r="AB41493" s="38"/>
    </row>
    <row r="41494">
      <c r="P41494" s="42"/>
      <c r="AB41494" s="38"/>
    </row>
    <row r="41495">
      <c r="P41495" s="42"/>
      <c r="AB41495" s="38"/>
    </row>
    <row r="41496">
      <c r="P41496" s="42"/>
      <c r="AB41496" s="38"/>
    </row>
    <row r="41497">
      <c r="P41497" s="42"/>
      <c r="AB41497" s="38"/>
    </row>
    <row r="41498">
      <c r="P41498" s="42"/>
      <c r="AB41498" s="38"/>
    </row>
    <row r="41499">
      <c r="P41499" s="42"/>
      <c r="AB41499" s="38"/>
    </row>
    <row r="41500">
      <c r="P41500" s="42"/>
      <c r="AB41500" s="38"/>
    </row>
    <row r="41501">
      <c r="P41501" s="42"/>
      <c r="AB41501" s="38"/>
    </row>
    <row r="41502">
      <c r="P41502" s="42"/>
      <c r="AB41502" s="38"/>
    </row>
    <row r="41503">
      <c r="P41503" s="42"/>
      <c r="AB41503" s="38"/>
    </row>
    <row r="41504">
      <c r="P41504" s="42"/>
      <c r="AB41504" s="38"/>
    </row>
    <row r="41505">
      <c r="P41505" s="42"/>
      <c r="AB41505" s="38"/>
    </row>
    <row r="41506">
      <c r="P41506" s="42"/>
      <c r="AB41506" s="38"/>
    </row>
    <row r="41507">
      <c r="P41507" s="42"/>
      <c r="AB41507" s="38"/>
    </row>
    <row r="41508">
      <c r="P41508" s="42"/>
      <c r="AB41508" s="38"/>
    </row>
    <row r="41509">
      <c r="P41509" s="42"/>
      <c r="AB41509" s="38"/>
    </row>
    <row r="41510">
      <c r="P41510" s="42"/>
      <c r="AB41510" s="38"/>
    </row>
    <row r="41511">
      <c r="P41511" s="42"/>
      <c r="AB41511" s="38"/>
    </row>
    <row r="41512">
      <c r="P41512" s="42"/>
      <c r="AB41512" s="38"/>
    </row>
    <row r="41513">
      <c r="P41513" s="42"/>
      <c r="AB41513" s="38"/>
    </row>
    <row r="41514">
      <c r="P41514" s="42"/>
      <c r="AB41514" s="38"/>
    </row>
    <row r="41515">
      <c r="P41515" s="42"/>
      <c r="AB41515" s="38"/>
    </row>
    <row r="41516">
      <c r="P41516" s="42"/>
      <c r="AB41516" s="38"/>
    </row>
    <row r="41517">
      <c r="P41517" s="42"/>
      <c r="AB41517" s="38"/>
    </row>
    <row r="41518">
      <c r="P41518" s="42"/>
      <c r="AB41518" s="38"/>
    </row>
    <row r="41519">
      <c r="P41519" s="42"/>
      <c r="AB41519" s="38"/>
    </row>
    <row r="41520">
      <c r="P41520" s="42"/>
      <c r="AB41520" s="38"/>
    </row>
    <row r="41521">
      <c r="P41521" s="42"/>
      <c r="AB41521" s="38"/>
    </row>
    <row r="41522">
      <c r="P41522" s="42"/>
      <c r="AB41522" s="38"/>
    </row>
    <row r="41523">
      <c r="P41523" s="42"/>
      <c r="AB41523" s="38"/>
    </row>
    <row r="41524">
      <c r="P41524" s="42"/>
      <c r="AB41524" s="38"/>
    </row>
    <row r="41525">
      <c r="P41525" s="42"/>
      <c r="AB41525" s="38"/>
    </row>
    <row r="41526">
      <c r="P41526" s="42"/>
      <c r="AB41526" s="38"/>
    </row>
    <row r="41527">
      <c r="P41527" s="42"/>
      <c r="AB41527" s="38"/>
    </row>
    <row r="41528">
      <c r="P41528" s="42"/>
      <c r="AB41528" s="38"/>
    </row>
    <row r="41529">
      <c r="P41529" s="42"/>
      <c r="AB41529" s="38"/>
    </row>
    <row r="41530">
      <c r="P41530" s="42"/>
      <c r="AB41530" s="38"/>
    </row>
    <row r="41531">
      <c r="P41531" s="42"/>
      <c r="AB41531" s="38"/>
    </row>
    <row r="41532">
      <c r="P41532" s="42"/>
      <c r="AB41532" s="38"/>
    </row>
    <row r="41533">
      <c r="P41533" s="42"/>
      <c r="AB41533" s="38"/>
    </row>
    <row r="41534">
      <c r="P41534" s="42"/>
      <c r="AB41534" s="38"/>
    </row>
    <row r="41535">
      <c r="P41535" s="42"/>
      <c r="AB41535" s="38"/>
    </row>
    <row r="41536">
      <c r="P41536" s="42"/>
      <c r="AB41536" s="38"/>
    </row>
    <row r="41537">
      <c r="P41537" s="42"/>
      <c r="AB41537" s="38"/>
    </row>
    <row r="41538">
      <c r="P41538" s="42"/>
      <c r="AB41538" s="38"/>
    </row>
    <row r="41539">
      <c r="P41539" s="42"/>
      <c r="AB41539" s="38"/>
    </row>
    <row r="41540">
      <c r="P41540" s="42"/>
      <c r="AB41540" s="38"/>
    </row>
    <row r="41541">
      <c r="P41541" s="42"/>
      <c r="AB41541" s="38"/>
    </row>
    <row r="41542">
      <c r="P41542" s="42"/>
      <c r="AB41542" s="38"/>
    </row>
    <row r="41543">
      <c r="P41543" s="42"/>
      <c r="AB41543" s="38"/>
    </row>
    <row r="41544">
      <c r="P41544" s="42"/>
      <c r="AB41544" s="38"/>
    </row>
    <row r="41545">
      <c r="P41545" s="42"/>
      <c r="AB41545" s="38"/>
    </row>
    <row r="41546">
      <c r="P41546" s="42"/>
      <c r="AB41546" s="38"/>
    </row>
    <row r="41547">
      <c r="P41547" s="42"/>
      <c r="AB41547" s="38"/>
    </row>
    <row r="41548">
      <c r="P41548" s="42"/>
      <c r="AB41548" s="38"/>
    </row>
    <row r="41549">
      <c r="P41549" s="42"/>
      <c r="AB41549" s="38"/>
    </row>
    <row r="41550">
      <c r="P41550" s="42"/>
      <c r="AB41550" s="38"/>
    </row>
    <row r="41551">
      <c r="P41551" s="42"/>
      <c r="AB41551" s="38"/>
    </row>
    <row r="41552">
      <c r="P41552" s="42"/>
      <c r="AB41552" s="38"/>
    </row>
    <row r="41553">
      <c r="P41553" s="42"/>
      <c r="AB41553" s="38"/>
    </row>
    <row r="41554">
      <c r="P41554" s="42"/>
      <c r="AB41554" s="38"/>
    </row>
    <row r="41555">
      <c r="P41555" s="42"/>
      <c r="AB41555" s="38"/>
    </row>
    <row r="41556">
      <c r="P41556" s="42"/>
      <c r="AB41556" s="38"/>
    </row>
    <row r="41557">
      <c r="P41557" s="42"/>
      <c r="AB41557" s="38"/>
    </row>
    <row r="41558">
      <c r="P41558" s="42"/>
      <c r="AB41558" s="38"/>
    </row>
    <row r="41559">
      <c r="P41559" s="42"/>
      <c r="AB41559" s="38"/>
    </row>
    <row r="41560">
      <c r="P41560" s="42"/>
      <c r="AB41560" s="38"/>
    </row>
    <row r="41561">
      <c r="P41561" s="42"/>
      <c r="AB41561" s="38"/>
    </row>
    <row r="41562">
      <c r="P41562" s="42"/>
      <c r="AB41562" s="38"/>
    </row>
    <row r="41563">
      <c r="P41563" s="42"/>
      <c r="AB41563" s="38"/>
    </row>
    <row r="41564">
      <c r="P41564" s="42"/>
      <c r="AB41564" s="38"/>
    </row>
    <row r="41565">
      <c r="P41565" s="42"/>
      <c r="AB41565" s="38"/>
    </row>
    <row r="41566">
      <c r="P41566" s="42"/>
      <c r="AB41566" s="38"/>
    </row>
    <row r="41567">
      <c r="P41567" s="42"/>
      <c r="AB41567" s="38"/>
    </row>
    <row r="41568">
      <c r="P41568" s="42"/>
      <c r="AB41568" s="38"/>
    </row>
    <row r="41569">
      <c r="P41569" s="42"/>
      <c r="AB41569" s="38"/>
    </row>
    <row r="41570">
      <c r="P41570" s="42"/>
      <c r="AB41570" s="38"/>
    </row>
    <row r="41571">
      <c r="P41571" s="42"/>
      <c r="AB41571" s="38"/>
    </row>
    <row r="41572">
      <c r="P41572" s="42"/>
      <c r="AB41572" s="38"/>
    </row>
    <row r="41573">
      <c r="P41573" s="42"/>
      <c r="AB41573" s="38"/>
    </row>
    <row r="41574">
      <c r="P41574" s="42"/>
      <c r="AB41574" s="38"/>
    </row>
    <row r="41575">
      <c r="P41575" s="42"/>
      <c r="AB41575" s="38"/>
    </row>
    <row r="41576">
      <c r="P41576" s="42"/>
      <c r="AB41576" s="38"/>
    </row>
    <row r="41577">
      <c r="P41577" s="42"/>
      <c r="AB41577" s="38"/>
    </row>
    <row r="41578">
      <c r="P41578" s="42"/>
      <c r="AB41578" s="38"/>
    </row>
    <row r="41579">
      <c r="P41579" s="42"/>
      <c r="AB41579" s="38"/>
    </row>
    <row r="41580">
      <c r="P41580" s="42"/>
      <c r="AB41580" s="38"/>
    </row>
    <row r="41581">
      <c r="P41581" s="42"/>
      <c r="AB41581" s="38"/>
    </row>
    <row r="41582">
      <c r="P41582" s="42"/>
      <c r="AB41582" s="38"/>
    </row>
    <row r="41583">
      <c r="P41583" s="42"/>
      <c r="AB41583" s="38"/>
    </row>
    <row r="41584">
      <c r="P41584" s="42"/>
      <c r="AB41584" s="38"/>
    </row>
    <row r="41585">
      <c r="P41585" s="42"/>
      <c r="AB41585" s="38"/>
    </row>
    <row r="41586">
      <c r="P41586" s="42"/>
      <c r="AB41586" s="38"/>
    </row>
    <row r="41587">
      <c r="P41587" s="42"/>
      <c r="AB41587" s="38"/>
    </row>
    <row r="41588">
      <c r="P41588" s="42"/>
      <c r="AB41588" s="38"/>
    </row>
    <row r="41589">
      <c r="P41589" s="42"/>
      <c r="AB41589" s="38"/>
    </row>
    <row r="41590">
      <c r="P41590" s="42"/>
      <c r="AB41590" s="38"/>
    </row>
    <row r="41591">
      <c r="P41591" s="42"/>
      <c r="AB41591" s="38"/>
    </row>
    <row r="41592">
      <c r="P41592" s="42"/>
      <c r="AB41592" s="38"/>
    </row>
    <row r="41593">
      <c r="P41593" s="42"/>
      <c r="AB41593" s="38"/>
    </row>
    <row r="41594">
      <c r="P41594" s="42"/>
      <c r="AB41594" s="38"/>
    </row>
    <row r="41595">
      <c r="P41595" s="42"/>
      <c r="AB41595" s="38"/>
    </row>
    <row r="41596">
      <c r="P41596" s="42"/>
      <c r="AB41596" s="38"/>
    </row>
    <row r="41597">
      <c r="P41597" s="42"/>
      <c r="AB41597" s="38"/>
    </row>
    <row r="41598">
      <c r="P41598" s="42"/>
      <c r="AB41598" s="38"/>
    </row>
    <row r="41599">
      <c r="P41599" s="42"/>
      <c r="AB41599" s="38"/>
    </row>
    <row r="41600">
      <c r="P41600" s="42"/>
      <c r="AB41600" s="38"/>
    </row>
    <row r="41601">
      <c r="P41601" s="42"/>
      <c r="AB41601" s="38"/>
    </row>
    <row r="41602">
      <c r="P41602" s="42"/>
      <c r="AB41602" s="38"/>
    </row>
    <row r="41603">
      <c r="P41603" s="42"/>
      <c r="AB41603" s="38"/>
    </row>
    <row r="41604">
      <c r="P41604" s="42"/>
      <c r="AB41604" s="38"/>
    </row>
    <row r="41605">
      <c r="P41605" s="42"/>
      <c r="AB41605" s="38"/>
    </row>
    <row r="41606">
      <c r="P41606" s="42"/>
      <c r="AB41606" s="38"/>
    </row>
    <row r="41607">
      <c r="P41607" s="42"/>
      <c r="AB41607" s="38"/>
    </row>
    <row r="41608">
      <c r="P41608" s="42"/>
      <c r="AB41608" s="38"/>
    </row>
    <row r="41609">
      <c r="P41609" s="42"/>
      <c r="AB41609" s="38"/>
    </row>
    <row r="41610">
      <c r="P41610" s="42"/>
      <c r="AB41610" s="38"/>
    </row>
    <row r="41611">
      <c r="P41611" s="42"/>
      <c r="AB41611" s="38"/>
    </row>
    <row r="41612">
      <c r="P41612" s="42"/>
      <c r="AB41612" s="38"/>
    </row>
    <row r="41613">
      <c r="P41613" s="42"/>
      <c r="AB41613" s="38"/>
    </row>
    <row r="41614">
      <c r="P41614" s="42"/>
      <c r="AB41614" s="38"/>
    </row>
    <row r="41615">
      <c r="P41615" s="42"/>
      <c r="AB41615" s="38"/>
    </row>
    <row r="41616">
      <c r="P41616" s="42"/>
      <c r="AB41616" s="38"/>
    </row>
    <row r="41617">
      <c r="P41617" s="42"/>
      <c r="AB41617" s="38"/>
    </row>
    <row r="41618">
      <c r="P41618" s="42"/>
      <c r="AB41618" s="38"/>
    </row>
    <row r="41619">
      <c r="P41619" s="42"/>
      <c r="AB41619" s="38"/>
    </row>
    <row r="41620">
      <c r="P41620" s="42"/>
      <c r="AB41620" s="38"/>
    </row>
    <row r="41621">
      <c r="P41621" s="42"/>
      <c r="AB41621" s="38"/>
    </row>
    <row r="41622">
      <c r="P41622" s="42"/>
      <c r="AB41622" s="38"/>
    </row>
    <row r="41623">
      <c r="P41623" s="42"/>
      <c r="AB41623" s="38"/>
    </row>
    <row r="41624">
      <c r="P41624" s="42"/>
      <c r="AB41624" s="38"/>
    </row>
    <row r="41625">
      <c r="P41625" s="42"/>
      <c r="AB41625" s="38"/>
    </row>
    <row r="41626">
      <c r="P41626" s="42"/>
      <c r="AB41626" s="38"/>
    </row>
    <row r="41627">
      <c r="P41627" s="42"/>
      <c r="AB41627" s="38"/>
    </row>
    <row r="41628">
      <c r="P41628" s="42"/>
      <c r="AB41628" s="38"/>
    </row>
    <row r="41629">
      <c r="P41629" s="42"/>
      <c r="AB41629" s="38"/>
    </row>
    <row r="41630">
      <c r="P41630" s="42"/>
      <c r="AB41630" s="38"/>
    </row>
    <row r="41631">
      <c r="P41631" s="42"/>
      <c r="AB41631" s="38"/>
    </row>
    <row r="41632">
      <c r="P41632" s="42"/>
      <c r="AB41632" s="38"/>
    </row>
    <row r="41633">
      <c r="P41633" s="42"/>
      <c r="AB41633" s="38"/>
    </row>
    <row r="41634">
      <c r="P41634" s="42"/>
      <c r="AB41634" s="38"/>
    </row>
    <row r="41635">
      <c r="P41635" s="42"/>
      <c r="AB41635" s="38"/>
    </row>
    <row r="41636">
      <c r="P41636" s="42"/>
      <c r="AB41636" s="38"/>
    </row>
    <row r="41637">
      <c r="P41637" s="42"/>
      <c r="AB41637" s="38"/>
    </row>
    <row r="41638">
      <c r="P41638" s="42"/>
      <c r="AB41638" s="38"/>
    </row>
    <row r="41639">
      <c r="P41639" s="42"/>
      <c r="AB41639" s="38"/>
    </row>
    <row r="41640">
      <c r="P41640" s="42"/>
      <c r="AB41640" s="38"/>
    </row>
    <row r="41641">
      <c r="P41641" s="42"/>
      <c r="AB41641" s="38"/>
    </row>
    <row r="41642">
      <c r="P41642" s="42"/>
      <c r="AB41642" s="38"/>
    </row>
    <row r="41643">
      <c r="P41643" s="42"/>
      <c r="AB41643" s="38"/>
    </row>
    <row r="41644">
      <c r="P41644" s="42"/>
      <c r="AB41644" s="38"/>
    </row>
    <row r="41645">
      <c r="P41645" s="42"/>
      <c r="AB41645" s="38"/>
    </row>
    <row r="41646">
      <c r="P41646" s="42"/>
      <c r="AB41646" s="38"/>
    </row>
    <row r="41647">
      <c r="P41647" s="42"/>
      <c r="AB41647" s="38"/>
    </row>
    <row r="41648">
      <c r="P41648" s="42"/>
      <c r="AB41648" s="38"/>
    </row>
    <row r="41649">
      <c r="P41649" s="42"/>
      <c r="AB41649" s="38"/>
    </row>
    <row r="41650">
      <c r="P41650" s="42"/>
      <c r="AB41650" s="38"/>
    </row>
    <row r="41651">
      <c r="P41651" s="42"/>
      <c r="AB41651" s="38"/>
    </row>
    <row r="41652">
      <c r="P41652" s="42"/>
      <c r="AB41652" s="38"/>
    </row>
    <row r="41653">
      <c r="P41653" s="42"/>
      <c r="AB41653" s="38"/>
    </row>
    <row r="41654">
      <c r="P41654" s="42"/>
      <c r="AB41654" s="38"/>
    </row>
    <row r="41655">
      <c r="P41655" s="42"/>
      <c r="AB41655" s="38"/>
    </row>
    <row r="41656">
      <c r="P41656" s="42"/>
      <c r="AB41656" s="38"/>
    </row>
    <row r="41657">
      <c r="P41657" s="42"/>
      <c r="AB41657" s="38"/>
    </row>
    <row r="41658">
      <c r="P41658" s="42"/>
      <c r="AB41658" s="38"/>
    </row>
    <row r="41659">
      <c r="P41659" s="42"/>
      <c r="AB41659" s="38"/>
    </row>
    <row r="41660">
      <c r="P41660" s="42"/>
      <c r="AB41660" s="38"/>
    </row>
    <row r="41661">
      <c r="P41661" s="42"/>
      <c r="AB41661" s="38"/>
    </row>
    <row r="41662">
      <c r="P41662" s="42"/>
      <c r="AB41662" s="38"/>
    </row>
    <row r="41663">
      <c r="P41663" s="42"/>
      <c r="AB41663" s="38"/>
    </row>
    <row r="41664">
      <c r="P41664" s="42"/>
      <c r="AB41664" s="38"/>
    </row>
    <row r="41665">
      <c r="P41665" s="42"/>
      <c r="AB41665" s="38"/>
    </row>
    <row r="41666">
      <c r="P41666" s="42"/>
      <c r="AB41666" s="38"/>
    </row>
    <row r="41667">
      <c r="P41667" s="42"/>
      <c r="AB41667" s="38"/>
    </row>
    <row r="41668">
      <c r="P41668" s="42"/>
      <c r="AB41668" s="38"/>
    </row>
    <row r="41669">
      <c r="P41669" s="42"/>
      <c r="AB41669" s="38"/>
    </row>
    <row r="41670">
      <c r="P41670" s="42"/>
      <c r="AB41670" s="38"/>
    </row>
    <row r="41671">
      <c r="P41671" s="42"/>
      <c r="AB41671" s="38"/>
    </row>
    <row r="41672">
      <c r="P41672" s="42"/>
      <c r="AB41672" s="38"/>
    </row>
    <row r="41673">
      <c r="P41673" s="42"/>
      <c r="AB41673" s="38"/>
    </row>
    <row r="41674">
      <c r="P41674" s="42"/>
      <c r="AB41674" s="38"/>
    </row>
    <row r="41675">
      <c r="P41675" s="42"/>
      <c r="AB41675" s="38"/>
    </row>
    <row r="41676">
      <c r="P41676" s="42"/>
      <c r="AB41676" s="38"/>
    </row>
    <row r="41677">
      <c r="P41677" s="42"/>
      <c r="AB41677" s="38"/>
    </row>
    <row r="41678">
      <c r="P41678" s="42"/>
      <c r="AB41678" s="38"/>
    </row>
    <row r="41679">
      <c r="P41679" s="42"/>
      <c r="AB41679" s="38"/>
    </row>
    <row r="41680">
      <c r="P41680" s="42"/>
      <c r="AB41680" s="38"/>
    </row>
    <row r="41681">
      <c r="P41681" s="42"/>
      <c r="AB41681" s="38"/>
    </row>
    <row r="41682">
      <c r="P41682" s="42"/>
      <c r="AB41682" s="38"/>
    </row>
    <row r="41683">
      <c r="P41683" s="42"/>
      <c r="AB41683" s="38"/>
    </row>
    <row r="41684">
      <c r="P41684" s="42"/>
      <c r="AB41684" s="38"/>
    </row>
    <row r="41685">
      <c r="P41685" s="42"/>
      <c r="AB41685" s="38"/>
    </row>
    <row r="41686">
      <c r="P41686" s="42"/>
      <c r="AB41686" s="38"/>
    </row>
    <row r="41687">
      <c r="P41687" s="42"/>
      <c r="AB41687" s="38"/>
    </row>
    <row r="41688">
      <c r="P41688" s="42"/>
      <c r="AB41688" s="38"/>
    </row>
    <row r="41689">
      <c r="P41689" s="42"/>
      <c r="AB41689" s="38"/>
    </row>
    <row r="41690">
      <c r="P41690" s="42"/>
      <c r="AB41690" s="38"/>
    </row>
    <row r="41691">
      <c r="P41691" s="42"/>
      <c r="AB41691" s="38"/>
    </row>
    <row r="41692">
      <c r="P41692" s="42"/>
      <c r="AB41692" s="38"/>
    </row>
    <row r="41693">
      <c r="P41693" s="42"/>
      <c r="AB41693" s="38"/>
    </row>
    <row r="41694">
      <c r="P41694" s="42"/>
      <c r="AB41694" s="38"/>
    </row>
    <row r="41695">
      <c r="P41695" s="42"/>
      <c r="AB41695" s="38"/>
    </row>
    <row r="41696">
      <c r="P41696" s="42"/>
      <c r="AB41696" s="38"/>
    </row>
    <row r="41697">
      <c r="P41697" s="42"/>
      <c r="AB41697" s="38"/>
    </row>
    <row r="41698">
      <c r="P41698" s="42"/>
      <c r="AB41698" s="38"/>
    </row>
    <row r="41699">
      <c r="P41699" s="42"/>
      <c r="AB41699" s="38"/>
    </row>
    <row r="41700">
      <c r="P41700" s="42"/>
      <c r="AB41700" s="38"/>
    </row>
    <row r="41701">
      <c r="P41701" s="42"/>
      <c r="AB41701" s="38"/>
    </row>
    <row r="41702">
      <c r="P41702" s="42"/>
      <c r="AB41702" s="38"/>
    </row>
    <row r="41703">
      <c r="P41703" s="42"/>
      <c r="AB41703" s="38"/>
    </row>
    <row r="41704">
      <c r="P41704" s="42"/>
      <c r="AB41704" s="38"/>
    </row>
    <row r="41705">
      <c r="P41705" s="42"/>
      <c r="AB41705" s="38"/>
    </row>
    <row r="41706">
      <c r="P41706" s="42"/>
      <c r="AB41706" s="38"/>
    </row>
    <row r="41707">
      <c r="P41707" s="42"/>
      <c r="AB41707" s="38"/>
    </row>
    <row r="41708">
      <c r="P41708" s="42"/>
      <c r="AB41708" s="38"/>
    </row>
    <row r="41709">
      <c r="P41709" s="42"/>
      <c r="AB41709" s="38"/>
    </row>
    <row r="41710">
      <c r="P41710" s="42"/>
      <c r="AB41710" s="38"/>
    </row>
    <row r="41711">
      <c r="P41711" s="42"/>
      <c r="AB41711" s="38"/>
    </row>
    <row r="41712">
      <c r="P41712" s="42"/>
      <c r="AB41712" s="38"/>
    </row>
    <row r="41713">
      <c r="P41713" s="42"/>
      <c r="AB41713" s="38"/>
    </row>
    <row r="41714">
      <c r="P41714" s="42"/>
      <c r="AB41714" s="38"/>
    </row>
    <row r="41715">
      <c r="P41715" s="42"/>
      <c r="AB41715" s="38"/>
    </row>
    <row r="41716">
      <c r="P41716" s="42"/>
      <c r="AB41716" s="38"/>
    </row>
    <row r="41717">
      <c r="P41717" s="42"/>
      <c r="AB41717" s="38"/>
    </row>
    <row r="41718">
      <c r="P41718" s="42"/>
      <c r="AB41718" s="38"/>
    </row>
    <row r="41719">
      <c r="P41719" s="42"/>
      <c r="AB41719" s="38"/>
    </row>
    <row r="41720">
      <c r="P41720" s="42"/>
      <c r="AB41720" s="38"/>
    </row>
    <row r="41721">
      <c r="P41721" s="42"/>
      <c r="AB41721" s="38"/>
    </row>
    <row r="41722">
      <c r="P41722" s="42"/>
      <c r="AB41722" s="38"/>
    </row>
    <row r="41723">
      <c r="P41723" s="42"/>
      <c r="AB41723" s="38"/>
    </row>
    <row r="41724">
      <c r="P41724" s="42"/>
      <c r="AB41724" s="38"/>
    </row>
    <row r="41725">
      <c r="P41725" s="42"/>
      <c r="AB41725" s="38"/>
    </row>
    <row r="41726">
      <c r="P41726" s="42"/>
      <c r="AB41726" s="38"/>
    </row>
    <row r="41727">
      <c r="P41727" s="42"/>
      <c r="AB41727" s="38"/>
    </row>
    <row r="41728">
      <c r="P41728" s="42"/>
      <c r="AB41728" s="38"/>
    </row>
    <row r="41729">
      <c r="P41729" s="42"/>
      <c r="AB41729" s="38"/>
    </row>
    <row r="41730">
      <c r="P41730" s="42"/>
      <c r="AB41730" s="38"/>
    </row>
    <row r="41731">
      <c r="P41731" s="42"/>
      <c r="AB41731" s="38"/>
    </row>
    <row r="41732">
      <c r="P41732" s="42"/>
      <c r="AB41732" s="38"/>
    </row>
    <row r="41733">
      <c r="P41733" s="42"/>
      <c r="AB41733" s="38"/>
    </row>
    <row r="41734">
      <c r="P41734" s="42"/>
      <c r="AB41734" s="38"/>
    </row>
    <row r="41735">
      <c r="P41735" s="42"/>
      <c r="AB41735" s="38"/>
    </row>
    <row r="41736">
      <c r="P41736" s="42"/>
      <c r="AB41736" s="38"/>
    </row>
    <row r="41737">
      <c r="P41737" s="42"/>
      <c r="AB41737" s="38"/>
    </row>
    <row r="41738">
      <c r="P41738" s="42"/>
      <c r="AB41738" s="38"/>
    </row>
    <row r="41739">
      <c r="P41739" s="42"/>
      <c r="AB41739" s="38"/>
    </row>
    <row r="41740">
      <c r="P41740" s="42"/>
      <c r="AB41740" s="38"/>
    </row>
    <row r="41741">
      <c r="P41741" s="42"/>
      <c r="AB41741" s="38"/>
    </row>
    <row r="41742">
      <c r="P41742" s="42"/>
      <c r="AB41742" s="38"/>
    </row>
    <row r="41743">
      <c r="P41743" s="42"/>
      <c r="AB41743" s="38"/>
    </row>
    <row r="41744">
      <c r="P41744" s="42"/>
      <c r="AB41744" s="38"/>
    </row>
    <row r="41745">
      <c r="P41745" s="42"/>
      <c r="AB41745" s="38"/>
    </row>
    <row r="41746">
      <c r="P41746" s="42"/>
      <c r="AB41746" s="38"/>
    </row>
    <row r="41747">
      <c r="P41747" s="42"/>
      <c r="AB41747" s="38"/>
    </row>
    <row r="41748">
      <c r="P41748" s="42"/>
      <c r="AB41748" s="38"/>
    </row>
    <row r="41749">
      <c r="P41749" s="42"/>
      <c r="AB41749" s="38"/>
    </row>
    <row r="41750">
      <c r="P41750" s="42"/>
      <c r="AB41750" s="38"/>
    </row>
    <row r="41751">
      <c r="P41751" s="42"/>
      <c r="AB41751" s="38"/>
    </row>
    <row r="41752">
      <c r="P41752" s="42"/>
      <c r="AB41752" s="38"/>
    </row>
    <row r="41753">
      <c r="P41753" s="42"/>
      <c r="AB41753" s="38"/>
    </row>
    <row r="41754">
      <c r="P41754" s="42"/>
      <c r="AB41754" s="38"/>
    </row>
    <row r="41755">
      <c r="P41755" s="42"/>
      <c r="AB41755" s="38"/>
    </row>
    <row r="41756">
      <c r="P41756" s="42"/>
      <c r="AB41756" s="38"/>
    </row>
    <row r="41757">
      <c r="P41757" s="42"/>
      <c r="AB41757" s="38"/>
    </row>
    <row r="41758">
      <c r="P41758" s="42"/>
      <c r="AB41758" s="38"/>
    </row>
    <row r="41759">
      <c r="P41759" s="42"/>
      <c r="AB41759" s="38"/>
    </row>
    <row r="41760">
      <c r="P41760" s="42"/>
      <c r="AB41760" s="38"/>
    </row>
    <row r="41761">
      <c r="P41761" s="42"/>
      <c r="AB41761" s="38"/>
    </row>
    <row r="41762">
      <c r="P41762" s="42"/>
      <c r="AB41762" s="38"/>
    </row>
    <row r="41763">
      <c r="P41763" s="42"/>
      <c r="AB41763" s="38"/>
    </row>
    <row r="41764">
      <c r="P41764" s="42"/>
      <c r="AB41764" s="38"/>
    </row>
    <row r="41765">
      <c r="P41765" s="42"/>
      <c r="AB41765" s="38"/>
    </row>
    <row r="41766">
      <c r="P41766" s="42"/>
      <c r="AB41766" s="38"/>
    </row>
    <row r="41767">
      <c r="P41767" s="42"/>
      <c r="AB41767" s="38"/>
    </row>
    <row r="41768">
      <c r="P41768" s="42"/>
      <c r="AB41768" s="38"/>
    </row>
    <row r="41769">
      <c r="P41769" s="42"/>
      <c r="AB41769" s="38"/>
    </row>
    <row r="41770">
      <c r="P41770" s="42"/>
      <c r="AB41770" s="38"/>
    </row>
    <row r="41771">
      <c r="P41771" s="42"/>
      <c r="AB41771" s="38"/>
    </row>
    <row r="41772">
      <c r="P41772" s="42"/>
      <c r="AB41772" s="38"/>
    </row>
    <row r="41773">
      <c r="P41773" s="42"/>
      <c r="AB41773" s="38"/>
    </row>
    <row r="41774">
      <c r="P41774" s="42"/>
      <c r="AB41774" s="38"/>
    </row>
    <row r="41775">
      <c r="P41775" s="42"/>
      <c r="AB41775" s="38"/>
    </row>
    <row r="41776">
      <c r="P41776" s="42"/>
      <c r="AB41776" s="38"/>
    </row>
    <row r="41777">
      <c r="P41777" s="42"/>
      <c r="AB41777" s="38"/>
    </row>
    <row r="41778">
      <c r="P41778" s="42"/>
      <c r="AB41778" s="38"/>
    </row>
    <row r="41779">
      <c r="P41779" s="42"/>
      <c r="AB41779" s="38"/>
    </row>
    <row r="41780">
      <c r="P41780" s="42"/>
      <c r="AB41780" s="38"/>
    </row>
    <row r="41781">
      <c r="P41781" s="42"/>
      <c r="AB41781" s="38"/>
    </row>
    <row r="41782">
      <c r="P41782" s="42"/>
      <c r="AB41782" s="38"/>
    </row>
    <row r="41783">
      <c r="P41783" s="42"/>
      <c r="AB41783" s="38"/>
    </row>
    <row r="41784">
      <c r="P41784" s="42"/>
      <c r="AB41784" s="38"/>
    </row>
    <row r="41785">
      <c r="P41785" s="42"/>
      <c r="AB41785" s="38"/>
    </row>
    <row r="41786">
      <c r="P41786" s="42"/>
      <c r="AB41786" s="38"/>
    </row>
    <row r="41787">
      <c r="P41787" s="42"/>
      <c r="AB41787" s="38"/>
    </row>
    <row r="41788">
      <c r="P41788" s="42"/>
      <c r="AB41788" s="38"/>
    </row>
    <row r="41789">
      <c r="P41789" s="42"/>
      <c r="AB41789" s="38"/>
    </row>
    <row r="41790">
      <c r="P41790" s="42"/>
      <c r="AB41790" s="38"/>
    </row>
    <row r="41791">
      <c r="P41791" s="42"/>
      <c r="AB41791" s="38"/>
    </row>
    <row r="41792">
      <c r="P41792" s="42"/>
      <c r="AB41792" s="38"/>
    </row>
    <row r="41793">
      <c r="P41793" s="42"/>
      <c r="AB41793" s="38"/>
    </row>
    <row r="41794">
      <c r="P41794" s="42"/>
      <c r="AB41794" s="38"/>
    </row>
    <row r="41795">
      <c r="P41795" s="42"/>
      <c r="AB41795" s="38"/>
    </row>
    <row r="41796">
      <c r="P41796" s="42"/>
      <c r="AB41796" s="38"/>
    </row>
    <row r="41797">
      <c r="P41797" s="42"/>
      <c r="AB41797" s="38"/>
    </row>
    <row r="41798">
      <c r="P41798" s="42"/>
      <c r="AB41798" s="38"/>
    </row>
    <row r="41799">
      <c r="P41799" s="42"/>
      <c r="AB41799" s="38"/>
    </row>
    <row r="41800">
      <c r="P41800" s="42"/>
      <c r="AB41800" s="38"/>
    </row>
    <row r="41801">
      <c r="P41801" s="42"/>
      <c r="AB41801" s="38"/>
    </row>
    <row r="41802">
      <c r="P41802" s="42"/>
      <c r="AB41802" s="38"/>
    </row>
    <row r="41803">
      <c r="P41803" s="42"/>
      <c r="AB41803" s="38"/>
    </row>
    <row r="41804">
      <c r="P41804" s="42"/>
      <c r="AB41804" s="38"/>
    </row>
    <row r="41805">
      <c r="P41805" s="42"/>
      <c r="AB41805" s="38"/>
    </row>
    <row r="41806">
      <c r="P41806" s="42"/>
      <c r="AB41806" s="38"/>
    </row>
    <row r="41807">
      <c r="P41807" s="42"/>
      <c r="AB41807" s="38"/>
    </row>
    <row r="41808">
      <c r="P41808" s="42"/>
      <c r="AB41808" s="38"/>
    </row>
    <row r="41809">
      <c r="P41809" s="42"/>
      <c r="AB41809" s="38"/>
    </row>
    <row r="41810">
      <c r="P41810" s="42"/>
      <c r="AB41810" s="38"/>
    </row>
    <row r="41811">
      <c r="P41811" s="42"/>
      <c r="AB41811" s="38"/>
    </row>
    <row r="41812">
      <c r="P41812" s="42"/>
      <c r="AB41812" s="38"/>
    </row>
    <row r="41813">
      <c r="P41813" s="42"/>
      <c r="AB41813" s="38"/>
    </row>
    <row r="41814">
      <c r="P41814" s="42"/>
      <c r="AB41814" s="38"/>
    </row>
    <row r="41815">
      <c r="P41815" s="42"/>
      <c r="AB41815" s="38"/>
    </row>
    <row r="41816">
      <c r="P41816" s="42"/>
      <c r="AB41816" s="38"/>
    </row>
    <row r="41817">
      <c r="P41817" s="42"/>
      <c r="AB41817" s="38"/>
    </row>
    <row r="41818">
      <c r="P41818" s="42"/>
      <c r="AB41818" s="38"/>
    </row>
    <row r="41819">
      <c r="P41819" s="42"/>
      <c r="AB41819" s="38"/>
    </row>
    <row r="41820">
      <c r="P41820" s="42"/>
      <c r="AB41820" s="38"/>
    </row>
    <row r="41821">
      <c r="P41821" s="42"/>
      <c r="AB41821" s="38"/>
    </row>
    <row r="41822">
      <c r="P41822" s="42"/>
      <c r="AB41822" s="38"/>
    </row>
    <row r="41823">
      <c r="P41823" s="42"/>
      <c r="AB41823" s="38"/>
    </row>
    <row r="41824">
      <c r="P41824" s="42"/>
      <c r="AB41824" s="38"/>
    </row>
    <row r="41825">
      <c r="P41825" s="42"/>
      <c r="AB41825" s="38"/>
    </row>
    <row r="41826">
      <c r="P41826" s="42"/>
      <c r="AB41826" s="38"/>
    </row>
    <row r="41827">
      <c r="P41827" s="42"/>
      <c r="AB41827" s="38"/>
    </row>
    <row r="41828">
      <c r="P41828" s="42"/>
      <c r="AB41828" s="38"/>
    </row>
    <row r="41829">
      <c r="P41829" s="42"/>
      <c r="AB41829" s="38"/>
    </row>
    <row r="41830">
      <c r="P41830" s="42"/>
      <c r="AB41830" s="38"/>
    </row>
    <row r="41831">
      <c r="P41831" s="42"/>
      <c r="AB41831" s="38"/>
    </row>
    <row r="41832">
      <c r="P41832" s="42"/>
      <c r="AB41832" s="38"/>
    </row>
    <row r="41833">
      <c r="P41833" s="42"/>
      <c r="AB41833" s="38"/>
    </row>
    <row r="41834">
      <c r="P41834" s="42"/>
      <c r="AB41834" s="38"/>
    </row>
    <row r="41835">
      <c r="P41835" s="42"/>
      <c r="AB41835" s="38"/>
    </row>
    <row r="41836">
      <c r="P41836" s="42"/>
      <c r="AB41836" s="38"/>
    </row>
    <row r="41837">
      <c r="P41837" s="42"/>
      <c r="AB41837" s="38"/>
    </row>
    <row r="41838">
      <c r="P41838" s="42"/>
      <c r="AB41838" s="38"/>
    </row>
    <row r="41839">
      <c r="P41839" s="42"/>
      <c r="AB41839" s="38"/>
    </row>
    <row r="41840">
      <c r="P41840" s="42"/>
      <c r="AB41840" s="38"/>
    </row>
    <row r="41841">
      <c r="P41841" s="42"/>
      <c r="AB41841" s="38"/>
    </row>
    <row r="41842">
      <c r="P41842" s="42"/>
      <c r="AB41842" s="38"/>
    </row>
    <row r="41843">
      <c r="P41843" s="42"/>
      <c r="AB41843" s="38"/>
    </row>
    <row r="41844">
      <c r="P41844" s="42"/>
      <c r="AB41844" s="38"/>
    </row>
    <row r="41845">
      <c r="P41845" s="42"/>
      <c r="AB41845" s="38"/>
    </row>
    <row r="41846">
      <c r="P41846" s="42"/>
      <c r="AB41846" s="38"/>
    </row>
    <row r="41847">
      <c r="P41847" s="42"/>
      <c r="AB41847" s="38"/>
    </row>
    <row r="41848">
      <c r="P41848" s="42"/>
      <c r="AB41848" s="38"/>
    </row>
    <row r="41849">
      <c r="P41849" s="42"/>
      <c r="AB41849" s="38"/>
    </row>
    <row r="41850">
      <c r="P41850" s="42"/>
      <c r="AB41850" s="38"/>
    </row>
    <row r="41851">
      <c r="P41851" s="42"/>
      <c r="AB41851" s="38"/>
    </row>
    <row r="41852">
      <c r="P41852" s="42"/>
      <c r="AB41852" s="38"/>
    </row>
    <row r="41853">
      <c r="P41853" s="42"/>
      <c r="AB41853" s="38"/>
    </row>
    <row r="41854">
      <c r="P41854" s="42"/>
      <c r="AB41854" s="38"/>
    </row>
    <row r="41855">
      <c r="P41855" s="42"/>
      <c r="AB41855" s="38"/>
    </row>
    <row r="41856">
      <c r="P41856" s="42"/>
      <c r="AB41856" s="38"/>
    </row>
    <row r="41857">
      <c r="P41857" s="42"/>
      <c r="AB41857" s="38"/>
    </row>
    <row r="41858">
      <c r="P41858" s="42"/>
      <c r="AB41858" s="38"/>
    </row>
    <row r="41859">
      <c r="P41859" s="42"/>
      <c r="AB41859" s="38"/>
    </row>
    <row r="41860">
      <c r="P41860" s="42"/>
      <c r="AB41860" s="38"/>
    </row>
    <row r="41861">
      <c r="P41861" s="42"/>
      <c r="AB41861" s="38"/>
    </row>
    <row r="41862">
      <c r="P41862" s="42"/>
      <c r="AB41862" s="38"/>
    </row>
    <row r="41863">
      <c r="P41863" s="42"/>
      <c r="AB41863" s="38"/>
    </row>
    <row r="41864">
      <c r="P41864" s="42"/>
      <c r="AB41864" s="38"/>
    </row>
    <row r="41865">
      <c r="P41865" s="42"/>
      <c r="AB41865" s="38"/>
    </row>
    <row r="41866">
      <c r="P41866" s="42"/>
      <c r="AB41866" s="38"/>
    </row>
    <row r="41867">
      <c r="P41867" s="42"/>
      <c r="AB41867" s="38"/>
    </row>
    <row r="41868">
      <c r="P41868" s="42"/>
      <c r="AB41868" s="38"/>
    </row>
    <row r="41869">
      <c r="P41869" s="42"/>
      <c r="AB41869" s="38"/>
    </row>
    <row r="41870">
      <c r="P41870" s="42"/>
      <c r="AB41870" s="38"/>
    </row>
    <row r="41871">
      <c r="P41871" s="42"/>
      <c r="AB41871" s="38"/>
    </row>
    <row r="41872">
      <c r="P41872" s="42"/>
      <c r="AB41872" s="38"/>
    </row>
    <row r="41873">
      <c r="P41873" s="42"/>
      <c r="AB41873" s="38"/>
    </row>
    <row r="41874">
      <c r="P41874" s="42"/>
      <c r="AB41874" s="38"/>
    </row>
    <row r="41875">
      <c r="P41875" s="42"/>
      <c r="AB41875" s="38"/>
    </row>
    <row r="41876">
      <c r="P41876" s="42"/>
      <c r="AB41876" s="38"/>
    </row>
    <row r="41877">
      <c r="P41877" s="42"/>
      <c r="AB41877" s="38"/>
    </row>
    <row r="41878">
      <c r="P41878" s="42"/>
      <c r="AB41878" s="38"/>
    </row>
    <row r="41879">
      <c r="P41879" s="42"/>
      <c r="AB41879" s="38"/>
    </row>
    <row r="41880">
      <c r="P41880" s="42"/>
      <c r="AB41880" s="38"/>
    </row>
    <row r="41881">
      <c r="P41881" s="42"/>
      <c r="AB41881" s="38"/>
    </row>
    <row r="41882">
      <c r="P41882" s="42"/>
      <c r="AB41882" s="38"/>
    </row>
    <row r="41883">
      <c r="P41883" s="42"/>
      <c r="AB41883" s="38"/>
    </row>
    <row r="41884">
      <c r="P41884" s="42"/>
      <c r="AB41884" s="38"/>
    </row>
    <row r="41885">
      <c r="P41885" s="42"/>
      <c r="AB41885" s="38"/>
    </row>
    <row r="41886">
      <c r="P41886" s="42"/>
      <c r="AB41886" s="38"/>
    </row>
    <row r="41887">
      <c r="P41887" s="42"/>
      <c r="AB41887" s="38"/>
    </row>
    <row r="41888">
      <c r="P41888" s="42"/>
      <c r="AB41888" s="38"/>
    </row>
    <row r="41889">
      <c r="P41889" s="42"/>
      <c r="AB41889" s="38"/>
    </row>
    <row r="41890">
      <c r="P41890" s="42"/>
      <c r="AB41890" s="38"/>
    </row>
    <row r="41891">
      <c r="P41891" s="42"/>
      <c r="AB41891" s="38"/>
    </row>
    <row r="41892">
      <c r="P41892" s="42"/>
      <c r="AB41892" s="38"/>
    </row>
    <row r="41893">
      <c r="P41893" s="42"/>
      <c r="AB41893" s="38"/>
    </row>
    <row r="41894">
      <c r="P41894" s="42"/>
      <c r="AB41894" s="38"/>
    </row>
    <row r="41895">
      <c r="P41895" s="42"/>
      <c r="AB41895" s="38"/>
    </row>
    <row r="41896">
      <c r="P41896" s="42"/>
      <c r="AB41896" s="38"/>
    </row>
    <row r="41897">
      <c r="P41897" s="42"/>
      <c r="AB41897" s="38"/>
    </row>
    <row r="41898">
      <c r="P41898" s="42"/>
      <c r="AB41898" s="38"/>
    </row>
    <row r="41899">
      <c r="P41899" s="42"/>
      <c r="AB41899" s="38"/>
    </row>
    <row r="41900">
      <c r="P41900" s="42"/>
      <c r="AB41900" s="38"/>
    </row>
    <row r="41901">
      <c r="P41901" s="42"/>
      <c r="AB41901" s="38"/>
    </row>
    <row r="41902">
      <c r="P41902" s="42"/>
      <c r="AB41902" s="38"/>
    </row>
    <row r="41903">
      <c r="P41903" s="42"/>
      <c r="AB41903" s="38"/>
    </row>
    <row r="41904">
      <c r="P41904" s="42"/>
      <c r="AB41904" s="38"/>
    </row>
    <row r="41905">
      <c r="P41905" s="42"/>
      <c r="AB41905" s="38"/>
    </row>
    <row r="41906">
      <c r="P41906" s="42"/>
      <c r="AB41906" s="38"/>
    </row>
    <row r="41907">
      <c r="P41907" s="42"/>
      <c r="AB41907" s="38"/>
    </row>
    <row r="41908">
      <c r="P41908" s="42"/>
      <c r="AB41908" s="38"/>
    </row>
    <row r="41909">
      <c r="P41909" s="42"/>
      <c r="AB41909" s="38"/>
    </row>
    <row r="41910">
      <c r="P41910" s="42"/>
      <c r="AB41910" s="38"/>
    </row>
    <row r="41911">
      <c r="P41911" s="42"/>
      <c r="AB41911" s="38"/>
    </row>
    <row r="41912">
      <c r="P41912" s="42"/>
      <c r="AB41912" s="38"/>
    </row>
    <row r="41913">
      <c r="P41913" s="42"/>
      <c r="AB41913" s="38"/>
    </row>
    <row r="41914">
      <c r="P41914" s="42"/>
      <c r="AB41914" s="38"/>
    </row>
    <row r="41915">
      <c r="P41915" s="42"/>
      <c r="AB41915" s="38"/>
    </row>
    <row r="41916">
      <c r="P41916" s="42"/>
      <c r="AB41916" s="38"/>
    </row>
    <row r="41917">
      <c r="P41917" s="42"/>
      <c r="AB41917" s="38"/>
    </row>
    <row r="41918">
      <c r="P41918" s="42"/>
      <c r="AB41918" s="38"/>
    </row>
    <row r="41919">
      <c r="P41919" s="42"/>
      <c r="AB41919" s="38"/>
    </row>
    <row r="41920">
      <c r="P41920" s="42"/>
      <c r="AB41920" s="38"/>
    </row>
    <row r="41921">
      <c r="P41921" s="42"/>
      <c r="AB41921" s="38"/>
    </row>
    <row r="41922">
      <c r="P41922" s="42"/>
      <c r="AB41922" s="38"/>
    </row>
    <row r="41923">
      <c r="P41923" s="42"/>
      <c r="AB41923" s="38"/>
    </row>
    <row r="41924">
      <c r="P41924" s="42"/>
      <c r="AB41924" s="38"/>
    </row>
    <row r="41925">
      <c r="P41925" s="42"/>
      <c r="AB41925" s="38"/>
    </row>
    <row r="41926">
      <c r="P41926" s="42"/>
      <c r="AB41926" s="38"/>
    </row>
    <row r="41927">
      <c r="P41927" s="42"/>
      <c r="AB41927" s="38"/>
    </row>
    <row r="41928">
      <c r="P41928" s="42"/>
      <c r="AB41928" s="38"/>
    </row>
    <row r="41929">
      <c r="P41929" s="42"/>
      <c r="AB41929" s="38"/>
    </row>
    <row r="41930">
      <c r="P41930" s="42"/>
      <c r="AB41930" s="38"/>
    </row>
    <row r="41931">
      <c r="P41931" s="42"/>
      <c r="AB41931" s="38"/>
    </row>
    <row r="41932">
      <c r="P41932" s="42"/>
      <c r="AB41932" s="38"/>
    </row>
    <row r="41933">
      <c r="P41933" s="42"/>
      <c r="AB41933" s="38"/>
    </row>
    <row r="41934">
      <c r="P41934" s="42"/>
      <c r="AB41934" s="38"/>
    </row>
    <row r="41935">
      <c r="P41935" s="42"/>
      <c r="AB41935" s="38"/>
    </row>
    <row r="41936">
      <c r="P41936" s="42"/>
      <c r="AB41936" s="38"/>
    </row>
    <row r="41937">
      <c r="P41937" s="42"/>
      <c r="AB41937" s="38"/>
    </row>
    <row r="41938">
      <c r="P41938" s="42"/>
      <c r="AB41938" s="38"/>
    </row>
    <row r="41939">
      <c r="P41939" s="42"/>
      <c r="AB41939" s="38"/>
    </row>
    <row r="41940">
      <c r="P41940" s="42"/>
      <c r="AB41940" s="38"/>
    </row>
    <row r="41941">
      <c r="P41941" s="42"/>
      <c r="AB41941" s="38"/>
    </row>
    <row r="41942">
      <c r="P41942" s="42"/>
      <c r="AB41942" s="38"/>
    </row>
    <row r="41943">
      <c r="P41943" s="42"/>
      <c r="AB41943" s="38"/>
    </row>
    <row r="41944">
      <c r="P41944" s="42"/>
      <c r="AB41944" s="38"/>
    </row>
    <row r="41945">
      <c r="P41945" s="42"/>
      <c r="AB41945" s="38"/>
    </row>
    <row r="41946">
      <c r="P41946" s="42"/>
      <c r="AB41946" s="38"/>
    </row>
    <row r="41947">
      <c r="P41947" s="42"/>
      <c r="AB41947" s="38"/>
    </row>
    <row r="41948">
      <c r="P41948" s="42"/>
      <c r="AB41948" s="38"/>
    </row>
    <row r="41949">
      <c r="P41949" s="42"/>
      <c r="AB41949" s="38"/>
    </row>
    <row r="41950">
      <c r="P41950" s="42"/>
      <c r="AB41950" s="38"/>
    </row>
    <row r="41951">
      <c r="P41951" s="42"/>
      <c r="AB41951" s="38"/>
    </row>
    <row r="41952">
      <c r="P41952" s="42"/>
      <c r="AB41952" s="38"/>
    </row>
    <row r="41953">
      <c r="P41953" s="42"/>
      <c r="AB41953" s="38"/>
    </row>
    <row r="41954">
      <c r="P41954" s="42"/>
      <c r="AB41954" s="38"/>
    </row>
    <row r="41955">
      <c r="P41955" s="42"/>
      <c r="AB41955" s="38"/>
    </row>
    <row r="41956">
      <c r="P41956" s="42"/>
      <c r="AB41956" s="38"/>
    </row>
    <row r="41957">
      <c r="P41957" s="42"/>
      <c r="AB41957" s="38"/>
    </row>
    <row r="41958">
      <c r="P41958" s="42"/>
      <c r="AB41958" s="38"/>
    </row>
    <row r="41959">
      <c r="P41959" s="42"/>
      <c r="AB41959" s="38"/>
    </row>
    <row r="41960">
      <c r="P41960" s="42"/>
      <c r="AB41960" s="38"/>
    </row>
    <row r="41961">
      <c r="P41961" s="42"/>
      <c r="AB41961" s="38"/>
    </row>
    <row r="41962">
      <c r="P41962" s="42"/>
      <c r="AB41962" s="38"/>
    </row>
    <row r="41963">
      <c r="P41963" s="42"/>
      <c r="AB41963" s="38"/>
    </row>
    <row r="41964">
      <c r="P41964" s="42"/>
      <c r="AB41964" s="38"/>
    </row>
    <row r="41965">
      <c r="P41965" s="42"/>
      <c r="AB41965" s="38"/>
    </row>
    <row r="41966">
      <c r="P41966" s="42"/>
      <c r="AB41966" s="38"/>
    </row>
    <row r="41967">
      <c r="P41967" s="42"/>
      <c r="AB41967" s="38"/>
    </row>
    <row r="41968">
      <c r="P41968" s="42"/>
      <c r="AB41968" s="38"/>
    </row>
    <row r="41969">
      <c r="P41969" s="42"/>
      <c r="AB41969" s="38"/>
    </row>
    <row r="41970">
      <c r="P41970" s="42"/>
      <c r="AB41970" s="38"/>
    </row>
    <row r="41971">
      <c r="P41971" s="42"/>
      <c r="AB41971" s="38"/>
    </row>
    <row r="41972">
      <c r="P41972" s="42"/>
      <c r="AB41972" s="38"/>
    </row>
    <row r="41973">
      <c r="P41973" s="42"/>
      <c r="AB41973" s="38"/>
    </row>
    <row r="41974">
      <c r="P41974" s="42"/>
      <c r="AB41974" s="38"/>
    </row>
    <row r="41975">
      <c r="P41975" s="42"/>
      <c r="AB41975" s="38"/>
    </row>
    <row r="41976">
      <c r="P41976" s="42"/>
      <c r="AB41976" s="38"/>
    </row>
    <row r="41977">
      <c r="P41977" s="42"/>
      <c r="AB41977" s="38"/>
    </row>
    <row r="41978">
      <c r="P41978" s="42"/>
      <c r="AB41978" s="38"/>
    </row>
    <row r="41979">
      <c r="P41979" s="42"/>
      <c r="AB41979" s="38"/>
    </row>
    <row r="41980">
      <c r="P41980" s="42"/>
      <c r="AB41980" s="38"/>
    </row>
    <row r="41981">
      <c r="P41981" s="42"/>
      <c r="AB41981" s="38"/>
    </row>
    <row r="41982">
      <c r="P41982" s="42"/>
      <c r="AB41982" s="38"/>
    </row>
    <row r="41983">
      <c r="P41983" s="42"/>
      <c r="AB41983" s="38"/>
    </row>
    <row r="41984">
      <c r="P41984" s="42"/>
      <c r="AB41984" s="38"/>
    </row>
    <row r="41985">
      <c r="P41985" s="42"/>
      <c r="AB41985" s="38"/>
    </row>
    <row r="41986">
      <c r="P41986" s="42"/>
      <c r="AB41986" s="38"/>
    </row>
    <row r="41987">
      <c r="P41987" s="42"/>
      <c r="AB41987" s="38"/>
    </row>
    <row r="41988">
      <c r="P41988" s="42"/>
      <c r="AB41988" s="38"/>
    </row>
    <row r="41989">
      <c r="P41989" s="42"/>
      <c r="AB41989" s="38"/>
    </row>
    <row r="41990">
      <c r="P41990" s="42"/>
      <c r="AB41990" s="38"/>
    </row>
    <row r="41991">
      <c r="P41991" s="42"/>
      <c r="AB41991" s="38"/>
    </row>
    <row r="41992">
      <c r="P41992" s="42"/>
      <c r="AB41992" s="38"/>
    </row>
    <row r="41993">
      <c r="P41993" s="42"/>
      <c r="AB41993" s="38"/>
    </row>
    <row r="41994">
      <c r="P41994" s="42"/>
      <c r="AB41994" s="38"/>
    </row>
    <row r="41995">
      <c r="P41995" s="42"/>
      <c r="AB41995" s="38"/>
    </row>
    <row r="41996">
      <c r="P41996" s="42"/>
      <c r="AB41996" s="38"/>
    </row>
    <row r="41997">
      <c r="P41997" s="42"/>
      <c r="AB41997" s="38"/>
    </row>
    <row r="41998">
      <c r="P41998" s="42"/>
      <c r="AB41998" s="38"/>
    </row>
    <row r="41999">
      <c r="P41999" s="42"/>
      <c r="AB41999" s="38"/>
    </row>
    <row r="42000">
      <c r="P42000" s="42"/>
      <c r="AB42000" s="38"/>
    </row>
    <row r="42001">
      <c r="P42001" s="42"/>
      <c r="AB42001" s="38"/>
    </row>
    <row r="42002">
      <c r="P42002" s="42"/>
      <c r="AB42002" s="38"/>
    </row>
    <row r="42003">
      <c r="P42003" s="42"/>
      <c r="AB42003" s="38"/>
    </row>
    <row r="42004">
      <c r="P42004" s="42"/>
      <c r="AB42004" s="38"/>
    </row>
    <row r="42005">
      <c r="P42005" s="42"/>
      <c r="AB42005" s="38"/>
    </row>
    <row r="42006">
      <c r="P42006" s="42"/>
      <c r="AB42006" s="38"/>
    </row>
    <row r="42007">
      <c r="P42007" s="42"/>
      <c r="AB42007" s="38"/>
    </row>
    <row r="42008">
      <c r="P42008" s="42"/>
      <c r="AB42008" s="38"/>
    </row>
    <row r="42009">
      <c r="P42009" s="42"/>
      <c r="AB42009" s="38"/>
    </row>
    <row r="42010">
      <c r="P42010" s="42"/>
      <c r="AB42010" s="38"/>
    </row>
    <row r="42011">
      <c r="P42011" s="42"/>
      <c r="AB42011" s="38"/>
    </row>
    <row r="42012">
      <c r="P42012" s="42"/>
      <c r="AB42012" s="38"/>
    </row>
    <row r="42013">
      <c r="P42013" s="42"/>
      <c r="AB42013" s="38"/>
    </row>
    <row r="42014">
      <c r="P42014" s="42"/>
      <c r="AB42014" s="38"/>
    </row>
    <row r="42015">
      <c r="P42015" s="42"/>
      <c r="AB42015" s="38"/>
    </row>
    <row r="42016">
      <c r="P42016" s="42"/>
      <c r="AB42016" s="38"/>
    </row>
    <row r="42017">
      <c r="P42017" s="42"/>
      <c r="AB42017" s="38"/>
    </row>
    <row r="42018">
      <c r="P42018" s="42"/>
      <c r="AB42018" s="38"/>
    </row>
    <row r="42019">
      <c r="P42019" s="42"/>
      <c r="AB42019" s="38"/>
    </row>
    <row r="42020">
      <c r="P42020" s="42"/>
      <c r="AB42020" s="38"/>
    </row>
    <row r="42021">
      <c r="P42021" s="42"/>
      <c r="AB42021" s="38"/>
    </row>
    <row r="42022">
      <c r="P42022" s="42"/>
      <c r="AB42022" s="38"/>
    </row>
    <row r="42023">
      <c r="P42023" s="42"/>
      <c r="AB42023" s="38"/>
    </row>
    <row r="42024">
      <c r="P42024" s="42"/>
      <c r="AB42024" s="38"/>
    </row>
    <row r="42025">
      <c r="P42025" s="42"/>
      <c r="AB42025" s="38"/>
    </row>
    <row r="42026">
      <c r="P42026" s="42"/>
      <c r="AB42026" s="38"/>
    </row>
    <row r="42027">
      <c r="P42027" s="42"/>
      <c r="AB42027" s="38"/>
    </row>
    <row r="42028">
      <c r="P42028" s="42"/>
      <c r="AB42028" s="38"/>
    </row>
    <row r="42029">
      <c r="P42029" s="42"/>
      <c r="AB42029" s="38"/>
    </row>
    <row r="42030">
      <c r="P42030" s="42"/>
      <c r="AB42030" s="38"/>
    </row>
    <row r="42031">
      <c r="P42031" s="42"/>
      <c r="AB42031" s="38"/>
    </row>
    <row r="42032">
      <c r="P42032" s="42"/>
      <c r="AB42032" s="38"/>
    </row>
    <row r="42033">
      <c r="P42033" s="42"/>
      <c r="AB42033" s="38"/>
    </row>
    <row r="42034">
      <c r="P42034" s="42"/>
      <c r="AB42034" s="38"/>
    </row>
    <row r="42035">
      <c r="P42035" s="42"/>
      <c r="AB42035" s="38"/>
    </row>
    <row r="42036">
      <c r="P42036" s="42"/>
      <c r="AB42036" s="38"/>
    </row>
    <row r="42037">
      <c r="P42037" s="42"/>
      <c r="AB42037" s="38"/>
    </row>
    <row r="42038">
      <c r="P42038" s="42"/>
      <c r="AB42038" s="38"/>
    </row>
    <row r="42039">
      <c r="P42039" s="42"/>
      <c r="AB42039" s="38"/>
    </row>
    <row r="42040">
      <c r="P42040" s="42"/>
      <c r="AB42040" s="38"/>
    </row>
    <row r="42041">
      <c r="P42041" s="42"/>
      <c r="AB42041" s="38"/>
    </row>
    <row r="42042">
      <c r="P42042" s="42"/>
      <c r="AB42042" s="38"/>
    </row>
    <row r="42043">
      <c r="P42043" s="42"/>
      <c r="AB42043" s="38"/>
    </row>
    <row r="42044">
      <c r="P42044" s="42"/>
      <c r="AB42044" s="38"/>
    </row>
    <row r="42045">
      <c r="P42045" s="42"/>
      <c r="AB42045" s="38"/>
    </row>
    <row r="42046">
      <c r="P42046" s="42"/>
      <c r="AB42046" s="38"/>
    </row>
    <row r="42047">
      <c r="P42047" s="42"/>
      <c r="AB42047" s="38"/>
    </row>
    <row r="42048">
      <c r="P42048" s="42"/>
      <c r="AB42048" s="38"/>
    </row>
    <row r="42049">
      <c r="P42049" s="42"/>
      <c r="AB42049" s="38"/>
    </row>
    <row r="42050">
      <c r="P42050" s="42"/>
      <c r="AB42050" s="38"/>
    </row>
    <row r="42051">
      <c r="P42051" s="42"/>
      <c r="AB42051" s="38"/>
    </row>
    <row r="42052">
      <c r="P42052" s="42"/>
      <c r="AB42052" s="38"/>
    </row>
    <row r="42053">
      <c r="P42053" s="42"/>
      <c r="AB42053" s="38"/>
    </row>
    <row r="42054">
      <c r="P42054" s="42"/>
      <c r="AB42054" s="38"/>
    </row>
    <row r="42055">
      <c r="P42055" s="42"/>
      <c r="AB42055" s="38"/>
    </row>
    <row r="42056">
      <c r="P42056" s="42"/>
      <c r="AB42056" s="38"/>
    </row>
    <row r="42057">
      <c r="P42057" s="42"/>
      <c r="AB42057" s="38"/>
    </row>
    <row r="42058">
      <c r="P42058" s="42"/>
      <c r="AB42058" s="38"/>
    </row>
    <row r="42059">
      <c r="P42059" s="42"/>
      <c r="AB42059" s="38"/>
    </row>
    <row r="42060">
      <c r="P42060" s="42"/>
      <c r="AB42060" s="38"/>
    </row>
    <row r="42061">
      <c r="P42061" s="42"/>
      <c r="AB42061" s="38"/>
    </row>
    <row r="42062">
      <c r="P42062" s="42"/>
      <c r="AB42062" s="38"/>
    </row>
    <row r="42063">
      <c r="P42063" s="42"/>
      <c r="AB42063" s="38"/>
    </row>
    <row r="42064">
      <c r="P42064" s="42"/>
      <c r="AB42064" s="38"/>
    </row>
    <row r="42065">
      <c r="P42065" s="42"/>
      <c r="AB42065" s="38"/>
    </row>
    <row r="42066">
      <c r="P42066" s="42"/>
      <c r="AB42066" s="38"/>
    </row>
    <row r="42067">
      <c r="P42067" s="42"/>
      <c r="AB42067" s="38"/>
    </row>
    <row r="42068">
      <c r="P42068" s="42"/>
      <c r="AB42068" s="38"/>
    </row>
    <row r="42069">
      <c r="P42069" s="42"/>
      <c r="AB42069" s="38"/>
    </row>
    <row r="42070">
      <c r="P42070" s="42"/>
      <c r="AB42070" s="38"/>
    </row>
    <row r="42071">
      <c r="P42071" s="42"/>
      <c r="AB42071" s="38"/>
    </row>
    <row r="42072">
      <c r="P42072" s="42"/>
      <c r="AB42072" s="38"/>
    </row>
    <row r="42073">
      <c r="P42073" s="42"/>
      <c r="AB42073" s="38"/>
    </row>
    <row r="42074">
      <c r="P42074" s="42"/>
      <c r="AB42074" s="38"/>
    </row>
    <row r="42075">
      <c r="P42075" s="42"/>
      <c r="AB42075" s="38"/>
    </row>
    <row r="42076">
      <c r="P42076" s="42"/>
      <c r="AB42076" s="38"/>
    </row>
    <row r="42077">
      <c r="P42077" s="42"/>
      <c r="AB42077" s="38"/>
    </row>
    <row r="42078">
      <c r="P42078" s="42"/>
      <c r="AB42078" s="38"/>
    </row>
    <row r="42079">
      <c r="P42079" s="42"/>
      <c r="AB42079" s="38"/>
    </row>
    <row r="42080">
      <c r="P42080" s="42"/>
      <c r="AB42080" s="38"/>
    </row>
    <row r="42081">
      <c r="P42081" s="42"/>
      <c r="AB42081" s="38"/>
    </row>
    <row r="42082">
      <c r="P42082" s="42"/>
      <c r="AB42082" s="38"/>
    </row>
    <row r="42083">
      <c r="P42083" s="42"/>
      <c r="AB42083" s="38"/>
    </row>
    <row r="42084">
      <c r="P42084" s="42"/>
      <c r="AB42084" s="38"/>
    </row>
    <row r="42085">
      <c r="P42085" s="42"/>
      <c r="AB42085" s="38"/>
    </row>
    <row r="42086">
      <c r="P42086" s="42"/>
      <c r="AB42086" s="38"/>
    </row>
    <row r="42087">
      <c r="P42087" s="42"/>
      <c r="AB42087" s="38"/>
    </row>
    <row r="42088">
      <c r="P42088" s="42"/>
      <c r="AB42088" s="38"/>
    </row>
    <row r="42089">
      <c r="P42089" s="42"/>
      <c r="AB42089" s="38"/>
    </row>
    <row r="42090">
      <c r="P42090" s="42"/>
      <c r="AB42090" s="38"/>
    </row>
    <row r="42091">
      <c r="P42091" s="42"/>
      <c r="AB42091" s="38"/>
    </row>
    <row r="42092">
      <c r="P42092" s="42"/>
      <c r="AB42092" s="38"/>
    </row>
    <row r="42093">
      <c r="P42093" s="42"/>
      <c r="AB42093" s="38"/>
    </row>
    <row r="42094">
      <c r="P42094" s="42"/>
      <c r="AB42094" s="38"/>
    </row>
    <row r="42095">
      <c r="P42095" s="42"/>
      <c r="AB42095" s="38"/>
    </row>
    <row r="42096">
      <c r="P42096" s="42"/>
      <c r="AB42096" s="38"/>
    </row>
    <row r="42097">
      <c r="P42097" s="42"/>
      <c r="AB42097" s="38"/>
    </row>
    <row r="42098">
      <c r="P42098" s="42"/>
      <c r="AB42098" s="38"/>
    </row>
    <row r="42099">
      <c r="P42099" s="42"/>
      <c r="AB42099" s="38"/>
    </row>
    <row r="42100">
      <c r="P42100" s="42"/>
      <c r="AB42100" s="38"/>
    </row>
    <row r="42101">
      <c r="P42101" s="42"/>
      <c r="AB42101" s="38"/>
    </row>
    <row r="42102">
      <c r="P42102" s="42"/>
      <c r="AB42102" s="38"/>
    </row>
    <row r="42103">
      <c r="P42103" s="42"/>
      <c r="AB42103" s="38"/>
    </row>
    <row r="42104">
      <c r="P42104" s="42"/>
      <c r="AB42104" s="38"/>
    </row>
    <row r="42105">
      <c r="P42105" s="42"/>
      <c r="AB42105" s="38"/>
    </row>
    <row r="42106">
      <c r="P42106" s="42"/>
      <c r="AB42106" s="38"/>
    </row>
    <row r="42107">
      <c r="P42107" s="42"/>
      <c r="AB42107" s="38"/>
    </row>
    <row r="42108">
      <c r="P42108" s="42"/>
      <c r="AB42108" s="38"/>
    </row>
    <row r="42109">
      <c r="P42109" s="42"/>
      <c r="AB42109" s="38"/>
    </row>
    <row r="42110">
      <c r="P42110" s="42"/>
      <c r="AB42110" s="38"/>
    </row>
    <row r="42111">
      <c r="P42111" s="42"/>
      <c r="AB42111" s="38"/>
    </row>
    <row r="42112">
      <c r="P42112" s="42"/>
      <c r="AB42112" s="38"/>
    </row>
    <row r="42113">
      <c r="P42113" s="42"/>
      <c r="AB42113" s="38"/>
    </row>
    <row r="42114">
      <c r="P42114" s="42"/>
      <c r="AB42114" s="38"/>
    </row>
    <row r="42115">
      <c r="P42115" s="42"/>
      <c r="AB42115" s="38"/>
    </row>
    <row r="42116">
      <c r="P42116" s="42"/>
      <c r="AB42116" s="38"/>
    </row>
    <row r="42117">
      <c r="P42117" s="42"/>
      <c r="AB42117" s="38"/>
    </row>
    <row r="42118">
      <c r="P42118" s="42"/>
      <c r="AB42118" s="38"/>
    </row>
    <row r="42119">
      <c r="P42119" s="42"/>
      <c r="AB42119" s="38"/>
    </row>
    <row r="42120">
      <c r="P42120" s="42"/>
      <c r="AB42120" s="38"/>
    </row>
    <row r="42121">
      <c r="P42121" s="42"/>
      <c r="AB42121" s="38"/>
    </row>
    <row r="42122">
      <c r="P42122" s="42"/>
      <c r="AB42122" s="38"/>
    </row>
    <row r="42123">
      <c r="P42123" s="42"/>
      <c r="AB42123" s="38"/>
    </row>
    <row r="42124">
      <c r="P42124" s="42"/>
      <c r="AB42124" s="38"/>
    </row>
    <row r="42125">
      <c r="P42125" s="42"/>
      <c r="AB42125" s="38"/>
    </row>
    <row r="42126">
      <c r="P42126" s="42"/>
      <c r="AB42126" s="38"/>
    </row>
    <row r="42127">
      <c r="P42127" s="42"/>
      <c r="AB42127" s="38"/>
    </row>
    <row r="42128">
      <c r="P42128" s="42"/>
      <c r="AB42128" s="38"/>
    </row>
    <row r="42129">
      <c r="P42129" s="42"/>
      <c r="AB42129" s="38"/>
    </row>
    <row r="42130">
      <c r="P42130" s="42"/>
      <c r="AB42130" s="38"/>
    </row>
    <row r="42131">
      <c r="P42131" s="42"/>
      <c r="AB42131" s="38"/>
    </row>
    <row r="42132">
      <c r="P42132" s="42"/>
      <c r="AB42132" s="38"/>
    </row>
    <row r="42133">
      <c r="P42133" s="42"/>
      <c r="AB42133" s="38"/>
    </row>
    <row r="42134">
      <c r="P42134" s="42"/>
      <c r="AB42134" s="38"/>
    </row>
    <row r="42135">
      <c r="P42135" s="42"/>
      <c r="AB42135" s="38"/>
    </row>
    <row r="42136">
      <c r="P42136" s="42"/>
      <c r="AB42136" s="38"/>
    </row>
    <row r="42137">
      <c r="P42137" s="42"/>
      <c r="AB42137" s="38"/>
    </row>
    <row r="42138">
      <c r="P42138" s="42"/>
      <c r="AB42138" s="38"/>
    </row>
    <row r="42139">
      <c r="P42139" s="42"/>
      <c r="AB42139" s="38"/>
    </row>
    <row r="42140">
      <c r="P42140" s="42"/>
      <c r="AB42140" s="38"/>
    </row>
    <row r="42141">
      <c r="P42141" s="42"/>
      <c r="AB42141" s="38"/>
    </row>
    <row r="42142">
      <c r="P42142" s="42"/>
      <c r="AB42142" s="38"/>
    </row>
    <row r="42143">
      <c r="P42143" s="42"/>
      <c r="AB42143" s="38"/>
    </row>
    <row r="42144">
      <c r="P42144" s="42"/>
      <c r="AB42144" s="38"/>
    </row>
    <row r="42145">
      <c r="P42145" s="42"/>
      <c r="AB42145" s="38"/>
    </row>
    <row r="42146">
      <c r="P42146" s="42"/>
      <c r="AB42146" s="38"/>
    </row>
    <row r="42147">
      <c r="P42147" s="42"/>
      <c r="AB42147" s="38"/>
    </row>
    <row r="42148">
      <c r="P42148" s="42"/>
      <c r="AB42148" s="38"/>
    </row>
    <row r="42149">
      <c r="P42149" s="42"/>
      <c r="AB42149" s="38"/>
    </row>
    <row r="42150">
      <c r="P42150" s="42"/>
      <c r="AB42150" s="38"/>
    </row>
    <row r="42151">
      <c r="P42151" s="42"/>
      <c r="AB42151" s="38"/>
    </row>
    <row r="42152">
      <c r="P42152" s="42"/>
      <c r="AB42152" s="38"/>
    </row>
    <row r="42153">
      <c r="P42153" s="42"/>
      <c r="AB42153" s="38"/>
    </row>
    <row r="42154">
      <c r="P42154" s="42"/>
      <c r="AB42154" s="38"/>
    </row>
    <row r="42155">
      <c r="P42155" s="42"/>
      <c r="AB42155" s="38"/>
    </row>
    <row r="42156">
      <c r="P42156" s="42"/>
      <c r="AB42156" s="38"/>
    </row>
    <row r="42157">
      <c r="P42157" s="42"/>
      <c r="AB42157" s="38"/>
    </row>
    <row r="42158">
      <c r="P42158" s="42"/>
      <c r="AB42158" s="38"/>
    </row>
    <row r="42159">
      <c r="P42159" s="42"/>
      <c r="AB42159" s="38"/>
    </row>
    <row r="42160">
      <c r="P42160" s="42"/>
      <c r="AB42160" s="38"/>
    </row>
    <row r="42161">
      <c r="P42161" s="42"/>
      <c r="AB42161" s="38"/>
    </row>
    <row r="42162">
      <c r="P42162" s="42"/>
      <c r="AB42162" s="38"/>
    </row>
    <row r="42163">
      <c r="P42163" s="42"/>
      <c r="AB42163" s="38"/>
    </row>
    <row r="42164">
      <c r="P42164" s="42"/>
      <c r="AB42164" s="38"/>
    </row>
    <row r="42165">
      <c r="P42165" s="42"/>
      <c r="AB42165" s="38"/>
    </row>
    <row r="42166">
      <c r="P42166" s="42"/>
      <c r="AB42166" s="38"/>
    </row>
    <row r="42167">
      <c r="P42167" s="42"/>
      <c r="AB42167" s="38"/>
    </row>
    <row r="42168">
      <c r="P42168" s="42"/>
      <c r="AB42168" s="38"/>
    </row>
    <row r="42169">
      <c r="P42169" s="42"/>
      <c r="AB42169" s="38"/>
    </row>
    <row r="42170">
      <c r="P42170" s="42"/>
      <c r="AB42170" s="38"/>
    </row>
    <row r="42171">
      <c r="P42171" s="42"/>
      <c r="AB42171" s="38"/>
    </row>
    <row r="42172">
      <c r="P42172" s="42"/>
      <c r="AB42172" s="38"/>
    </row>
    <row r="42173">
      <c r="P42173" s="42"/>
      <c r="AB42173" s="38"/>
    </row>
    <row r="42174">
      <c r="P42174" s="42"/>
      <c r="AB42174" s="38"/>
    </row>
    <row r="42175">
      <c r="P42175" s="42"/>
      <c r="AB42175" s="38"/>
    </row>
    <row r="42176">
      <c r="P42176" s="42"/>
      <c r="AB42176" s="38"/>
    </row>
    <row r="42177">
      <c r="P42177" s="42"/>
      <c r="AB42177" s="38"/>
    </row>
    <row r="42178">
      <c r="P42178" s="42"/>
      <c r="AB42178" s="38"/>
    </row>
    <row r="42179">
      <c r="P42179" s="42"/>
      <c r="AB42179" s="38"/>
    </row>
    <row r="42180">
      <c r="P42180" s="42"/>
      <c r="AB42180" s="38"/>
    </row>
    <row r="42181">
      <c r="P42181" s="42"/>
      <c r="AB42181" s="38"/>
    </row>
    <row r="42182">
      <c r="P42182" s="42"/>
      <c r="AB42182" s="38"/>
    </row>
    <row r="42183">
      <c r="P42183" s="42"/>
      <c r="AB42183" s="38"/>
    </row>
    <row r="42184">
      <c r="P42184" s="42"/>
      <c r="AB42184" s="38"/>
    </row>
    <row r="42185">
      <c r="P42185" s="42"/>
      <c r="AB42185" s="38"/>
    </row>
    <row r="42186">
      <c r="P42186" s="42"/>
      <c r="AB42186" s="38"/>
    </row>
    <row r="42187">
      <c r="P42187" s="42"/>
      <c r="AB42187" s="38"/>
    </row>
    <row r="42188">
      <c r="P42188" s="42"/>
      <c r="AB42188" s="38"/>
    </row>
    <row r="42189">
      <c r="P42189" s="42"/>
      <c r="AB42189" s="38"/>
    </row>
    <row r="42190">
      <c r="P42190" s="42"/>
      <c r="AB42190" s="38"/>
    </row>
    <row r="42191">
      <c r="P42191" s="42"/>
      <c r="AB42191" s="38"/>
    </row>
    <row r="42192">
      <c r="P42192" s="42"/>
      <c r="AB42192" s="38"/>
    </row>
    <row r="42193">
      <c r="P42193" s="42"/>
      <c r="AB42193" s="38"/>
    </row>
    <row r="42194">
      <c r="P42194" s="42"/>
      <c r="AB42194" s="38"/>
    </row>
    <row r="42195">
      <c r="P42195" s="42"/>
      <c r="AB42195" s="38"/>
    </row>
    <row r="42196">
      <c r="P42196" s="42"/>
      <c r="AB42196" s="38"/>
    </row>
    <row r="42197">
      <c r="P42197" s="42"/>
      <c r="AB42197" s="38"/>
    </row>
    <row r="42198">
      <c r="P42198" s="42"/>
      <c r="AB42198" s="38"/>
    </row>
    <row r="42199">
      <c r="P42199" s="42"/>
      <c r="AB42199" s="38"/>
    </row>
    <row r="42200">
      <c r="P42200" s="42"/>
      <c r="AB42200" s="38"/>
    </row>
    <row r="42201">
      <c r="P42201" s="42"/>
      <c r="AB42201" s="38"/>
    </row>
    <row r="42202">
      <c r="P42202" s="42"/>
      <c r="AB42202" s="38"/>
    </row>
    <row r="42203">
      <c r="P42203" s="42"/>
      <c r="AB42203" s="38"/>
    </row>
    <row r="42204">
      <c r="P42204" s="42"/>
      <c r="AB42204" s="38"/>
    </row>
    <row r="42205">
      <c r="P42205" s="42"/>
      <c r="AB42205" s="38"/>
    </row>
    <row r="42206">
      <c r="P42206" s="42"/>
      <c r="AB42206" s="38"/>
    </row>
    <row r="42207">
      <c r="P42207" s="42"/>
      <c r="AB42207" s="38"/>
    </row>
    <row r="42208">
      <c r="P42208" s="42"/>
      <c r="AB42208" s="38"/>
    </row>
    <row r="42209">
      <c r="P42209" s="42"/>
      <c r="AB42209" s="38"/>
    </row>
    <row r="42210">
      <c r="P42210" s="42"/>
      <c r="AB42210" s="38"/>
    </row>
    <row r="42211">
      <c r="P42211" s="42"/>
      <c r="AB42211" s="38"/>
    </row>
    <row r="42212">
      <c r="P42212" s="42"/>
      <c r="AB42212" s="38"/>
    </row>
    <row r="42213">
      <c r="P42213" s="42"/>
      <c r="AB42213" s="38"/>
    </row>
    <row r="42214">
      <c r="P42214" s="42"/>
      <c r="AB42214" s="38"/>
    </row>
    <row r="42215">
      <c r="P42215" s="42"/>
      <c r="AB42215" s="38"/>
    </row>
    <row r="42216">
      <c r="P42216" s="42"/>
      <c r="AB42216" s="38"/>
    </row>
    <row r="42217">
      <c r="P42217" s="42"/>
      <c r="AB42217" s="38"/>
    </row>
    <row r="42218">
      <c r="P42218" s="42"/>
      <c r="AB42218" s="38"/>
    </row>
    <row r="42219">
      <c r="P42219" s="42"/>
      <c r="AB42219" s="38"/>
    </row>
    <row r="42220">
      <c r="P42220" s="42"/>
      <c r="AB42220" s="38"/>
    </row>
    <row r="42221">
      <c r="P42221" s="42"/>
      <c r="AB42221" s="38"/>
    </row>
    <row r="42222">
      <c r="P42222" s="42"/>
      <c r="AB42222" s="38"/>
    </row>
    <row r="42223">
      <c r="P42223" s="42"/>
      <c r="AB42223" s="38"/>
    </row>
    <row r="42224">
      <c r="P42224" s="42"/>
      <c r="AB42224" s="38"/>
    </row>
    <row r="42225">
      <c r="P42225" s="42"/>
      <c r="AB42225" s="38"/>
    </row>
    <row r="42226">
      <c r="P42226" s="42"/>
      <c r="AB42226" s="38"/>
    </row>
    <row r="42227">
      <c r="P42227" s="42"/>
      <c r="AB42227" s="38"/>
    </row>
    <row r="42228">
      <c r="P42228" s="42"/>
      <c r="AB42228" s="38"/>
    </row>
    <row r="42229">
      <c r="P42229" s="42"/>
      <c r="AB42229" s="38"/>
    </row>
    <row r="42230">
      <c r="P42230" s="42"/>
      <c r="AB42230" s="38"/>
    </row>
    <row r="42231">
      <c r="P42231" s="42"/>
      <c r="AB42231" s="38"/>
    </row>
    <row r="42232">
      <c r="P42232" s="42"/>
      <c r="AB42232" s="38"/>
    </row>
    <row r="42233">
      <c r="P42233" s="42"/>
      <c r="AB42233" s="38"/>
    </row>
    <row r="42234">
      <c r="P42234" s="42"/>
      <c r="AB42234" s="38"/>
    </row>
    <row r="42235">
      <c r="P42235" s="42"/>
      <c r="AB42235" s="38"/>
    </row>
    <row r="42236">
      <c r="P42236" s="42"/>
      <c r="AB42236" s="38"/>
    </row>
    <row r="42237">
      <c r="P42237" s="42"/>
      <c r="AB42237" s="38"/>
    </row>
    <row r="42238">
      <c r="P42238" s="42"/>
      <c r="AB42238" s="38"/>
    </row>
    <row r="42239">
      <c r="P42239" s="42"/>
      <c r="AB42239" s="38"/>
    </row>
    <row r="42240">
      <c r="P42240" s="42"/>
      <c r="AB42240" s="38"/>
    </row>
    <row r="42241">
      <c r="P42241" s="42"/>
      <c r="AB42241" s="38"/>
    </row>
    <row r="42242">
      <c r="P42242" s="42"/>
      <c r="AB42242" s="38"/>
    </row>
    <row r="42243">
      <c r="P42243" s="42"/>
      <c r="AB42243" s="38"/>
    </row>
    <row r="42244">
      <c r="P42244" s="42"/>
      <c r="AB42244" s="38"/>
    </row>
    <row r="42245">
      <c r="P42245" s="42"/>
      <c r="AB42245" s="38"/>
    </row>
    <row r="42246">
      <c r="P42246" s="42"/>
      <c r="AB42246" s="38"/>
    </row>
    <row r="42247">
      <c r="P42247" s="42"/>
      <c r="AB42247" s="38"/>
    </row>
    <row r="42248">
      <c r="P42248" s="42"/>
      <c r="AB42248" s="38"/>
    </row>
    <row r="42249">
      <c r="P42249" s="42"/>
      <c r="AB42249" s="38"/>
    </row>
    <row r="42250">
      <c r="P42250" s="42"/>
      <c r="AB42250" s="38"/>
    </row>
    <row r="42251">
      <c r="P42251" s="42"/>
      <c r="AB42251" s="38"/>
    </row>
    <row r="42252">
      <c r="P42252" s="42"/>
      <c r="AB42252" s="38"/>
    </row>
    <row r="42253">
      <c r="P42253" s="42"/>
      <c r="AB42253" s="38"/>
    </row>
    <row r="42254">
      <c r="P42254" s="42"/>
      <c r="AB42254" s="38"/>
    </row>
    <row r="42255">
      <c r="P42255" s="42"/>
      <c r="AB42255" s="38"/>
    </row>
    <row r="42256">
      <c r="P42256" s="42"/>
      <c r="AB42256" s="38"/>
    </row>
    <row r="42257">
      <c r="P42257" s="42"/>
      <c r="AB42257" s="38"/>
    </row>
    <row r="42258">
      <c r="P42258" s="42"/>
      <c r="AB42258" s="38"/>
    </row>
    <row r="42259">
      <c r="P42259" s="42"/>
      <c r="AB42259" s="38"/>
    </row>
    <row r="42260">
      <c r="P42260" s="42"/>
      <c r="AB42260" s="38"/>
    </row>
    <row r="42261">
      <c r="P42261" s="42"/>
      <c r="AB42261" s="38"/>
    </row>
    <row r="42262">
      <c r="P42262" s="42"/>
      <c r="AB42262" s="38"/>
    </row>
    <row r="42263">
      <c r="P42263" s="42"/>
      <c r="AB42263" s="38"/>
    </row>
    <row r="42264">
      <c r="P42264" s="42"/>
      <c r="AB42264" s="38"/>
    </row>
    <row r="42265">
      <c r="P42265" s="42"/>
      <c r="AB42265" s="38"/>
    </row>
    <row r="42266">
      <c r="P42266" s="42"/>
      <c r="AB42266" s="38"/>
    </row>
    <row r="42267">
      <c r="P42267" s="42"/>
      <c r="AB42267" s="38"/>
    </row>
    <row r="42268">
      <c r="P42268" s="42"/>
      <c r="AB42268" s="38"/>
    </row>
    <row r="42269">
      <c r="P42269" s="42"/>
      <c r="AB42269" s="38"/>
    </row>
    <row r="42270">
      <c r="P42270" s="42"/>
      <c r="AB42270" s="38"/>
    </row>
    <row r="42271">
      <c r="P42271" s="42"/>
      <c r="AB42271" s="38"/>
    </row>
    <row r="42272">
      <c r="P42272" s="42"/>
      <c r="AB42272" s="38"/>
    </row>
    <row r="42273">
      <c r="P42273" s="42"/>
      <c r="AB42273" s="38"/>
    </row>
    <row r="42274">
      <c r="P42274" s="42"/>
      <c r="AB42274" s="38"/>
    </row>
    <row r="42275">
      <c r="P42275" s="42"/>
      <c r="AB42275" s="38"/>
    </row>
    <row r="42276">
      <c r="P42276" s="42"/>
      <c r="AB42276" s="38"/>
    </row>
    <row r="42277">
      <c r="P42277" s="42"/>
      <c r="AB42277" s="38"/>
    </row>
    <row r="42278">
      <c r="P42278" s="42"/>
      <c r="AB42278" s="38"/>
    </row>
    <row r="42279">
      <c r="P42279" s="42"/>
      <c r="AB42279" s="38"/>
    </row>
    <row r="42280">
      <c r="P42280" s="42"/>
      <c r="AB42280" s="38"/>
    </row>
    <row r="42281">
      <c r="P42281" s="42"/>
      <c r="AB42281" s="38"/>
    </row>
    <row r="42282">
      <c r="P42282" s="42"/>
      <c r="AB42282" s="38"/>
    </row>
    <row r="42283">
      <c r="P42283" s="42"/>
      <c r="AB42283" s="38"/>
    </row>
    <row r="42284">
      <c r="P42284" s="42"/>
      <c r="AB42284" s="38"/>
    </row>
    <row r="42285">
      <c r="P42285" s="42"/>
      <c r="AB42285" s="38"/>
    </row>
    <row r="42286">
      <c r="P42286" s="42"/>
      <c r="AB42286" s="38"/>
    </row>
    <row r="42287">
      <c r="P42287" s="42"/>
      <c r="AB42287" s="38"/>
    </row>
    <row r="42288">
      <c r="P42288" s="42"/>
      <c r="AB42288" s="38"/>
    </row>
    <row r="42289">
      <c r="P42289" s="42"/>
      <c r="AB42289" s="38"/>
    </row>
    <row r="42290">
      <c r="P42290" s="42"/>
      <c r="AB42290" s="38"/>
    </row>
    <row r="42291">
      <c r="P42291" s="42"/>
      <c r="AB42291" s="38"/>
    </row>
    <row r="42292">
      <c r="P42292" s="42"/>
      <c r="AB42292" s="38"/>
    </row>
    <row r="42293">
      <c r="P42293" s="42"/>
      <c r="AB42293" s="38"/>
    </row>
    <row r="42294">
      <c r="P42294" s="42"/>
      <c r="AB42294" s="38"/>
    </row>
    <row r="42295">
      <c r="P42295" s="42"/>
      <c r="AB42295" s="38"/>
    </row>
    <row r="42296">
      <c r="P42296" s="42"/>
      <c r="AB42296" s="38"/>
    </row>
    <row r="42297">
      <c r="P42297" s="42"/>
      <c r="AB42297" s="38"/>
    </row>
    <row r="42298">
      <c r="P42298" s="42"/>
      <c r="AB42298" s="38"/>
    </row>
    <row r="42299">
      <c r="P42299" s="42"/>
      <c r="AB42299" s="38"/>
    </row>
    <row r="42300">
      <c r="P42300" s="42"/>
      <c r="AB42300" s="38"/>
    </row>
    <row r="42301">
      <c r="P42301" s="42"/>
      <c r="AB42301" s="38"/>
    </row>
    <row r="42302">
      <c r="P42302" s="42"/>
      <c r="AB42302" s="38"/>
    </row>
    <row r="42303">
      <c r="P42303" s="42"/>
      <c r="AB42303" s="38"/>
    </row>
    <row r="42304">
      <c r="P42304" s="42"/>
      <c r="AB42304" s="38"/>
    </row>
    <row r="42305">
      <c r="P42305" s="42"/>
      <c r="AB42305" s="38"/>
    </row>
    <row r="42306">
      <c r="P42306" s="42"/>
      <c r="AB42306" s="38"/>
    </row>
    <row r="42307">
      <c r="P42307" s="42"/>
      <c r="AB42307" s="38"/>
    </row>
    <row r="42308">
      <c r="P42308" s="42"/>
      <c r="AB42308" s="38"/>
    </row>
    <row r="42309">
      <c r="P42309" s="42"/>
      <c r="AB42309" s="38"/>
    </row>
    <row r="42310">
      <c r="P42310" s="42"/>
      <c r="AB42310" s="38"/>
    </row>
    <row r="42311">
      <c r="P42311" s="42"/>
      <c r="AB42311" s="38"/>
    </row>
    <row r="42312">
      <c r="P42312" s="42"/>
      <c r="AB42312" s="38"/>
    </row>
    <row r="42313">
      <c r="P42313" s="42"/>
      <c r="AB42313" s="38"/>
    </row>
    <row r="42314">
      <c r="P42314" s="42"/>
      <c r="AB42314" s="38"/>
    </row>
    <row r="42315">
      <c r="P42315" s="42"/>
      <c r="AB42315" s="38"/>
    </row>
    <row r="42316">
      <c r="P42316" s="42"/>
      <c r="AB42316" s="38"/>
    </row>
    <row r="42317">
      <c r="P42317" s="42"/>
      <c r="AB42317" s="38"/>
    </row>
    <row r="42318">
      <c r="P42318" s="42"/>
      <c r="AB42318" s="38"/>
    </row>
    <row r="42319">
      <c r="P42319" s="42"/>
      <c r="AB42319" s="38"/>
    </row>
    <row r="42320">
      <c r="P42320" s="42"/>
      <c r="AB42320" s="38"/>
    </row>
    <row r="42321">
      <c r="P42321" s="42"/>
      <c r="AB42321" s="38"/>
    </row>
    <row r="42322">
      <c r="P42322" s="42"/>
      <c r="AB42322" s="38"/>
    </row>
    <row r="42323">
      <c r="P42323" s="42"/>
      <c r="AB42323" s="38"/>
    </row>
    <row r="42324">
      <c r="P42324" s="42"/>
      <c r="AB42324" s="38"/>
    </row>
    <row r="42325">
      <c r="P42325" s="42"/>
      <c r="AB42325" s="38"/>
    </row>
    <row r="42326">
      <c r="P42326" s="42"/>
      <c r="AB42326" s="38"/>
    </row>
    <row r="42327">
      <c r="P42327" s="42"/>
      <c r="AB42327" s="38"/>
    </row>
    <row r="42328">
      <c r="P42328" s="42"/>
      <c r="AB42328" s="38"/>
    </row>
    <row r="42329">
      <c r="P42329" s="42"/>
      <c r="AB42329" s="38"/>
    </row>
    <row r="42330">
      <c r="P42330" s="42"/>
      <c r="AB42330" s="38"/>
    </row>
    <row r="42331">
      <c r="P42331" s="42"/>
      <c r="AB42331" s="38"/>
    </row>
    <row r="42332">
      <c r="P42332" s="42"/>
      <c r="AB42332" s="38"/>
    </row>
    <row r="42333">
      <c r="P42333" s="42"/>
      <c r="AB42333" s="38"/>
    </row>
    <row r="42334">
      <c r="P42334" s="42"/>
      <c r="AB42334" s="38"/>
    </row>
    <row r="42335">
      <c r="P42335" s="42"/>
      <c r="AB42335" s="38"/>
    </row>
    <row r="42336">
      <c r="P42336" s="42"/>
      <c r="AB42336" s="38"/>
    </row>
    <row r="42337">
      <c r="P42337" s="42"/>
      <c r="AB42337" s="38"/>
    </row>
    <row r="42338">
      <c r="P42338" s="42"/>
      <c r="AB42338" s="38"/>
    </row>
    <row r="42339">
      <c r="P42339" s="42"/>
      <c r="AB42339" s="38"/>
    </row>
    <row r="42340">
      <c r="P42340" s="42"/>
      <c r="AB42340" s="38"/>
    </row>
    <row r="42341">
      <c r="P42341" s="42"/>
      <c r="AB42341" s="38"/>
    </row>
    <row r="42342">
      <c r="P42342" s="42"/>
      <c r="AB42342" s="38"/>
    </row>
    <row r="42343">
      <c r="P42343" s="42"/>
      <c r="AB42343" s="38"/>
    </row>
    <row r="42344">
      <c r="P42344" s="42"/>
      <c r="AB42344" s="38"/>
    </row>
    <row r="42345">
      <c r="P42345" s="42"/>
      <c r="AB42345" s="38"/>
    </row>
    <row r="42346">
      <c r="P42346" s="42"/>
      <c r="AB42346" s="38"/>
    </row>
    <row r="42347">
      <c r="P42347" s="42"/>
      <c r="AB42347" s="38"/>
    </row>
    <row r="42348">
      <c r="P42348" s="42"/>
      <c r="AB42348" s="38"/>
    </row>
    <row r="42349">
      <c r="P42349" s="42"/>
      <c r="AB42349" s="38"/>
    </row>
    <row r="42350">
      <c r="P42350" s="42"/>
      <c r="AB42350" s="38"/>
    </row>
    <row r="42351">
      <c r="P42351" s="42"/>
      <c r="AB42351" s="38"/>
    </row>
    <row r="42352">
      <c r="P42352" s="42"/>
      <c r="AB42352" s="38"/>
    </row>
    <row r="42353">
      <c r="P42353" s="42"/>
      <c r="AB42353" s="38"/>
    </row>
    <row r="42354">
      <c r="P42354" s="42"/>
      <c r="AB42354" s="38"/>
    </row>
    <row r="42355">
      <c r="P42355" s="42"/>
      <c r="AB42355" s="38"/>
    </row>
    <row r="42356">
      <c r="P42356" s="42"/>
      <c r="AB42356" s="38"/>
    </row>
    <row r="42357">
      <c r="P42357" s="42"/>
      <c r="AB42357" s="38"/>
    </row>
    <row r="42358">
      <c r="P42358" s="42"/>
      <c r="AB42358" s="38"/>
    </row>
    <row r="42359">
      <c r="P42359" s="42"/>
      <c r="AB42359" s="38"/>
    </row>
    <row r="42360">
      <c r="P42360" s="42"/>
      <c r="AB42360" s="38"/>
    </row>
    <row r="42361">
      <c r="P42361" s="42"/>
      <c r="AB42361" s="38"/>
    </row>
    <row r="42362">
      <c r="P42362" s="42"/>
      <c r="AB42362" s="38"/>
    </row>
    <row r="42363">
      <c r="P42363" s="42"/>
      <c r="AB42363" s="38"/>
    </row>
    <row r="42364">
      <c r="P42364" s="42"/>
      <c r="AB42364" s="38"/>
    </row>
    <row r="42365">
      <c r="P42365" s="42"/>
      <c r="AB42365" s="38"/>
    </row>
    <row r="42366">
      <c r="P42366" s="42"/>
      <c r="AB42366" s="38"/>
    </row>
    <row r="42367">
      <c r="P42367" s="42"/>
      <c r="AB42367" s="38"/>
    </row>
    <row r="42368">
      <c r="P42368" s="42"/>
      <c r="AB42368" s="38"/>
    </row>
    <row r="42369">
      <c r="P42369" s="42"/>
      <c r="AB42369" s="38"/>
    </row>
    <row r="42370">
      <c r="P42370" s="42"/>
      <c r="AB42370" s="38"/>
    </row>
    <row r="42371">
      <c r="P42371" s="42"/>
      <c r="AB42371" s="38"/>
    </row>
    <row r="42372">
      <c r="P42372" s="42"/>
      <c r="AB42372" s="38"/>
    </row>
    <row r="42373">
      <c r="P42373" s="42"/>
      <c r="AB42373" s="38"/>
    </row>
    <row r="42374">
      <c r="P42374" s="42"/>
      <c r="AB42374" s="38"/>
    </row>
    <row r="42375">
      <c r="P42375" s="42"/>
      <c r="AB42375" s="38"/>
    </row>
    <row r="42376">
      <c r="P42376" s="42"/>
      <c r="AB42376" s="38"/>
    </row>
    <row r="42377">
      <c r="P42377" s="42"/>
      <c r="AB42377" s="38"/>
    </row>
    <row r="42378">
      <c r="P42378" s="42"/>
      <c r="AB42378" s="38"/>
    </row>
    <row r="42379">
      <c r="P42379" s="42"/>
      <c r="AB42379" s="38"/>
    </row>
    <row r="42380">
      <c r="P42380" s="42"/>
      <c r="AB42380" s="38"/>
    </row>
    <row r="42381">
      <c r="P42381" s="42"/>
      <c r="AB42381" s="38"/>
    </row>
    <row r="42382">
      <c r="P42382" s="42"/>
      <c r="AB42382" s="38"/>
    </row>
    <row r="42383">
      <c r="P42383" s="42"/>
      <c r="AB42383" s="38"/>
    </row>
    <row r="42384">
      <c r="P42384" s="42"/>
      <c r="AB42384" s="38"/>
    </row>
    <row r="42385">
      <c r="P42385" s="42"/>
      <c r="AB42385" s="38"/>
    </row>
    <row r="42386">
      <c r="P42386" s="42"/>
      <c r="AB42386" s="38"/>
    </row>
    <row r="42387">
      <c r="P42387" s="42"/>
      <c r="AB42387" s="38"/>
    </row>
    <row r="42388">
      <c r="P42388" s="42"/>
      <c r="AB42388" s="38"/>
    </row>
    <row r="42389">
      <c r="P42389" s="42"/>
      <c r="AB42389" s="38"/>
    </row>
    <row r="42390">
      <c r="P42390" s="42"/>
      <c r="AB42390" s="38"/>
    </row>
    <row r="42391">
      <c r="P42391" s="42"/>
      <c r="AB42391" s="38"/>
    </row>
    <row r="42392">
      <c r="P42392" s="42"/>
      <c r="AB42392" s="38"/>
    </row>
    <row r="42393">
      <c r="P42393" s="42"/>
      <c r="AB42393" s="38"/>
    </row>
    <row r="42394">
      <c r="P42394" s="42"/>
      <c r="AB42394" s="38"/>
    </row>
    <row r="42395">
      <c r="P42395" s="42"/>
      <c r="AB42395" s="38"/>
    </row>
    <row r="42396">
      <c r="P42396" s="42"/>
      <c r="AB42396" s="38"/>
    </row>
    <row r="42397">
      <c r="P42397" s="42"/>
      <c r="AB42397" s="38"/>
    </row>
    <row r="42398">
      <c r="P42398" s="42"/>
      <c r="AB42398" s="38"/>
    </row>
    <row r="42399">
      <c r="P42399" s="42"/>
      <c r="AB42399" s="38"/>
    </row>
    <row r="42400">
      <c r="P42400" s="42"/>
      <c r="AB42400" s="38"/>
    </row>
    <row r="42401">
      <c r="P42401" s="42"/>
      <c r="AB42401" s="38"/>
    </row>
    <row r="42402">
      <c r="P42402" s="42"/>
      <c r="AB42402" s="38"/>
    </row>
    <row r="42403">
      <c r="P42403" s="42"/>
      <c r="AB42403" s="38"/>
    </row>
    <row r="42404">
      <c r="P42404" s="42"/>
      <c r="AB42404" s="38"/>
    </row>
    <row r="42405">
      <c r="P42405" s="42"/>
      <c r="AB42405" s="38"/>
    </row>
    <row r="42406">
      <c r="P42406" s="42"/>
      <c r="AB42406" s="38"/>
    </row>
    <row r="42407">
      <c r="P42407" s="42"/>
      <c r="AB42407" s="38"/>
    </row>
    <row r="42408">
      <c r="P42408" s="42"/>
      <c r="AB42408" s="38"/>
    </row>
    <row r="42409">
      <c r="P42409" s="42"/>
      <c r="AB42409" s="38"/>
    </row>
    <row r="42410">
      <c r="P42410" s="42"/>
      <c r="AB42410" s="38"/>
    </row>
    <row r="42411">
      <c r="P42411" s="42"/>
      <c r="AB42411" s="38"/>
    </row>
    <row r="42412">
      <c r="P42412" s="42"/>
      <c r="AB42412" s="38"/>
    </row>
    <row r="42413">
      <c r="P42413" s="42"/>
      <c r="AB42413" s="38"/>
    </row>
    <row r="42414">
      <c r="P42414" s="42"/>
      <c r="AB42414" s="38"/>
    </row>
    <row r="42415">
      <c r="P42415" s="42"/>
      <c r="AB42415" s="38"/>
    </row>
    <row r="42416">
      <c r="P42416" s="42"/>
      <c r="AB42416" s="38"/>
    </row>
    <row r="42417">
      <c r="P42417" s="42"/>
      <c r="AB42417" s="38"/>
    </row>
    <row r="42418">
      <c r="P42418" s="42"/>
      <c r="AB42418" s="38"/>
    </row>
    <row r="42419">
      <c r="P42419" s="42"/>
      <c r="AB42419" s="38"/>
    </row>
    <row r="42420">
      <c r="P42420" s="42"/>
      <c r="AB42420" s="38"/>
    </row>
    <row r="42421">
      <c r="P42421" s="42"/>
      <c r="AB42421" s="38"/>
    </row>
    <row r="42422">
      <c r="P42422" s="42"/>
      <c r="AB42422" s="38"/>
    </row>
    <row r="42423">
      <c r="P42423" s="42"/>
      <c r="AB42423" s="38"/>
    </row>
    <row r="42424">
      <c r="P42424" s="42"/>
      <c r="AB42424" s="38"/>
    </row>
    <row r="42425">
      <c r="P42425" s="42"/>
      <c r="AB42425" s="38"/>
    </row>
    <row r="42426">
      <c r="P42426" s="42"/>
      <c r="AB42426" s="38"/>
    </row>
    <row r="42427">
      <c r="P42427" s="42"/>
      <c r="AB42427" s="38"/>
    </row>
    <row r="42428">
      <c r="P42428" s="42"/>
      <c r="AB42428" s="38"/>
    </row>
    <row r="42429">
      <c r="P42429" s="42"/>
      <c r="AB42429" s="38"/>
    </row>
    <row r="42430">
      <c r="P42430" s="42"/>
      <c r="AB42430" s="38"/>
    </row>
    <row r="42431">
      <c r="P42431" s="42"/>
      <c r="AB42431" s="38"/>
    </row>
    <row r="42432">
      <c r="P42432" s="42"/>
      <c r="AB42432" s="38"/>
    </row>
    <row r="42433">
      <c r="P42433" s="42"/>
      <c r="AB42433" s="38"/>
    </row>
    <row r="42434">
      <c r="P42434" s="42"/>
      <c r="AB42434" s="38"/>
    </row>
    <row r="42435">
      <c r="P42435" s="42"/>
      <c r="AB42435" s="38"/>
    </row>
    <row r="42436">
      <c r="P42436" s="42"/>
      <c r="AB42436" s="38"/>
    </row>
    <row r="42437">
      <c r="P42437" s="42"/>
      <c r="AB42437" s="38"/>
    </row>
    <row r="42438">
      <c r="P42438" s="42"/>
      <c r="AB42438" s="38"/>
    </row>
    <row r="42439">
      <c r="P42439" s="42"/>
      <c r="AB42439" s="38"/>
    </row>
    <row r="42440">
      <c r="P42440" s="42"/>
      <c r="AB42440" s="38"/>
    </row>
    <row r="42441">
      <c r="P42441" s="42"/>
      <c r="AB42441" s="38"/>
    </row>
    <row r="42442">
      <c r="P42442" s="42"/>
      <c r="AB42442" s="38"/>
    </row>
    <row r="42443">
      <c r="P42443" s="42"/>
      <c r="AB42443" s="38"/>
    </row>
    <row r="42444">
      <c r="P42444" s="42"/>
      <c r="AB42444" s="38"/>
    </row>
    <row r="42445">
      <c r="P42445" s="42"/>
      <c r="AB42445" s="38"/>
    </row>
    <row r="42446">
      <c r="P42446" s="42"/>
      <c r="AB42446" s="38"/>
    </row>
    <row r="42447">
      <c r="P42447" s="42"/>
      <c r="AB42447" s="38"/>
    </row>
    <row r="42448">
      <c r="P42448" s="42"/>
      <c r="AB42448" s="38"/>
    </row>
    <row r="42449">
      <c r="P42449" s="42"/>
      <c r="AB42449" s="38"/>
    </row>
    <row r="42450">
      <c r="P42450" s="42"/>
      <c r="AB42450" s="38"/>
    </row>
    <row r="42451">
      <c r="P42451" s="42"/>
      <c r="AB42451" s="38"/>
    </row>
    <row r="42452">
      <c r="P42452" s="42"/>
      <c r="AB42452" s="38"/>
    </row>
    <row r="42453">
      <c r="P42453" s="42"/>
      <c r="AB42453" s="38"/>
    </row>
    <row r="42454">
      <c r="P42454" s="42"/>
      <c r="AB42454" s="38"/>
    </row>
    <row r="42455">
      <c r="P42455" s="42"/>
      <c r="AB42455" s="38"/>
    </row>
    <row r="42456">
      <c r="P42456" s="42"/>
      <c r="AB42456" s="38"/>
    </row>
    <row r="42457">
      <c r="P42457" s="42"/>
      <c r="AB42457" s="38"/>
    </row>
    <row r="42458">
      <c r="P42458" s="42"/>
      <c r="AB42458" s="38"/>
    </row>
    <row r="42459">
      <c r="P42459" s="42"/>
      <c r="AB42459" s="38"/>
    </row>
    <row r="42460">
      <c r="P42460" s="42"/>
      <c r="AB42460" s="38"/>
    </row>
    <row r="42461">
      <c r="P42461" s="42"/>
      <c r="AB42461" s="38"/>
    </row>
    <row r="42462">
      <c r="P42462" s="42"/>
      <c r="AB42462" s="38"/>
    </row>
    <row r="42463">
      <c r="P42463" s="42"/>
      <c r="AB42463" s="38"/>
    </row>
    <row r="42464">
      <c r="P42464" s="42"/>
      <c r="AB42464" s="38"/>
    </row>
    <row r="42465">
      <c r="P42465" s="42"/>
      <c r="AB42465" s="38"/>
    </row>
    <row r="42466">
      <c r="P42466" s="42"/>
      <c r="AB42466" s="38"/>
    </row>
    <row r="42467">
      <c r="P42467" s="42"/>
      <c r="AB42467" s="38"/>
    </row>
    <row r="42468">
      <c r="P42468" s="42"/>
      <c r="AB42468" s="38"/>
    </row>
    <row r="42469">
      <c r="P42469" s="42"/>
      <c r="AB42469" s="38"/>
    </row>
    <row r="42470">
      <c r="P42470" s="42"/>
      <c r="AB42470" s="38"/>
    </row>
    <row r="42471">
      <c r="P42471" s="42"/>
      <c r="AB42471" s="38"/>
    </row>
    <row r="42472">
      <c r="P42472" s="42"/>
      <c r="AB42472" s="38"/>
    </row>
    <row r="42473">
      <c r="P42473" s="42"/>
      <c r="AB42473" s="38"/>
    </row>
    <row r="42474">
      <c r="P42474" s="42"/>
      <c r="AB42474" s="38"/>
    </row>
    <row r="42475">
      <c r="P42475" s="42"/>
      <c r="AB42475" s="38"/>
    </row>
    <row r="42476">
      <c r="P42476" s="42"/>
      <c r="AB42476" s="38"/>
    </row>
    <row r="42477">
      <c r="P42477" s="42"/>
      <c r="AB42477" s="38"/>
    </row>
    <row r="42478">
      <c r="P42478" s="42"/>
      <c r="AB42478" s="38"/>
    </row>
    <row r="42479">
      <c r="P42479" s="42"/>
      <c r="AB42479" s="38"/>
    </row>
    <row r="42480">
      <c r="P42480" s="42"/>
      <c r="AB42480" s="38"/>
    </row>
    <row r="42481">
      <c r="P42481" s="42"/>
      <c r="AB42481" s="38"/>
    </row>
    <row r="42482">
      <c r="P42482" s="42"/>
      <c r="AB42482" s="38"/>
    </row>
    <row r="42483">
      <c r="P42483" s="42"/>
      <c r="AB42483" s="38"/>
    </row>
    <row r="42484">
      <c r="P42484" s="42"/>
      <c r="AB42484" s="38"/>
    </row>
    <row r="42485">
      <c r="P42485" s="42"/>
      <c r="AB42485" s="38"/>
    </row>
    <row r="42486">
      <c r="P42486" s="42"/>
      <c r="AB42486" s="38"/>
    </row>
    <row r="42487">
      <c r="P42487" s="42"/>
      <c r="AB42487" s="38"/>
    </row>
    <row r="42488">
      <c r="P42488" s="42"/>
      <c r="AB42488" s="38"/>
    </row>
    <row r="42489">
      <c r="P42489" s="42"/>
      <c r="AB42489" s="38"/>
    </row>
    <row r="42490">
      <c r="P42490" s="42"/>
      <c r="AB42490" s="38"/>
    </row>
    <row r="42491">
      <c r="P42491" s="42"/>
      <c r="AB42491" s="38"/>
    </row>
    <row r="42492">
      <c r="P42492" s="42"/>
      <c r="AB42492" s="38"/>
    </row>
    <row r="42493">
      <c r="P42493" s="42"/>
      <c r="AB42493" s="38"/>
    </row>
    <row r="42494">
      <c r="P42494" s="42"/>
      <c r="AB42494" s="38"/>
    </row>
    <row r="42495">
      <c r="P42495" s="42"/>
      <c r="AB42495" s="38"/>
    </row>
    <row r="42496">
      <c r="P42496" s="42"/>
      <c r="AB42496" s="38"/>
    </row>
    <row r="42497">
      <c r="P42497" s="42"/>
      <c r="AB42497" s="38"/>
    </row>
    <row r="42498">
      <c r="P42498" s="42"/>
      <c r="AB42498" s="38"/>
    </row>
    <row r="42499">
      <c r="P42499" s="42"/>
      <c r="AB42499" s="38"/>
    </row>
    <row r="42500">
      <c r="P42500" s="42"/>
      <c r="AB42500" s="38"/>
    </row>
    <row r="42501">
      <c r="P42501" s="42"/>
      <c r="AB42501" s="38"/>
    </row>
    <row r="42502">
      <c r="P42502" s="42"/>
      <c r="AB42502" s="38"/>
    </row>
    <row r="42503">
      <c r="P42503" s="42"/>
      <c r="AB42503" s="38"/>
    </row>
    <row r="42504">
      <c r="P42504" s="42"/>
      <c r="AB42504" s="38"/>
    </row>
    <row r="42505">
      <c r="P42505" s="42"/>
      <c r="AB42505" s="38"/>
    </row>
    <row r="42506">
      <c r="P42506" s="42"/>
      <c r="AB42506" s="38"/>
    </row>
    <row r="42507">
      <c r="P42507" s="42"/>
      <c r="AB42507" s="38"/>
    </row>
    <row r="42508">
      <c r="P42508" s="42"/>
      <c r="AB42508" s="38"/>
    </row>
    <row r="42509">
      <c r="P42509" s="42"/>
      <c r="AB42509" s="38"/>
    </row>
    <row r="42510">
      <c r="P42510" s="42"/>
      <c r="AB42510" s="38"/>
    </row>
    <row r="42511">
      <c r="P42511" s="42"/>
      <c r="AB42511" s="38"/>
    </row>
    <row r="42512">
      <c r="P42512" s="42"/>
      <c r="AB42512" s="38"/>
    </row>
    <row r="42513">
      <c r="P42513" s="42"/>
      <c r="AB42513" s="38"/>
    </row>
    <row r="42514">
      <c r="P42514" s="42"/>
      <c r="AB42514" s="38"/>
    </row>
    <row r="42515">
      <c r="P42515" s="42"/>
      <c r="AB42515" s="38"/>
    </row>
    <row r="42516">
      <c r="P42516" s="42"/>
      <c r="AB42516" s="38"/>
    </row>
    <row r="42517">
      <c r="P42517" s="42"/>
      <c r="AB42517" s="38"/>
    </row>
    <row r="42518">
      <c r="P42518" s="42"/>
      <c r="AB42518" s="38"/>
    </row>
    <row r="42519">
      <c r="P42519" s="42"/>
      <c r="AB42519" s="38"/>
    </row>
    <row r="42520">
      <c r="P42520" s="42"/>
      <c r="AB42520" s="38"/>
    </row>
    <row r="42521">
      <c r="P42521" s="42"/>
      <c r="AB42521" s="38"/>
    </row>
    <row r="42522">
      <c r="P42522" s="42"/>
      <c r="AB42522" s="38"/>
    </row>
    <row r="42523">
      <c r="P42523" s="42"/>
      <c r="AB42523" s="38"/>
    </row>
    <row r="42524">
      <c r="P42524" s="42"/>
      <c r="AB42524" s="38"/>
    </row>
    <row r="42525">
      <c r="P42525" s="42"/>
      <c r="AB42525" s="38"/>
    </row>
    <row r="42526">
      <c r="P42526" s="42"/>
      <c r="AB42526" s="38"/>
    </row>
    <row r="42527">
      <c r="P42527" s="42"/>
      <c r="AB42527" s="38"/>
    </row>
    <row r="42528">
      <c r="P42528" s="42"/>
      <c r="AB42528" s="38"/>
    </row>
    <row r="42529">
      <c r="P42529" s="42"/>
      <c r="AB42529" s="38"/>
    </row>
    <row r="42530">
      <c r="P42530" s="42"/>
      <c r="AB42530" s="38"/>
    </row>
    <row r="42531">
      <c r="P42531" s="42"/>
      <c r="AB42531" s="38"/>
    </row>
    <row r="42532">
      <c r="P42532" s="42"/>
      <c r="AB42532" s="38"/>
    </row>
    <row r="42533">
      <c r="P42533" s="42"/>
      <c r="AB42533" s="38"/>
    </row>
    <row r="42534">
      <c r="P42534" s="42"/>
      <c r="AB42534" s="38"/>
    </row>
    <row r="42535">
      <c r="P42535" s="42"/>
      <c r="AB42535" s="38"/>
    </row>
    <row r="42536">
      <c r="P42536" s="42"/>
      <c r="AB42536" s="38"/>
    </row>
    <row r="42537">
      <c r="P42537" s="42"/>
      <c r="AB42537" s="38"/>
    </row>
    <row r="42538">
      <c r="P42538" s="42"/>
      <c r="AB42538" s="38"/>
    </row>
    <row r="42539">
      <c r="P42539" s="42"/>
      <c r="AB42539" s="38"/>
    </row>
    <row r="42540">
      <c r="P42540" s="42"/>
      <c r="AB42540" s="38"/>
    </row>
    <row r="42541">
      <c r="P42541" s="42"/>
      <c r="AB42541" s="38"/>
    </row>
    <row r="42542">
      <c r="P42542" s="42"/>
      <c r="AB42542" s="38"/>
    </row>
    <row r="42543">
      <c r="P42543" s="42"/>
      <c r="AB42543" s="38"/>
    </row>
    <row r="42544">
      <c r="P42544" s="42"/>
      <c r="AB42544" s="38"/>
    </row>
    <row r="42545">
      <c r="P42545" s="42"/>
      <c r="AB42545" s="38"/>
    </row>
    <row r="42546">
      <c r="P42546" s="42"/>
      <c r="AB42546" s="38"/>
    </row>
    <row r="42547">
      <c r="P42547" s="42"/>
      <c r="AB42547" s="38"/>
    </row>
    <row r="42548">
      <c r="P42548" s="42"/>
      <c r="AB42548" s="38"/>
    </row>
    <row r="42549">
      <c r="P42549" s="42"/>
      <c r="AB42549" s="38"/>
    </row>
    <row r="42550">
      <c r="P42550" s="42"/>
      <c r="AB42550" s="38"/>
    </row>
    <row r="42551">
      <c r="P42551" s="42"/>
      <c r="AB42551" s="38"/>
    </row>
    <row r="42552">
      <c r="P42552" s="42"/>
      <c r="AB42552" s="38"/>
    </row>
    <row r="42553">
      <c r="P42553" s="42"/>
      <c r="AB42553" s="38"/>
    </row>
    <row r="42554">
      <c r="P42554" s="42"/>
      <c r="AB42554" s="38"/>
    </row>
    <row r="42555">
      <c r="P42555" s="42"/>
      <c r="AB42555" s="38"/>
    </row>
    <row r="42556">
      <c r="P42556" s="42"/>
      <c r="AB42556" s="38"/>
    </row>
    <row r="42557">
      <c r="P42557" s="42"/>
      <c r="AB42557" s="38"/>
    </row>
    <row r="42558">
      <c r="P42558" s="42"/>
      <c r="AB42558" s="38"/>
    </row>
    <row r="42559">
      <c r="P42559" s="42"/>
      <c r="AB42559" s="38"/>
    </row>
    <row r="42560">
      <c r="P42560" s="42"/>
      <c r="AB42560" s="38"/>
    </row>
    <row r="42561">
      <c r="P42561" s="42"/>
      <c r="AB42561" s="38"/>
    </row>
    <row r="42562">
      <c r="P42562" s="42"/>
      <c r="AB42562" s="38"/>
    </row>
    <row r="42563">
      <c r="P42563" s="42"/>
      <c r="AB42563" s="38"/>
    </row>
    <row r="42564">
      <c r="P42564" s="42"/>
      <c r="AB42564" s="38"/>
    </row>
    <row r="42565">
      <c r="P42565" s="42"/>
      <c r="AB42565" s="38"/>
    </row>
    <row r="42566">
      <c r="P42566" s="42"/>
      <c r="AB42566" s="38"/>
    </row>
    <row r="42567">
      <c r="P42567" s="42"/>
      <c r="AB42567" s="38"/>
    </row>
    <row r="42568">
      <c r="P42568" s="42"/>
      <c r="AB42568" s="38"/>
    </row>
    <row r="42569">
      <c r="P42569" s="42"/>
      <c r="AB42569" s="38"/>
    </row>
    <row r="42570">
      <c r="P42570" s="42"/>
      <c r="AB42570" s="38"/>
    </row>
    <row r="42571">
      <c r="P42571" s="42"/>
      <c r="AB42571" s="38"/>
    </row>
    <row r="42572">
      <c r="P42572" s="42"/>
      <c r="AB42572" s="38"/>
    </row>
    <row r="42573">
      <c r="P42573" s="42"/>
      <c r="AB42573" s="38"/>
    </row>
    <row r="42574">
      <c r="P42574" s="42"/>
      <c r="AB42574" s="38"/>
    </row>
    <row r="42575">
      <c r="P42575" s="42"/>
      <c r="AB42575" s="38"/>
    </row>
    <row r="42576">
      <c r="P42576" s="42"/>
      <c r="AB42576" s="38"/>
    </row>
    <row r="42577">
      <c r="P42577" s="42"/>
      <c r="AB42577" s="38"/>
    </row>
    <row r="42578">
      <c r="P42578" s="42"/>
      <c r="AB42578" s="38"/>
    </row>
    <row r="42579">
      <c r="P42579" s="42"/>
      <c r="AB42579" s="38"/>
    </row>
    <row r="42580">
      <c r="P42580" s="42"/>
      <c r="AB42580" s="38"/>
    </row>
    <row r="42581">
      <c r="P42581" s="42"/>
      <c r="AB42581" s="38"/>
    </row>
    <row r="42582">
      <c r="P42582" s="42"/>
      <c r="AB42582" s="38"/>
    </row>
    <row r="42583">
      <c r="P42583" s="42"/>
      <c r="AB42583" s="38"/>
    </row>
    <row r="42584">
      <c r="P42584" s="42"/>
      <c r="AB42584" s="38"/>
    </row>
    <row r="42585">
      <c r="P42585" s="42"/>
      <c r="AB42585" s="38"/>
    </row>
    <row r="42586">
      <c r="P42586" s="42"/>
      <c r="AB42586" s="38"/>
    </row>
    <row r="42587">
      <c r="P42587" s="42"/>
      <c r="AB42587" s="38"/>
    </row>
    <row r="42588">
      <c r="P42588" s="42"/>
      <c r="AB42588" s="38"/>
    </row>
    <row r="42589">
      <c r="P42589" s="42"/>
      <c r="AB42589" s="38"/>
    </row>
    <row r="42590">
      <c r="P42590" s="42"/>
      <c r="AB42590" s="38"/>
    </row>
    <row r="42591">
      <c r="P42591" s="42"/>
      <c r="AB42591" s="38"/>
    </row>
    <row r="42592">
      <c r="P42592" s="42"/>
      <c r="AB42592" s="38"/>
    </row>
    <row r="42593">
      <c r="P42593" s="42"/>
      <c r="AB42593" s="38"/>
    </row>
    <row r="42594">
      <c r="P42594" s="42"/>
      <c r="AB42594" s="38"/>
    </row>
    <row r="42595">
      <c r="P42595" s="42"/>
      <c r="AB42595" s="38"/>
    </row>
    <row r="42596">
      <c r="P42596" s="42"/>
      <c r="AB42596" s="38"/>
    </row>
    <row r="42597">
      <c r="P42597" s="42"/>
      <c r="AB42597" s="38"/>
    </row>
    <row r="42598">
      <c r="P42598" s="42"/>
      <c r="AB42598" s="38"/>
    </row>
    <row r="42599">
      <c r="P42599" s="42"/>
      <c r="AB42599" s="38"/>
    </row>
    <row r="42600">
      <c r="P42600" s="42"/>
      <c r="AB42600" s="38"/>
    </row>
    <row r="42601">
      <c r="P42601" s="42"/>
      <c r="AB42601" s="38"/>
    </row>
    <row r="42602">
      <c r="P42602" s="42"/>
      <c r="AB42602" s="38"/>
    </row>
    <row r="42603">
      <c r="P42603" s="42"/>
      <c r="AB42603" s="38"/>
    </row>
    <row r="42604">
      <c r="P42604" s="42"/>
      <c r="AB42604" s="38"/>
    </row>
    <row r="42605">
      <c r="P42605" s="42"/>
      <c r="AB42605" s="38"/>
    </row>
    <row r="42606">
      <c r="P42606" s="42"/>
      <c r="AB42606" s="38"/>
    </row>
    <row r="42607">
      <c r="P42607" s="42"/>
      <c r="AB42607" s="38"/>
    </row>
    <row r="42608">
      <c r="P42608" s="42"/>
      <c r="AB42608" s="38"/>
    </row>
    <row r="42609">
      <c r="P42609" s="42"/>
      <c r="AB42609" s="38"/>
    </row>
    <row r="42610">
      <c r="P42610" s="42"/>
      <c r="AB42610" s="38"/>
    </row>
    <row r="42611">
      <c r="P42611" s="42"/>
      <c r="AB42611" s="38"/>
    </row>
    <row r="42612">
      <c r="P42612" s="42"/>
      <c r="AB42612" s="38"/>
    </row>
    <row r="42613">
      <c r="P42613" s="42"/>
      <c r="AB42613" s="38"/>
    </row>
    <row r="42614">
      <c r="P42614" s="42"/>
      <c r="AB42614" s="38"/>
    </row>
    <row r="42615">
      <c r="P42615" s="42"/>
      <c r="AB42615" s="38"/>
    </row>
    <row r="42616">
      <c r="P42616" s="42"/>
      <c r="AB42616" s="38"/>
    </row>
    <row r="42617">
      <c r="P42617" s="42"/>
      <c r="AB42617" s="38"/>
    </row>
    <row r="42618">
      <c r="P42618" s="42"/>
      <c r="AB42618" s="38"/>
    </row>
    <row r="42619">
      <c r="P42619" s="42"/>
      <c r="AB42619" s="38"/>
    </row>
    <row r="42620">
      <c r="P42620" s="42"/>
      <c r="AB42620" s="38"/>
    </row>
    <row r="42621">
      <c r="P42621" s="42"/>
      <c r="AB42621" s="38"/>
    </row>
    <row r="42622">
      <c r="P42622" s="42"/>
      <c r="AB42622" s="38"/>
    </row>
    <row r="42623">
      <c r="P42623" s="42"/>
      <c r="AB42623" s="38"/>
    </row>
    <row r="42624">
      <c r="P42624" s="42"/>
      <c r="AB42624" s="38"/>
    </row>
    <row r="42625">
      <c r="P42625" s="42"/>
      <c r="AB42625" s="38"/>
    </row>
    <row r="42626">
      <c r="P42626" s="42"/>
      <c r="AB42626" s="38"/>
    </row>
    <row r="42627">
      <c r="P42627" s="42"/>
      <c r="AB42627" s="38"/>
    </row>
    <row r="42628">
      <c r="P42628" s="42"/>
      <c r="AB42628" s="38"/>
    </row>
    <row r="42629">
      <c r="P42629" s="42"/>
      <c r="AB42629" s="38"/>
    </row>
    <row r="42630">
      <c r="P42630" s="42"/>
      <c r="AB42630" s="38"/>
    </row>
    <row r="42631">
      <c r="P42631" s="42"/>
      <c r="AB42631" s="38"/>
    </row>
    <row r="42632">
      <c r="P42632" s="42"/>
      <c r="AB42632" s="38"/>
    </row>
    <row r="42633">
      <c r="P42633" s="42"/>
      <c r="AB42633" s="38"/>
    </row>
    <row r="42634">
      <c r="P42634" s="42"/>
      <c r="AB42634" s="38"/>
    </row>
    <row r="42635">
      <c r="P42635" s="42"/>
      <c r="AB42635" s="38"/>
    </row>
    <row r="42636">
      <c r="P42636" s="42"/>
      <c r="AB42636" s="38"/>
    </row>
    <row r="42637">
      <c r="P42637" s="42"/>
      <c r="AB42637" s="38"/>
    </row>
    <row r="42638">
      <c r="P42638" s="42"/>
      <c r="AB42638" s="38"/>
    </row>
    <row r="42639">
      <c r="P42639" s="42"/>
      <c r="AB42639" s="38"/>
    </row>
    <row r="42640">
      <c r="P42640" s="42"/>
      <c r="AB42640" s="38"/>
    </row>
    <row r="42641">
      <c r="P42641" s="42"/>
      <c r="AB42641" s="38"/>
    </row>
    <row r="42642">
      <c r="P42642" s="42"/>
      <c r="AB42642" s="38"/>
    </row>
    <row r="42643">
      <c r="P42643" s="42"/>
      <c r="AB42643" s="38"/>
    </row>
    <row r="42644">
      <c r="P42644" s="42"/>
      <c r="AB42644" s="38"/>
    </row>
    <row r="42645">
      <c r="P42645" s="42"/>
      <c r="AB42645" s="38"/>
    </row>
    <row r="42646">
      <c r="P42646" s="42"/>
      <c r="AB42646" s="38"/>
    </row>
    <row r="42647">
      <c r="P42647" s="42"/>
      <c r="AB42647" s="38"/>
    </row>
    <row r="42648">
      <c r="P42648" s="42"/>
      <c r="AB42648" s="38"/>
    </row>
    <row r="42649">
      <c r="P42649" s="42"/>
      <c r="AB42649" s="38"/>
    </row>
    <row r="42650">
      <c r="P42650" s="42"/>
      <c r="AB42650" s="38"/>
    </row>
    <row r="42651">
      <c r="P42651" s="42"/>
      <c r="AB42651" s="38"/>
    </row>
    <row r="42652">
      <c r="P42652" s="42"/>
      <c r="AB42652" s="38"/>
    </row>
    <row r="42653">
      <c r="P42653" s="42"/>
      <c r="AB42653" s="38"/>
    </row>
    <row r="42654">
      <c r="P42654" s="42"/>
      <c r="AB42654" s="38"/>
    </row>
    <row r="42655">
      <c r="P42655" s="42"/>
      <c r="AB42655" s="38"/>
    </row>
    <row r="42656">
      <c r="P42656" s="42"/>
      <c r="AB42656" s="38"/>
    </row>
    <row r="42657">
      <c r="P42657" s="42"/>
      <c r="AB42657" s="38"/>
    </row>
    <row r="42658">
      <c r="P42658" s="42"/>
      <c r="AB42658" s="38"/>
    </row>
    <row r="42659">
      <c r="P42659" s="42"/>
      <c r="AB42659" s="38"/>
    </row>
    <row r="42660">
      <c r="P42660" s="42"/>
      <c r="AB42660" s="38"/>
    </row>
    <row r="42661">
      <c r="P42661" s="42"/>
      <c r="AB42661" s="38"/>
    </row>
    <row r="42662">
      <c r="P42662" s="42"/>
      <c r="AB42662" s="38"/>
    </row>
    <row r="42663">
      <c r="P42663" s="42"/>
      <c r="AB42663" s="38"/>
    </row>
    <row r="42664">
      <c r="P42664" s="42"/>
      <c r="AB42664" s="38"/>
    </row>
    <row r="42665">
      <c r="P42665" s="42"/>
      <c r="AB42665" s="38"/>
    </row>
    <row r="42666">
      <c r="P42666" s="42"/>
      <c r="AB42666" s="38"/>
    </row>
    <row r="42667">
      <c r="P42667" s="42"/>
      <c r="AB42667" s="38"/>
    </row>
    <row r="42668">
      <c r="P42668" s="42"/>
      <c r="AB42668" s="38"/>
    </row>
    <row r="42669">
      <c r="P42669" s="42"/>
      <c r="AB42669" s="38"/>
    </row>
    <row r="42670">
      <c r="P42670" s="42"/>
      <c r="AB42670" s="38"/>
    </row>
    <row r="42671">
      <c r="P42671" s="42"/>
      <c r="AB42671" s="38"/>
    </row>
    <row r="42672">
      <c r="P42672" s="42"/>
      <c r="AB42672" s="38"/>
    </row>
    <row r="42673">
      <c r="P42673" s="42"/>
      <c r="AB42673" s="38"/>
    </row>
    <row r="42674">
      <c r="P42674" s="42"/>
      <c r="AB42674" s="38"/>
    </row>
    <row r="42675">
      <c r="P42675" s="42"/>
      <c r="AB42675" s="38"/>
    </row>
    <row r="42676">
      <c r="P42676" s="42"/>
      <c r="AB42676" s="38"/>
    </row>
    <row r="42677">
      <c r="P42677" s="42"/>
      <c r="AB42677" s="38"/>
    </row>
    <row r="42678">
      <c r="P42678" s="42"/>
      <c r="AB42678" s="38"/>
    </row>
    <row r="42679">
      <c r="P42679" s="42"/>
      <c r="AB42679" s="38"/>
    </row>
    <row r="42680">
      <c r="P42680" s="42"/>
      <c r="AB42680" s="38"/>
    </row>
    <row r="42681">
      <c r="P42681" s="42"/>
      <c r="AB42681" s="38"/>
    </row>
    <row r="42682">
      <c r="P42682" s="42"/>
      <c r="AB42682" s="38"/>
    </row>
    <row r="42683">
      <c r="P42683" s="42"/>
      <c r="AB42683" s="38"/>
    </row>
    <row r="42684">
      <c r="P42684" s="42"/>
      <c r="AB42684" s="38"/>
    </row>
    <row r="42685">
      <c r="P42685" s="42"/>
      <c r="AB42685" s="38"/>
    </row>
    <row r="42686">
      <c r="P42686" s="42"/>
      <c r="AB42686" s="38"/>
    </row>
    <row r="42687">
      <c r="P42687" s="42"/>
      <c r="AB42687" s="38"/>
    </row>
    <row r="42688">
      <c r="P42688" s="42"/>
      <c r="AB42688" s="38"/>
    </row>
    <row r="42689">
      <c r="P42689" s="42"/>
      <c r="AB42689" s="38"/>
    </row>
    <row r="42690">
      <c r="P42690" s="42"/>
      <c r="AB42690" s="38"/>
    </row>
    <row r="42691">
      <c r="P42691" s="42"/>
      <c r="AB42691" s="38"/>
    </row>
    <row r="42692">
      <c r="P42692" s="42"/>
      <c r="AB42692" s="38"/>
    </row>
    <row r="42693">
      <c r="P42693" s="42"/>
      <c r="AB42693" s="38"/>
    </row>
    <row r="42694">
      <c r="P42694" s="42"/>
      <c r="AB42694" s="38"/>
    </row>
    <row r="42695">
      <c r="P42695" s="42"/>
      <c r="AB42695" s="38"/>
    </row>
    <row r="42696">
      <c r="P42696" s="42"/>
      <c r="AB42696" s="38"/>
    </row>
    <row r="42697">
      <c r="P42697" s="42"/>
      <c r="AB42697" s="38"/>
    </row>
    <row r="42698">
      <c r="P42698" s="42"/>
      <c r="AB42698" s="38"/>
    </row>
    <row r="42699">
      <c r="P42699" s="42"/>
      <c r="AB42699" s="38"/>
    </row>
    <row r="42700">
      <c r="P42700" s="42"/>
      <c r="AB42700" s="38"/>
    </row>
    <row r="42701">
      <c r="P42701" s="42"/>
      <c r="AB42701" s="38"/>
    </row>
    <row r="42702">
      <c r="P42702" s="42"/>
      <c r="AB42702" s="38"/>
    </row>
    <row r="42703">
      <c r="P42703" s="42"/>
      <c r="AB42703" s="38"/>
    </row>
    <row r="42704">
      <c r="P42704" s="42"/>
      <c r="AB42704" s="38"/>
    </row>
    <row r="42705">
      <c r="P42705" s="42"/>
      <c r="AB42705" s="38"/>
    </row>
    <row r="42706">
      <c r="P42706" s="42"/>
      <c r="AB42706" s="38"/>
    </row>
    <row r="42707">
      <c r="P42707" s="42"/>
      <c r="AB42707" s="38"/>
    </row>
    <row r="42708">
      <c r="P42708" s="42"/>
      <c r="AB42708" s="38"/>
    </row>
    <row r="42709">
      <c r="P42709" s="42"/>
      <c r="AB42709" s="38"/>
    </row>
    <row r="42710">
      <c r="P42710" s="42"/>
      <c r="AB42710" s="38"/>
    </row>
    <row r="42711">
      <c r="P42711" s="42"/>
      <c r="AB42711" s="38"/>
    </row>
    <row r="42712">
      <c r="P42712" s="42"/>
      <c r="AB42712" s="38"/>
    </row>
    <row r="42713">
      <c r="P42713" s="42"/>
      <c r="AB42713" s="38"/>
    </row>
    <row r="42714">
      <c r="P42714" s="42"/>
      <c r="AB42714" s="38"/>
    </row>
    <row r="42715">
      <c r="P42715" s="42"/>
      <c r="AB42715" s="38"/>
    </row>
    <row r="42716">
      <c r="P42716" s="42"/>
      <c r="AB42716" s="38"/>
    </row>
    <row r="42717">
      <c r="P42717" s="42"/>
      <c r="AB42717" s="38"/>
    </row>
    <row r="42718">
      <c r="P42718" s="42"/>
      <c r="AB42718" s="38"/>
    </row>
    <row r="42719">
      <c r="P42719" s="42"/>
      <c r="AB42719" s="38"/>
    </row>
    <row r="42720">
      <c r="P42720" s="42"/>
      <c r="AB42720" s="38"/>
    </row>
    <row r="42721">
      <c r="P42721" s="42"/>
      <c r="AB42721" s="38"/>
    </row>
    <row r="42722">
      <c r="P42722" s="42"/>
      <c r="AB42722" s="38"/>
    </row>
    <row r="42723">
      <c r="P42723" s="42"/>
      <c r="AB42723" s="38"/>
    </row>
    <row r="42724">
      <c r="P42724" s="42"/>
      <c r="AB42724" s="38"/>
    </row>
    <row r="42725">
      <c r="P42725" s="42"/>
      <c r="AB42725" s="38"/>
    </row>
    <row r="42726">
      <c r="P42726" s="42"/>
      <c r="AB42726" s="38"/>
    </row>
    <row r="42727">
      <c r="P42727" s="42"/>
      <c r="AB42727" s="38"/>
    </row>
    <row r="42728">
      <c r="P42728" s="42"/>
      <c r="AB42728" s="38"/>
    </row>
    <row r="42729">
      <c r="P42729" s="42"/>
      <c r="AB42729" s="38"/>
    </row>
    <row r="42730">
      <c r="P42730" s="42"/>
      <c r="AB42730" s="38"/>
    </row>
    <row r="42731">
      <c r="P42731" s="42"/>
      <c r="AB42731" s="38"/>
    </row>
    <row r="42732">
      <c r="P42732" s="42"/>
      <c r="AB42732" s="38"/>
    </row>
    <row r="42733">
      <c r="P42733" s="42"/>
      <c r="AB42733" s="38"/>
    </row>
    <row r="42734">
      <c r="P42734" s="42"/>
      <c r="AB42734" s="38"/>
    </row>
    <row r="42735">
      <c r="P42735" s="42"/>
      <c r="AB42735" s="38"/>
    </row>
    <row r="42736">
      <c r="P42736" s="42"/>
      <c r="AB42736" s="38"/>
    </row>
    <row r="42737">
      <c r="P42737" s="42"/>
      <c r="AB42737" s="38"/>
    </row>
    <row r="42738">
      <c r="P42738" s="42"/>
      <c r="AB42738" s="38"/>
    </row>
    <row r="42739">
      <c r="P42739" s="42"/>
      <c r="AB42739" s="38"/>
    </row>
    <row r="42740">
      <c r="P42740" s="42"/>
      <c r="AB42740" s="38"/>
    </row>
    <row r="42741">
      <c r="P42741" s="42"/>
      <c r="AB42741" s="38"/>
    </row>
    <row r="42742">
      <c r="P42742" s="42"/>
      <c r="AB42742" s="38"/>
    </row>
    <row r="42743">
      <c r="P42743" s="42"/>
      <c r="AB42743" s="38"/>
    </row>
    <row r="42744">
      <c r="P42744" s="42"/>
      <c r="AB42744" s="38"/>
    </row>
    <row r="42745">
      <c r="P42745" s="42"/>
      <c r="AB42745" s="38"/>
    </row>
    <row r="42746">
      <c r="P42746" s="42"/>
      <c r="AB42746" s="38"/>
    </row>
    <row r="42747">
      <c r="P42747" s="42"/>
      <c r="AB42747" s="38"/>
    </row>
    <row r="42748">
      <c r="P42748" s="42"/>
      <c r="AB42748" s="38"/>
    </row>
    <row r="42749">
      <c r="P42749" s="42"/>
      <c r="AB42749" s="38"/>
    </row>
    <row r="42750">
      <c r="P42750" s="42"/>
      <c r="AB42750" s="38"/>
    </row>
    <row r="42751">
      <c r="P42751" s="42"/>
      <c r="AB42751" s="38"/>
    </row>
    <row r="42752">
      <c r="P42752" s="42"/>
      <c r="AB42752" s="38"/>
    </row>
    <row r="42753">
      <c r="P42753" s="42"/>
      <c r="AB42753" s="38"/>
    </row>
    <row r="42754">
      <c r="P42754" s="42"/>
      <c r="AB42754" s="38"/>
    </row>
    <row r="42755">
      <c r="P42755" s="42"/>
      <c r="AB42755" s="38"/>
    </row>
    <row r="42756">
      <c r="P42756" s="42"/>
      <c r="AB42756" s="38"/>
    </row>
    <row r="42757">
      <c r="P42757" s="42"/>
      <c r="AB42757" s="38"/>
    </row>
    <row r="42758">
      <c r="P42758" s="42"/>
      <c r="AB42758" s="38"/>
    </row>
    <row r="42759">
      <c r="P42759" s="42"/>
      <c r="AB42759" s="38"/>
    </row>
    <row r="42760">
      <c r="P42760" s="42"/>
      <c r="AB42760" s="38"/>
    </row>
    <row r="42761">
      <c r="P42761" s="42"/>
      <c r="AB42761" s="38"/>
    </row>
    <row r="42762">
      <c r="P42762" s="42"/>
      <c r="AB42762" s="38"/>
    </row>
    <row r="42763">
      <c r="P42763" s="42"/>
      <c r="AB42763" s="38"/>
    </row>
    <row r="42764">
      <c r="P42764" s="42"/>
      <c r="AB42764" s="38"/>
    </row>
    <row r="42765">
      <c r="P42765" s="42"/>
      <c r="AB42765" s="38"/>
    </row>
    <row r="42766">
      <c r="P42766" s="42"/>
      <c r="AB42766" s="38"/>
    </row>
    <row r="42767">
      <c r="P42767" s="42"/>
      <c r="AB42767" s="38"/>
    </row>
    <row r="42768">
      <c r="P42768" s="42"/>
      <c r="AB42768" s="38"/>
    </row>
    <row r="42769">
      <c r="P42769" s="42"/>
      <c r="AB42769" s="38"/>
    </row>
    <row r="42770">
      <c r="P42770" s="42"/>
      <c r="AB42770" s="38"/>
    </row>
    <row r="42771">
      <c r="P42771" s="42"/>
      <c r="AB42771" s="38"/>
    </row>
    <row r="42772">
      <c r="P42772" s="42"/>
      <c r="AB42772" s="38"/>
    </row>
    <row r="42773">
      <c r="P42773" s="42"/>
      <c r="AB42773" s="38"/>
    </row>
    <row r="42774">
      <c r="P42774" s="42"/>
      <c r="AB42774" s="38"/>
    </row>
    <row r="42775">
      <c r="P42775" s="42"/>
      <c r="AB42775" s="38"/>
    </row>
    <row r="42776">
      <c r="P42776" s="42"/>
      <c r="AB42776" s="38"/>
    </row>
    <row r="42777">
      <c r="P42777" s="42"/>
      <c r="AB42777" s="38"/>
    </row>
    <row r="42778">
      <c r="P42778" s="42"/>
      <c r="AB42778" s="38"/>
    </row>
    <row r="42779">
      <c r="P42779" s="42"/>
      <c r="AB42779" s="38"/>
    </row>
    <row r="42780">
      <c r="P42780" s="42"/>
      <c r="AB42780" s="38"/>
    </row>
    <row r="42781">
      <c r="P42781" s="42"/>
      <c r="AB42781" s="38"/>
    </row>
    <row r="42782">
      <c r="P42782" s="42"/>
      <c r="AB42782" s="38"/>
    </row>
    <row r="42783">
      <c r="P42783" s="42"/>
      <c r="AB42783" s="38"/>
    </row>
    <row r="42784">
      <c r="P42784" s="42"/>
      <c r="AB42784" s="38"/>
    </row>
    <row r="42785">
      <c r="P42785" s="42"/>
      <c r="AB42785" s="38"/>
    </row>
    <row r="42786">
      <c r="P42786" s="42"/>
      <c r="AB42786" s="38"/>
    </row>
    <row r="42787">
      <c r="P42787" s="42"/>
      <c r="AB42787" s="38"/>
    </row>
    <row r="42788">
      <c r="P42788" s="42"/>
      <c r="AB42788" s="38"/>
    </row>
    <row r="42789">
      <c r="P42789" s="42"/>
      <c r="AB42789" s="38"/>
    </row>
    <row r="42790">
      <c r="P42790" s="42"/>
      <c r="AB42790" s="38"/>
    </row>
    <row r="42791">
      <c r="P42791" s="42"/>
      <c r="AB42791" s="38"/>
    </row>
    <row r="42792">
      <c r="P42792" s="42"/>
      <c r="AB42792" s="38"/>
    </row>
    <row r="42793">
      <c r="P42793" s="42"/>
      <c r="AB42793" s="38"/>
    </row>
    <row r="42794">
      <c r="P42794" s="42"/>
      <c r="AB42794" s="38"/>
    </row>
    <row r="42795">
      <c r="P42795" s="42"/>
      <c r="AB42795" s="38"/>
    </row>
    <row r="42796">
      <c r="P42796" s="42"/>
      <c r="AB42796" s="38"/>
    </row>
    <row r="42797">
      <c r="P42797" s="42"/>
      <c r="AB42797" s="38"/>
    </row>
    <row r="42798">
      <c r="P42798" s="42"/>
      <c r="AB42798" s="38"/>
    </row>
    <row r="42799">
      <c r="P42799" s="42"/>
      <c r="AB42799" s="38"/>
    </row>
    <row r="42800">
      <c r="P42800" s="42"/>
      <c r="AB42800" s="38"/>
    </row>
    <row r="42801">
      <c r="P42801" s="42"/>
      <c r="AB42801" s="38"/>
    </row>
    <row r="42802">
      <c r="P42802" s="42"/>
      <c r="AB42802" s="38"/>
    </row>
    <row r="42803">
      <c r="P42803" s="42"/>
      <c r="AB42803" s="38"/>
    </row>
    <row r="42804">
      <c r="P42804" s="42"/>
      <c r="AB42804" s="38"/>
    </row>
    <row r="42805">
      <c r="P42805" s="42"/>
      <c r="AB42805" s="38"/>
    </row>
    <row r="42806">
      <c r="P42806" s="42"/>
      <c r="AB42806" s="38"/>
    </row>
    <row r="42807">
      <c r="P42807" s="42"/>
      <c r="AB42807" s="38"/>
    </row>
    <row r="42808">
      <c r="P42808" s="42"/>
      <c r="AB42808" s="38"/>
    </row>
    <row r="42809">
      <c r="P42809" s="42"/>
      <c r="AB42809" s="38"/>
    </row>
    <row r="42810">
      <c r="P42810" s="42"/>
      <c r="AB42810" s="38"/>
    </row>
    <row r="42811">
      <c r="P42811" s="42"/>
      <c r="AB42811" s="38"/>
    </row>
    <row r="42812">
      <c r="P42812" s="42"/>
      <c r="AB42812" s="38"/>
    </row>
    <row r="42813">
      <c r="P42813" s="42"/>
      <c r="AB42813" s="38"/>
    </row>
    <row r="42814">
      <c r="P42814" s="42"/>
      <c r="AB42814" s="38"/>
    </row>
    <row r="42815">
      <c r="P42815" s="42"/>
      <c r="AB42815" s="38"/>
    </row>
    <row r="42816">
      <c r="P42816" s="42"/>
      <c r="AB42816" s="38"/>
    </row>
    <row r="42817">
      <c r="P42817" s="42"/>
      <c r="AB42817" s="38"/>
    </row>
    <row r="42818">
      <c r="P42818" s="42"/>
      <c r="AB42818" s="38"/>
    </row>
    <row r="42819">
      <c r="P42819" s="42"/>
      <c r="AB42819" s="38"/>
    </row>
    <row r="42820">
      <c r="P42820" s="42"/>
      <c r="AB42820" s="38"/>
    </row>
    <row r="42821">
      <c r="P42821" s="42"/>
      <c r="AB42821" s="38"/>
    </row>
    <row r="42822">
      <c r="P42822" s="42"/>
      <c r="AB42822" s="38"/>
    </row>
    <row r="42823">
      <c r="P42823" s="42"/>
      <c r="AB42823" s="38"/>
    </row>
    <row r="42824">
      <c r="P42824" s="42"/>
      <c r="AB42824" s="38"/>
    </row>
    <row r="42825">
      <c r="P42825" s="42"/>
      <c r="AB42825" s="38"/>
    </row>
    <row r="42826">
      <c r="P42826" s="42"/>
      <c r="AB42826" s="38"/>
    </row>
    <row r="42827">
      <c r="P42827" s="42"/>
      <c r="AB42827" s="38"/>
    </row>
    <row r="42828">
      <c r="P42828" s="42"/>
      <c r="AB42828" s="38"/>
    </row>
    <row r="42829">
      <c r="P42829" s="42"/>
      <c r="AB42829" s="38"/>
    </row>
    <row r="42830">
      <c r="P42830" s="42"/>
      <c r="AB42830" s="38"/>
    </row>
    <row r="42831">
      <c r="P42831" s="42"/>
      <c r="AB42831" s="38"/>
    </row>
    <row r="42832">
      <c r="P42832" s="42"/>
      <c r="AB42832" s="38"/>
    </row>
    <row r="42833">
      <c r="P42833" s="42"/>
      <c r="AB42833" s="38"/>
    </row>
    <row r="42834">
      <c r="P42834" s="42"/>
      <c r="AB42834" s="38"/>
    </row>
    <row r="42835">
      <c r="P42835" s="42"/>
      <c r="AB42835" s="38"/>
    </row>
    <row r="42836">
      <c r="P42836" s="42"/>
      <c r="AB42836" s="38"/>
    </row>
    <row r="42837">
      <c r="P42837" s="42"/>
      <c r="AB42837" s="38"/>
    </row>
    <row r="42838">
      <c r="P42838" s="42"/>
      <c r="AB42838" s="38"/>
    </row>
    <row r="42839">
      <c r="P42839" s="42"/>
      <c r="AB42839" s="38"/>
    </row>
    <row r="42840">
      <c r="P42840" s="42"/>
      <c r="AB42840" s="38"/>
    </row>
    <row r="42841">
      <c r="P42841" s="42"/>
      <c r="AB42841" s="38"/>
    </row>
    <row r="42842">
      <c r="P42842" s="42"/>
      <c r="AB42842" s="38"/>
    </row>
    <row r="42843">
      <c r="P42843" s="42"/>
      <c r="AB42843" s="38"/>
    </row>
    <row r="42844">
      <c r="P42844" s="42"/>
      <c r="AB42844" s="38"/>
    </row>
    <row r="42845">
      <c r="P42845" s="42"/>
      <c r="AB42845" s="38"/>
    </row>
    <row r="42846">
      <c r="P42846" s="42"/>
      <c r="AB42846" s="38"/>
    </row>
    <row r="42847">
      <c r="P42847" s="42"/>
      <c r="AB42847" s="38"/>
    </row>
    <row r="42848">
      <c r="P42848" s="42"/>
      <c r="AB42848" s="38"/>
    </row>
    <row r="42849">
      <c r="P42849" s="42"/>
      <c r="AB42849" s="38"/>
    </row>
    <row r="42850">
      <c r="P42850" s="42"/>
      <c r="AB42850" s="38"/>
    </row>
    <row r="42851">
      <c r="P42851" s="42"/>
      <c r="AB42851" s="38"/>
    </row>
    <row r="42852">
      <c r="P42852" s="42"/>
      <c r="AB42852" s="38"/>
    </row>
    <row r="42853">
      <c r="P42853" s="42"/>
      <c r="AB42853" s="38"/>
    </row>
    <row r="42854">
      <c r="P42854" s="42"/>
      <c r="AB42854" s="38"/>
    </row>
    <row r="42855">
      <c r="P42855" s="42"/>
      <c r="AB42855" s="38"/>
    </row>
    <row r="42856">
      <c r="P42856" s="42"/>
      <c r="AB42856" s="38"/>
    </row>
    <row r="42857">
      <c r="P42857" s="42"/>
      <c r="AB42857" s="38"/>
    </row>
    <row r="42858">
      <c r="P42858" s="42"/>
      <c r="AB42858" s="38"/>
    </row>
    <row r="42859">
      <c r="P42859" s="42"/>
      <c r="AB42859" s="38"/>
    </row>
    <row r="42860">
      <c r="P42860" s="42"/>
      <c r="AB42860" s="38"/>
    </row>
    <row r="42861">
      <c r="P42861" s="42"/>
      <c r="AB42861" s="38"/>
    </row>
    <row r="42862">
      <c r="P42862" s="42"/>
      <c r="AB42862" s="38"/>
    </row>
    <row r="42863">
      <c r="P42863" s="42"/>
      <c r="AB42863" s="38"/>
    </row>
    <row r="42864">
      <c r="P42864" s="42"/>
      <c r="AB42864" s="38"/>
    </row>
    <row r="42865">
      <c r="P42865" s="42"/>
      <c r="AB42865" s="38"/>
    </row>
    <row r="42866">
      <c r="P42866" s="42"/>
      <c r="AB42866" s="38"/>
    </row>
    <row r="42867">
      <c r="P42867" s="42"/>
      <c r="AB42867" s="38"/>
    </row>
    <row r="42868">
      <c r="P42868" s="42"/>
      <c r="AB42868" s="38"/>
    </row>
    <row r="42869">
      <c r="P42869" s="42"/>
      <c r="AB42869" s="38"/>
    </row>
    <row r="42870">
      <c r="P42870" s="42"/>
      <c r="AB42870" s="38"/>
    </row>
    <row r="42871">
      <c r="P42871" s="42"/>
      <c r="AB42871" s="38"/>
    </row>
    <row r="42872">
      <c r="P42872" s="42"/>
      <c r="AB42872" s="38"/>
    </row>
    <row r="42873">
      <c r="P42873" s="42"/>
      <c r="AB42873" s="38"/>
    </row>
    <row r="42874">
      <c r="P42874" s="42"/>
      <c r="AB42874" s="38"/>
    </row>
    <row r="42875">
      <c r="P42875" s="42"/>
      <c r="AB42875" s="38"/>
    </row>
    <row r="42876">
      <c r="P42876" s="42"/>
      <c r="AB42876" s="38"/>
    </row>
    <row r="42877">
      <c r="P42877" s="42"/>
      <c r="AB42877" s="38"/>
    </row>
    <row r="42878">
      <c r="P42878" s="42"/>
      <c r="AB42878" s="38"/>
    </row>
    <row r="42879">
      <c r="P42879" s="42"/>
      <c r="AB42879" s="38"/>
    </row>
    <row r="42880">
      <c r="P42880" s="42"/>
      <c r="AB42880" s="38"/>
    </row>
    <row r="42881">
      <c r="P42881" s="42"/>
      <c r="AB42881" s="38"/>
    </row>
    <row r="42882">
      <c r="P42882" s="42"/>
      <c r="AB42882" s="38"/>
    </row>
    <row r="42883">
      <c r="P42883" s="42"/>
      <c r="AB42883" s="38"/>
    </row>
    <row r="42884">
      <c r="P42884" s="42"/>
      <c r="AB42884" s="38"/>
    </row>
    <row r="42885">
      <c r="P42885" s="42"/>
      <c r="AB42885" s="38"/>
    </row>
    <row r="42886">
      <c r="P42886" s="42"/>
      <c r="AB42886" s="38"/>
    </row>
    <row r="42887">
      <c r="P42887" s="42"/>
      <c r="AB42887" s="38"/>
    </row>
    <row r="42888">
      <c r="P42888" s="42"/>
      <c r="AB42888" s="38"/>
    </row>
    <row r="42889">
      <c r="P42889" s="42"/>
      <c r="AB42889" s="38"/>
    </row>
    <row r="42890">
      <c r="P42890" s="42"/>
      <c r="AB42890" s="38"/>
    </row>
    <row r="42891">
      <c r="P42891" s="42"/>
      <c r="AB42891" s="38"/>
    </row>
    <row r="42892">
      <c r="P42892" s="42"/>
      <c r="AB42892" s="38"/>
    </row>
    <row r="42893">
      <c r="P42893" s="42"/>
      <c r="AB42893" s="38"/>
    </row>
    <row r="42894">
      <c r="P42894" s="42"/>
      <c r="AB42894" s="38"/>
    </row>
    <row r="42895">
      <c r="P42895" s="42"/>
      <c r="AB42895" s="38"/>
    </row>
    <row r="42896">
      <c r="P42896" s="42"/>
      <c r="AB42896" s="38"/>
    </row>
    <row r="42897">
      <c r="P42897" s="42"/>
      <c r="AB42897" s="38"/>
    </row>
    <row r="42898">
      <c r="P42898" s="42"/>
      <c r="AB42898" s="38"/>
    </row>
    <row r="42899">
      <c r="P42899" s="42"/>
      <c r="AB42899" s="38"/>
    </row>
    <row r="42900">
      <c r="P42900" s="42"/>
      <c r="AB42900" s="38"/>
    </row>
    <row r="42901">
      <c r="P42901" s="42"/>
      <c r="AB42901" s="38"/>
    </row>
    <row r="42902">
      <c r="P42902" s="42"/>
      <c r="AB42902" s="38"/>
    </row>
    <row r="42903">
      <c r="P42903" s="42"/>
      <c r="AB42903" s="38"/>
    </row>
    <row r="42904">
      <c r="P42904" s="42"/>
      <c r="AB42904" s="38"/>
    </row>
    <row r="42905">
      <c r="P42905" s="42"/>
      <c r="AB42905" s="38"/>
    </row>
    <row r="42906">
      <c r="P42906" s="42"/>
      <c r="AB42906" s="38"/>
    </row>
    <row r="42907">
      <c r="P42907" s="42"/>
      <c r="AB42907" s="38"/>
    </row>
    <row r="42908">
      <c r="P42908" s="42"/>
      <c r="AB42908" s="38"/>
    </row>
    <row r="42909">
      <c r="P42909" s="42"/>
      <c r="AB42909" s="38"/>
    </row>
    <row r="42910">
      <c r="P42910" s="42"/>
      <c r="AB42910" s="38"/>
    </row>
    <row r="42911">
      <c r="P42911" s="42"/>
      <c r="AB42911" s="38"/>
    </row>
    <row r="42912">
      <c r="P42912" s="42"/>
      <c r="AB42912" s="38"/>
    </row>
    <row r="42913">
      <c r="P42913" s="42"/>
      <c r="AB42913" s="38"/>
    </row>
    <row r="42914">
      <c r="P42914" s="42"/>
      <c r="AB42914" s="38"/>
    </row>
    <row r="42915">
      <c r="P42915" s="42"/>
      <c r="AB42915" s="38"/>
    </row>
    <row r="42916">
      <c r="P42916" s="42"/>
      <c r="AB42916" s="38"/>
    </row>
    <row r="42917">
      <c r="P42917" s="42"/>
      <c r="AB42917" s="38"/>
    </row>
    <row r="42918">
      <c r="P42918" s="42"/>
      <c r="AB42918" s="38"/>
    </row>
    <row r="42919">
      <c r="P42919" s="42"/>
      <c r="AB42919" s="38"/>
    </row>
    <row r="42920">
      <c r="P42920" s="42"/>
      <c r="AB42920" s="38"/>
    </row>
    <row r="42921">
      <c r="P42921" s="42"/>
      <c r="AB42921" s="38"/>
    </row>
    <row r="42922">
      <c r="P42922" s="42"/>
      <c r="AB42922" s="38"/>
    </row>
    <row r="42923">
      <c r="P42923" s="42"/>
      <c r="AB42923" s="38"/>
    </row>
    <row r="42924">
      <c r="P42924" s="42"/>
      <c r="AB42924" s="38"/>
    </row>
    <row r="42925">
      <c r="P42925" s="42"/>
      <c r="AB42925" s="38"/>
    </row>
    <row r="42926">
      <c r="P42926" s="42"/>
      <c r="AB42926" s="38"/>
    </row>
    <row r="42927">
      <c r="P42927" s="42"/>
      <c r="AB42927" s="38"/>
    </row>
    <row r="42928">
      <c r="P42928" s="42"/>
      <c r="AB42928" s="38"/>
    </row>
    <row r="42929">
      <c r="P42929" s="42"/>
      <c r="AB42929" s="38"/>
    </row>
    <row r="42930">
      <c r="P42930" s="42"/>
      <c r="AB42930" s="38"/>
    </row>
    <row r="42931">
      <c r="P42931" s="42"/>
      <c r="AB42931" s="38"/>
    </row>
    <row r="42932">
      <c r="P42932" s="42"/>
      <c r="AB42932" s="38"/>
    </row>
    <row r="42933">
      <c r="P42933" s="42"/>
      <c r="AB42933" s="38"/>
    </row>
    <row r="42934">
      <c r="P42934" s="42"/>
      <c r="AB42934" s="38"/>
    </row>
    <row r="42935">
      <c r="P42935" s="42"/>
      <c r="AB42935" s="38"/>
    </row>
    <row r="42936">
      <c r="P42936" s="42"/>
      <c r="AB42936" s="38"/>
    </row>
    <row r="42937">
      <c r="P42937" s="42"/>
      <c r="AB42937" s="38"/>
    </row>
    <row r="42938">
      <c r="P42938" s="42"/>
      <c r="AB42938" s="38"/>
    </row>
    <row r="42939">
      <c r="P42939" s="42"/>
      <c r="AB42939" s="38"/>
    </row>
    <row r="42940">
      <c r="P42940" s="42"/>
      <c r="AB42940" s="38"/>
    </row>
    <row r="42941">
      <c r="P42941" s="42"/>
      <c r="AB42941" s="38"/>
    </row>
    <row r="42942">
      <c r="P42942" s="42"/>
      <c r="AB42942" s="38"/>
    </row>
    <row r="42943">
      <c r="P42943" s="42"/>
      <c r="AB42943" s="38"/>
    </row>
    <row r="42944">
      <c r="P42944" s="42"/>
      <c r="AB42944" s="38"/>
    </row>
    <row r="42945">
      <c r="P42945" s="42"/>
      <c r="AB42945" s="38"/>
    </row>
    <row r="42946">
      <c r="P42946" s="42"/>
      <c r="AB42946" s="38"/>
    </row>
    <row r="42947">
      <c r="P42947" s="42"/>
      <c r="AB42947" s="38"/>
    </row>
    <row r="42948">
      <c r="P42948" s="42"/>
      <c r="AB42948" s="38"/>
    </row>
    <row r="42949">
      <c r="P42949" s="42"/>
      <c r="AB42949" s="38"/>
    </row>
    <row r="42950">
      <c r="P42950" s="42"/>
      <c r="AB42950" s="38"/>
    </row>
    <row r="42951">
      <c r="P42951" s="42"/>
      <c r="AB42951" s="38"/>
    </row>
    <row r="42952">
      <c r="P42952" s="42"/>
      <c r="AB42952" s="38"/>
    </row>
    <row r="42953">
      <c r="P42953" s="42"/>
      <c r="AB42953" s="38"/>
    </row>
    <row r="42954">
      <c r="P42954" s="42"/>
      <c r="AB42954" s="38"/>
    </row>
    <row r="42955">
      <c r="P42955" s="42"/>
      <c r="AB42955" s="38"/>
    </row>
    <row r="42956">
      <c r="P42956" s="42"/>
      <c r="AB42956" s="38"/>
    </row>
    <row r="42957">
      <c r="P42957" s="42"/>
      <c r="AB42957" s="38"/>
    </row>
    <row r="42958">
      <c r="P42958" s="42"/>
      <c r="AB42958" s="38"/>
    </row>
    <row r="42959">
      <c r="P42959" s="42"/>
      <c r="AB42959" s="38"/>
    </row>
    <row r="42960">
      <c r="P42960" s="42"/>
      <c r="AB42960" s="38"/>
    </row>
    <row r="42961">
      <c r="P42961" s="42"/>
      <c r="AB42961" s="38"/>
    </row>
    <row r="42962">
      <c r="P42962" s="42"/>
      <c r="AB42962" s="38"/>
    </row>
    <row r="42963">
      <c r="P42963" s="42"/>
      <c r="AB42963" s="38"/>
    </row>
    <row r="42964">
      <c r="P42964" s="42"/>
      <c r="AB42964" s="38"/>
    </row>
    <row r="42965">
      <c r="P42965" s="42"/>
      <c r="AB42965" s="38"/>
    </row>
    <row r="42966">
      <c r="P42966" s="42"/>
      <c r="AB42966" s="38"/>
    </row>
    <row r="42967">
      <c r="P42967" s="42"/>
      <c r="AB42967" s="38"/>
    </row>
    <row r="42968">
      <c r="P42968" s="42"/>
      <c r="AB42968" s="38"/>
    </row>
    <row r="42969">
      <c r="P42969" s="42"/>
      <c r="AB42969" s="38"/>
    </row>
    <row r="42970">
      <c r="P42970" s="42"/>
      <c r="AB42970" s="38"/>
    </row>
    <row r="42971">
      <c r="P42971" s="42"/>
      <c r="AB42971" s="38"/>
    </row>
    <row r="42972">
      <c r="P42972" s="42"/>
      <c r="AB42972" s="38"/>
    </row>
    <row r="42973">
      <c r="P42973" s="42"/>
      <c r="AB42973" s="38"/>
    </row>
    <row r="42974">
      <c r="P42974" s="42"/>
      <c r="AB42974" s="38"/>
    </row>
    <row r="42975">
      <c r="P42975" s="42"/>
      <c r="AB42975" s="38"/>
    </row>
    <row r="42976">
      <c r="P42976" s="42"/>
      <c r="AB42976" s="38"/>
    </row>
    <row r="42977">
      <c r="P42977" s="42"/>
      <c r="AB42977" s="38"/>
    </row>
    <row r="42978">
      <c r="P42978" s="42"/>
      <c r="AB42978" s="38"/>
    </row>
    <row r="42979">
      <c r="P42979" s="42"/>
      <c r="AB42979" s="38"/>
    </row>
    <row r="42980">
      <c r="P42980" s="42"/>
      <c r="AB42980" s="38"/>
    </row>
    <row r="42981">
      <c r="P42981" s="42"/>
      <c r="AB42981" s="38"/>
    </row>
    <row r="42982">
      <c r="P42982" s="42"/>
      <c r="AB42982" s="38"/>
    </row>
    <row r="42983">
      <c r="P42983" s="42"/>
      <c r="AB42983" s="38"/>
    </row>
    <row r="42984">
      <c r="P42984" s="42"/>
      <c r="AB42984" s="38"/>
    </row>
    <row r="42985">
      <c r="P42985" s="42"/>
      <c r="AB42985" s="38"/>
    </row>
    <row r="42986">
      <c r="P42986" s="42"/>
      <c r="AB42986" s="38"/>
    </row>
    <row r="42987">
      <c r="P42987" s="42"/>
      <c r="AB42987" s="38"/>
    </row>
    <row r="42988">
      <c r="P42988" s="42"/>
      <c r="AB42988" s="38"/>
    </row>
    <row r="42989">
      <c r="P42989" s="42"/>
      <c r="AB42989" s="38"/>
    </row>
    <row r="42990">
      <c r="P42990" s="42"/>
      <c r="AB42990" s="38"/>
    </row>
    <row r="42991">
      <c r="P42991" s="42"/>
      <c r="AB42991" s="38"/>
    </row>
    <row r="42992">
      <c r="P42992" s="42"/>
      <c r="AB42992" s="38"/>
    </row>
    <row r="42993">
      <c r="P42993" s="42"/>
      <c r="AB42993" s="38"/>
    </row>
    <row r="42994">
      <c r="P42994" s="42"/>
      <c r="AB42994" s="38"/>
    </row>
    <row r="42995">
      <c r="P42995" s="42"/>
      <c r="AB42995" s="38"/>
    </row>
    <row r="42996">
      <c r="P42996" s="42"/>
      <c r="AB42996" s="38"/>
    </row>
    <row r="42997">
      <c r="P42997" s="42"/>
      <c r="AB42997" s="38"/>
    </row>
    <row r="42998">
      <c r="P42998" s="42"/>
      <c r="AB42998" s="38"/>
    </row>
    <row r="42999">
      <c r="P42999" s="42"/>
      <c r="AB42999" s="38"/>
    </row>
    <row r="43000">
      <c r="P43000" s="42"/>
      <c r="AB43000" s="38"/>
    </row>
    <row r="43001">
      <c r="P43001" s="42"/>
      <c r="AB43001" s="38"/>
    </row>
    <row r="43002">
      <c r="P43002" s="42"/>
      <c r="AB43002" s="38"/>
    </row>
    <row r="43003">
      <c r="P43003" s="42"/>
      <c r="AB43003" s="38"/>
    </row>
    <row r="43004">
      <c r="P43004" s="42"/>
      <c r="AB43004" s="38"/>
    </row>
    <row r="43005">
      <c r="P43005" s="42"/>
      <c r="AB43005" s="38"/>
    </row>
    <row r="43006">
      <c r="P43006" s="42"/>
      <c r="AB43006" s="38"/>
    </row>
    <row r="43007">
      <c r="P43007" s="42"/>
      <c r="AB43007" s="38"/>
    </row>
    <row r="43008">
      <c r="P43008" s="42"/>
      <c r="AB43008" s="38"/>
    </row>
    <row r="43009">
      <c r="P43009" s="42"/>
      <c r="AB43009" s="38"/>
    </row>
    <row r="43010">
      <c r="P43010" s="42"/>
      <c r="AB43010" s="38"/>
    </row>
    <row r="43011">
      <c r="P43011" s="42"/>
      <c r="AB43011" s="38"/>
    </row>
    <row r="43012">
      <c r="P43012" s="42"/>
      <c r="AB43012" s="38"/>
    </row>
    <row r="43013">
      <c r="P43013" s="42"/>
      <c r="AB43013" s="38"/>
    </row>
    <row r="43014">
      <c r="P43014" s="42"/>
      <c r="AB43014" s="38"/>
    </row>
    <row r="43015">
      <c r="P43015" s="42"/>
      <c r="AB43015" s="38"/>
    </row>
    <row r="43016">
      <c r="P43016" s="42"/>
      <c r="AB43016" s="38"/>
    </row>
    <row r="43017">
      <c r="P43017" s="42"/>
      <c r="AB43017" s="38"/>
    </row>
    <row r="43018">
      <c r="P43018" s="42"/>
      <c r="AB43018" s="38"/>
    </row>
    <row r="43019">
      <c r="P43019" s="42"/>
      <c r="AB43019" s="38"/>
    </row>
    <row r="43020">
      <c r="P43020" s="42"/>
      <c r="AB43020" s="38"/>
    </row>
    <row r="43021">
      <c r="P43021" s="42"/>
      <c r="AB43021" s="38"/>
    </row>
    <row r="43022">
      <c r="P43022" s="42"/>
      <c r="AB43022" s="38"/>
    </row>
    <row r="43023">
      <c r="P43023" s="42"/>
      <c r="AB43023" s="38"/>
    </row>
    <row r="43024">
      <c r="P43024" s="42"/>
      <c r="AB43024" s="38"/>
    </row>
    <row r="43025">
      <c r="P43025" s="42"/>
      <c r="AB43025" s="38"/>
    </row>
    <row r="43026">
      <c r="P43026" s="42"/>
      <c r="AB43026" s="38"/>
    </row>
    <row r="43027">
      <c r="P43027" s="42"/>
      <c r="AB43027" s="38"/>
    </row>
    <row r="43028">
      <c r="P43028" s="42"/>
      <c r="AB43028" s="38"/>
    </row>
    <row r="43029">
      <c r="P43029" s="42"/>
      <c r="AB43029" s="38"/>
    </row>
    <row r="43030">
      <c r="P43030" s="42"/>
      <c r="AB43030" s="38"/>
    </row>
    <row r="43031">
      <c r="P43031" s="42"/>
      <c r="AB43031" s="38"/>
    </row>
    <row r="43032">
      <c r="P43032" s="42"/>
      <c r="AB43032" s="38"/>
    </row>
    <row r="43033">
      <c r="P43033" s="42"/>
      <c r="AB43033" s="38"/>
    </row>
    <row r="43034">
      <c r="P43034" s="42"/>
      <c r="AB43034" s="38"/>
    </row>
    <row r="43035">
      <c r="P43035" s="42"/>
      <c r="AB43035" s="38"/>
    </row>
    <row r="43036">
      <c r="P43036" s="42"/>
      <c r="AB43036" s="38"/>
    </row>
    <row r="43037">
      <c r="P43037" s="42"/>
      <c r="AB43037" s="38"/>
    </row>
    <row r="43038">
      <c r="P43038" s="42"/>
      <c r="AB43038" s="38"/>
    </row>
    <row r="43039">
      <c r="P43039" s="42"/>
      <c r="AB43039" s="38"/>
    </row>
    <row r="43040">
      <c r="P43040" s="42"/>
      <c r="AB43040" s="38"/>
    </row>
    <row r="43041">
      <c r="P43041" s="42"/>
      <c r="AB43041" s="38"/>
    </row>
    <row r="43042">
      <c r="P43042" s="42"/>
      <c r="AB43042" s="38"/>
    </row>
    <row r="43043">
      <c r="P43043" s="42"/>
      <c r="AB43043" s="38"/>
    </row>
    <row r="43044">
      <c r="P43044" s="42"/>
      <c r="AB43044" s="38"/>
    </row>
    <row r="43045">
      <c r="P43045" s="42"/>
      <c r="AB43045" s="38"/>
    </row>
    <row r="43046">
      <c r="P43046" s="42"/>
      <c r="AB43046" s="38"/>
    </row>
    <row r="43047">
      <c r="P43047" s="42"/>
      <c r="AB43047" s="38"/>
    </row>
    <row r="43048">
      <c r="P43048" s="42"/>
      <c r="AB43048" s="38"/>
    </row>
    <row r="43049">
      <c r="P43049" s="42"/>
      <c r="AB43049" s="38"/>
    </row>
    <row r="43050">
      <c r="P43050" s="42"/>
      <c r="AB43050" s="38"/>
    </row>
    <row r="43051">
      <c r="P43051" s="42"/>
      <c r="AB43051" s="38"/>
    </row>
    <row r="43052">
      <c r="P43052" s="42"/>
      <c r="AB43052" s="38"/>
    </row>
    <row r="43053">
      <c r="P43053" s="42"/>
      <c r="AB43053" s="38"/>
    </row>
    <row r="43054">
      <c r="P43054" s="42"/>
      <c r="AB43054" s="38"/>
    </row>
    <row r="43055">
      <c r="P43055" s="42"/>
      <c r="AB43055" s="38"/>
    </row>
    <row r="43056">
      <c r="P43056" s="42"/>
      <c r="AB43056" s="38"/>
    </row>
    <row r="43057">
      <c r="P43057" s="42"/>
      <c r="AB43057" s="38"/>
    </row>
    <row r="43058">
      <c r="P43058" s="42"/>
      <c r="AB43058" s="38"/>
    </row>
    <row r="43059">
      <c r="P43059" s="42"/>
      <c r="AB43059" s="38"/>
    </row>
    <row r="43060">
      <c r="P43060" s="42"/>
      <c r="AB43060" s="38"/>
    </row>
    <row r="43061">
      <c r="P43061" s="42"/>
      <c r="AB43061" s="38"/>
    </row>
    <row r="43062">
      <c r="P43062" s="42"/>
      <c r="AB43062" s="38"/>
    </row>
    <row r="43063">
      <c r="P43063" s="42"/>
      <c r="AB43063" s="38"/>
    </row>
    <row r="43064">
      <c r="P43064" s="42"/>
      <c r="AB43064" s="38"/>
    </row>
    <row r="43065">
      <c r="P43065" s="42"/>
      <c r="AB43065" s="38"/>
    </row>
    <row r="43066">
      <c r="P43066" s="42"/>
      <c r="AB43066" s="38"/>
    </row>
    <row r="43067">
      <c r="P43067" s="42"/>
      <c r="AB43067" s="38"/>
    </row>
    <row r="43068">
      <c r="P43068" s="42"/>
      <c r="AB43068" s="38"/>
    </row>
    <row r="43069">
      <c r="P43069" s="42"/>
      <c r="AB43069" s="38"/>
    </row>
    <row r="43070">
      <c r="P43070" s="42"/>
      <c r="AB43070" s="38"/>
    </row>
    <row r="43071">
      <c r="P43071" s="42"/>
      <c r="AB43071" s="38"/>
    </row>
    <row r="43072">
      <c r="P43072" s="42"/>
      <c r="AB43072" s="38"/>
    </row>
    <row r="43073">
      <c r="P43073" s="42"/>
      <c r="AB43073" s="38"/>
    </row>
    <row r="43074">
      <c r="P43074" s="42"/>
      <c r="AB43074" s="38"/>
    </row>
    <row r="43075">
      <c r="P43075" s="42"/>
      <c r="AB43075" s="38"/>
    </row>
    <row r="43076">
      <c r="P43076" s="42"/>
      <c r="AB43076" s="38"/>
    </row>
    <row r="43077">
      <c r="P43077" s="42"/>
      <c r="AB43077" s="38"/>
    </row>
    <row r="43078">
      <c r="P43078" s="42"/>
      <c r="AB43078" s="38"/>
    </row>
    <row r="43079">
      <c r="P43079" s="42"/>
      <c r="AB43079" s="38"/>
    </row>
    <row r="43080">
      <c r="P43080" s="42"/>
      <c r="AB43080" s="38"/>
    </row>
    <row r="43081">
      <c r="P43081" s="42"/>
      <c r="AB43081" s="38"/>
    </row>
    <row r="43082">
      <c r="P43082" s="42"/>
      <c r="AB43082" s="38"/>
    </row>
    <row r="43083">
      <c r="P43083" s="42"/>
      <c r="AB43083" s="38"/>
    </row>
    <row r="43084">
      <c r="P43084" s="42"/>
      <c r="AB43084" s="38"/>
    </row>
    <row r="43085">
      <c r="P43085" s="42"/>
      <c r="AB43085" s="38"/>
    </row>
    <row r="43086">
      <c r="P43086" s="42"/>
      <c r="AB43086" s="38"/>
    </row>
    <row r="43087">
      <c r="P43087" s="42"/>
      <c r="AB43087" s="38"/>
    </row>
    <row r="43088">
      <c r="P43088" s="42"/>
      <c r="AB43088" s="38"/>
    </row>
    <row r="43089">
      <c r="P43089" s="42"/>
      <c r="AB43089" s="38"/>
    </row>
    <row r="43090">
      <c r="P43090" s="42"/>
      <c r="AB43090" s="38"/>
    </row>
    <row r="43091">
      <c r="P43091" s="42"/>
      <c r="AB43091" s="38"/>
    </row>
    <row r="43092">
      <c r="P43092" s="42"/>
      <c r="AB43092" s="38"/>
    </row>
    <row r="43093">
      <c r="P43093" s="42"/>
      <c r="AB43093" s="38"/>
    </row>
    <row r="43094">
      <c r="P43094" s="42"/>
      <c r="AB43094" s="38"/>
    </row>
    <row r="43095">
      <c r="P43095" s="42"/>
      <c r="AB43095" s="38"/>
    </row>
    <row r="43096">
      <c r="P43096" s="42"/>
      <c r="AB43096" s="38"/>
    </row>
    <row r="43097">
      <c r="P43097" s="42"/>
      <c r="AB43097" s="38"/>
    </row>
    <row r="43098">
      <c r="P43098" s="42"/>
      <c r="AB43098" s="38"/>
    </row>
    <row r="43099">
      <c r="P43099" s="42"/>
      <c r="AB43099" s="38"/>
    </row>
    <row r="43100">
      <c r="P43100" s="42"/>
      <c r="AB43100" s="38"/>
    </row>
    <row r="43101">
      <c r="P43101" s="42"/>
      <c r="AB43101" s="38"/>
    </row>
    <row r="43102">
      <c r="P43102" s="42"/>
      <c r="AB43102" s="38"/>
    </row>
    <row r="43103">
      <c r="P43103" s="42"/>
      <c r="AB43103" s="38"/>
    </row>
    <row r="43104">
      <c r="P43104" s="42"/>
      <c r="AB43104" s="38"/>
    </row>
    <row r="43105">
      <c r="P43105" s="42"/>
      <c r="AB43105" s="38"/>
    </row>
    <row r="43106">
      <c r="P43106" s="42"/>
      <c r="AB43106" s="38"/>
    </row>
    <row r="43107">
      <c r="P43107" s="42"/>
      <c r="AB43107" s="38"/>
    </row>
    <row r="43108">
      <c r="P43108" s="42"/>
      <c r="AB43108" s="38"/>
    </row>
    <row r="43109">
      <c r="P43109" s="42"/>
      <c r="AB43109" s="38"/>
    </row>
    <row r="43110">
      <c r="P43110" s="42"/>
      <c r="AB43110" s="38"/>
    </row>
    <row r="43111">
      <c r="P43111" s="42"/>
      <c r="AB43111" s="38"/>
    </row>
    <row r="43112">
      <c r="P43112" s="42"/>
      <c r="AB43112" s="38"/>
    </row>
    <row r="43113">
      <c r="P43113" s="42"/>
      <c r="AB43113" s="38"/>
    </row>
    <row r="43114">
      <c r="P43114" s="42"/>
      <c r="AB43114" s="38"/>
    </row>
    <row r="43115">
      <c r="P43115" s="42"/>
      <c r="AB43115" s="38"/>
    </row>
    <row r="43116">
      <c r="P43116" s="42"/>
      <c r="AB43116" s="38"/>
    </row>
    <row r="43117">
      <c r="P43117" s="42"/>
      <c r="AB43117" s="38"/>
    </row>
    <row r="43118">
      <c r="P43118" s="42"/>
      <c r="AB43118" s="38"/>
    </row>
    <row r="43119">
      <c r="P43119" s="42"/>
      <c r="AB43119" s="38"/>
    </row>
    <row r="43120">
      <c r="P43120" s="42"/>
      <c r="AB43120" s="38"/>
    </row>
    <row r="43121">
      <c r="P43121" s="42"/>
      <c r="AB43121" s="38"/>
    </row>
    <row r="43122">
      <c r="P43122" s="42"/>
      <c r="AB43122" s="38"/>
    </row>
    <row r="43123">
      <c r="P43123" s="42"/>
      <c r="AB43123" s="38"/>
    </row>
    <row r="43124">
      <c r="P43124" s="42"/>
      <c r="AB43124" s="38"/>
    </row>
    <row r="43125">
      <c r="P43125" s="42"/>
      <c r="AB43125" s="38"/>
    </row>
    <row r="43126">
      <c r="P43126" s="42"/>
      <c r="AB43126" s="38"/>
    </row>
    <row r="43127">
      <c r="P43127" s="42"/>
      <c r="AB43127" s="38"/>
    </row>
    <row r="43128">
      <c r="P43128" s="42"/>
      <c r="AB43128" s="38"/>
    </row>
    <row r="43129">
      <c r="P43129" s="42"/>
      <c r="AB43129" s="38"/>
    </row>
    <row r="43130">
      <c r="P43130" s="42"/>
      <c r="AB43130" s="38"/>
    </row>
    <row r="43131">
      <c r="P43131" s="42"/>
      <c r="AB43131" s="38"/>
    </row>
    <row r="43132">
      <c r="P43132" s="42"/>
      <c r="AB43132" s="38"/>
    </row>
    <row r="43133">
      <c r="P43133" s="42"/>
      <c r="AB43133" s="38"/>
    </row>
    <row r="43134">
      <c r="P43134" s="42"/>
      <c r="AB43134" s="38"/>
    </row>
    <row r="43135">
      <c r="P43135" s="42"/>
      <c r="AB43135" s="38"/>
    </row>
    <row r="43136">
      <c r="P43136" s="42"/>
      <c r="AB43136" s="38"/>
    </row>
    <row r="43137">
      <c r="P43137" s="42"/>
      <c r="AB43137" s="38"/>
    </row>
    <row r="43138">
      <c r="P43138" s="42"/>
      <c r="AB43138" s="38"/>
    </row>
    <row r="43139">
      <c r="P43139" s="42"/>
      <c r="AB43139" s="38"/>
    </row>
    <row r="43140">
      <c r="P43140" s="42"/>
      <c r="AB43140" s="38"/>
    </row>
    <row r="43141">
      <c r="P43141" s="42"/>
      <c r="AB43141" s="38"/>
    </row>
    <row r="43142">
      <c r="P43142" s="42"/>
      <c r="AB43142" s="38"/>
    </row>
    <row r="43143">
      <c r="P43143" s="42"/>
      <c r="AB43143" s="38"/>
    </row>
    <row r="43144">
      <c r="P43144" s="42"/>
      <c r="AB43144" s="38"/>
    </row>
    <row r="43145">
      <c r="P43145" s="42"/>
      <c r="AB43145" s="38"/>
    </row>
    <row r="43146">
      <c r="P43146" s="42"/>
      <c r="AB43146" s="38"/>
    </row>
    <row r="43147">
      <c r="P43147" s="42"/>
      <c r="AB43147" s="38"/>
    </row>
    <row r="43148">
      <c r="P43148" s="42"/>
      <c r="AB43148" s="38"/>
    </row>
    <row r="43149">
      <c r="P43149" s="42"/>
      <c r="AB43149" s="38"/>
    </row>
    <row r="43150">
      <c r="P43150" s="42"/>
      <c r="AB43150" s="38"/>
    </row>
    <row r="43151">
      <c r="P43151" s="42"/>
      <c r="AB43151" s="38"/>
    </row>
    <row r="43152">
      <c r="P43152" s="42"/>
      <c r="AB43152" s="38"/>
    </row>
    <row r="43153">
      <c r="P43153" s="42"/>
      <c r="AB43153" s="38"/>
    </row>
    <row r="43154">
      <c r="P43154" s="42"/>
      <c r="AB43154" s="38"/>
    </row>
    <row r="43155">
      <c r="P43155" s="42"/>
      <c r="AB43155" s="38"/>
    </row>
    <row r="43156">
      <c r="P43156" s="42"/>
      <c r="AB43156" s="38"/>
    </row>
    <row r="43157">
      <c r="P43157" s="42"/>
      <c r="AB43157" s="38"/>
    </row>
    <row r="43158">
      <c r="P43158" s="42"/>
      <c r="AB43158" s="38"/>
    </row>
    <row r="43159">
      <c r="P43159" s="42"/>
      <c r="AB43159" s="38"/>
    </row>
    <row r="43160">
      <c r="P43160" s="42"/>
      <c r="AB43160" s="38"/>
    </row>
    <row r="43161">
      <c r="P43161" s="42"/>
      <c r="AB43161" s="38"/>
    </row>
    <row r="43162">
      <c r="P43162" s="42"/>
      <c r="AB43162" s="38"/>
    </row>
    <row r="43163">
      <c r="P43163" s="42"/>
      <c r="AB43163" s="38"/>
    </row>
    <row r="43164">
      <c r="P43164" s="42"/>
      <c r="AB43164" s="38"/>
    </row>
    <row r="43165">
      <c r="P43165" s="42"/>
      <c r="AB43165" s="38"/>
    </row>
    <row r="43166">
      <c r="P43166" s="42"/>
      <c r="AB43166" s="38"/>
    </row>
    <row r="43167">
      <c r="P43167" s="42"/>
      <c r="AB43167" s="38"/>
    </row>
    <row r="43168">
      <c r="P43168" s="42"/>
      <c r="AB43168" s="38"/>
    </row>
    <row r="43169">
      <c r="P43169" s="42"/>
      <c r="AB43169" s="38"/>
    </row>
    <row r="43170">
      <c r="P43170" s="42"/>
      <c r="AB43170" s="38"/>
    </row>
    <row r="43171">
      <c r="P43171" s="42"/>
      <c r="AB43171" s="38"/>
    </row>
    <row r="43172">
      <c r="P43172" s="42"/>
      <c r="AB43172" s="38"/>
    </row>
    <row r="43173">
      <c r="P43173" s="42"/>
      <c r="AB43173" s="38"/>
    </row>
    <row r="43174">
      <c r="P43174" s="42"/>
      <c r="AB43174" s="38"/>
    </row>
    <row r="43175">
      <c r="P43175" s="42"/>
      <c r="AB43175" s="38"/>
    </row>
    <row r="43176">
      <c r="P43176" s="42"/>
      <c r="AB43176" s="38"/>
    </row>
    <row r="43177">
      <c r="P43177" s="42"/>
      <c r="AB43177" s="38"/>
    </row>
    <row r="43178">
      <c r="P43178" s="42"/>
      <c r="AB43178" s="38"/>
    </row>
    <row r="43179">
      <c r="P43179" s="42"/>
      <c r="AB43179" s="38"/>
    </row>
    <row r="43180">
      <c r="P43180" s="42"/>
      <c r="AB43180" s="38"/>
    </row>
    <row r="43181">
      <c r="P43181" s="42"/>
      <c r="AB43181" s="38"/>
    </row>
    <row r="43182">
      <c r="P43182" s="42"/>
      <c r="AB43182" s="38"/>
    </row>
    <row r="43183">
      <c r="P43183" s="42"/>
      <c r="AB43183" s="38"/>
    </row>
    <row r="43184">
      <c r="P43184" s="42"/>
      <c r="AB43184" s="38"/>
    </row>
    <row r="43185">
      <c r="P43185" s="42"/>
      <c r="AB43185" s="38"/>
    </row>
    <row r="43186">
      <c r="P43186" s="42"/>
      <c r="AB43186" s="38"/>
    </row>
    <row r="43187">
      <c r="P43187" s="42"/>
      <c r="AB43187" s="38"/>
    </row>
    <row r="43188">
      <c r="P43188" s="42"/>
      <c r="AB43188" s="38"/>
    </row>
    <row r="43189">
      <c r="P43189" s="42"/>
      <c r="AB43189" s="38"/>
    </row>
    <row r="43190">
      <c r="P43190" s="42"/>
      <c r="AB43190" s="38"/>
    </row>
    <row r="43191">
      <c r="P43191" s="42"/>
      <c r="AB43191" s="38"/>
    </row>
    <row r="43192">
      <c r="P43192" s="42"/>
      <c r="AB43192" s="38"/>
    </row>
    <row r="43193">
      <c r="P43193" s="42"/>
      <c r="AB43193" s="38"/>
    </row>
    <row r="43194">
      <c r="P43194" s="42"/>
      <c r="AB43194" s="38"/>
    </row>
    <row r="43195">
      <c r="P43195" s="42"/>
      <c r="AB43195" s="38"/>
    </row>
    <row r="43196">
      <c r="P43196" s="42"/>
      <c r="AB43196" s="38"/>
    </row>
    <row r="43197">
      <c r="P43197" s="42"/>
      <c r="AB43197" s="38"/>
    </row>
    <row r="43198">
      <c r="P43198" s="42"/>
      <c r="AB43198" s="38"/>
    </row>
    <row r="43199">
      <c r="P43199" s="42"/>
      <c r="AB43199" s="38"/>
    </row>
    <row r="43200">
      <c r="P43200" s="42"/>
      <c r="AB43200" s="38"/>
    </row>
    <row r="43201">
      <c r="P43201" s="42"/>
      <c r="AB43201" s="38"/>
    </row>
    <row r="43202">
      <c r="P43202" s="42"/>
      <c r="AB43202" s="38"/>
    </row>
    <row r="43203">
      <c r="P43203" s="42"/>
      <c r="AB43203" s="38"/>
    </row>
    <row r="43204">
      <c r="P43204" s="42"/>
      <c r="AB43204" s="38"/>
    </row>
    <row r="43205">
      <c r="P43205" s="42"/>
      <c r="AB43205" s="38"/>
    </row>
    <row r="43206">
      <c r="P43206" s="42"/>
      <c r="AB43206" s="38"/>
    </row>
    <row r="43207">
      <c r="P43207" s="42"/>
      <c r="AB43207" s="38"/>
    </row>
    <row r="43208">
      <c r="P43208" s="42"/>
      <c r="AB43208" s="38"/>
    </row>
    <row r="43209">
      <c r="P43209" s="42"/>
      <c r="AB43209" s="38"/>
    </row>
    <row r="43210">
      <c r="P43210" s="42"/>
      <c r="AB43210" s="38"/>
    </row>
    <row r="43211">
      <c r="P43211" s="42"/>
      <c r="AB43211" s="38"/>
    </row>
    <row r="43212">
      <c r="P43212" s="42"/>
      <c r="AB43212" s="38"/>
    </row>
    <row r="43213">
      <c r="P43213" s="42"/>
      <c r="AB43213" s="38"/>
    </row>
    <row r="43214">
      <c r="P43214" s="42"/>
      <c r="AB43214" s="38"/>
    </row>
    <row r="43215">
      <c r="P43215" s="42"/>
      <c r="AB43215" s="38"/>
    </row>
    <row r="43216">
      <c r="P43216" s="42"/>
      <c r="AB43216" s="38"/>
    </row>
    <row r="43217">
      <c r="P43217" s="42"/>
      <c r="AB43217" s="38"/>
    </row>
    <row r="43218">
      <c r="P43218" s="42"/>
      <c r="AB43218" s="38"/>
    </row>
    <row r="43219">
      <c r="P43219" s="42"/>
      <c r="AB43219" s="38"/>
    </row>
    <row r="43220">
      <c r="P43220" s="42"/>
      <c r="AB43220" s="38"/>
    </row>
    <row r="43221">
      <c r="P43221" s="42"/>
      <c r="AB43221" s="38"/>
    </row>
    <row r="43222">
      <c r="P43222" s="42"/>
      <c r="AB43222" s="38"/>
    </row>
    <row r="43223">
      <c r="P43223" s="42"/>
      <c r="AB43223" s="38"/>
    </row>
    <row r="43224">
      <c r="P43224" s="42"/>
      <c r="AB43224" s="38"/>
    </row>
    <row r="43225">
      <c r="P43225" s="42"/>
      <c r="AB43225" s="38"/>
    </row>
    <row r="43226">
      <c r="P43226" s="42"/>
      <c r="AB43226" s="38"/>
    </row>
    <row r="43227">
      <c r="P43227" s="42"/>
      <c r="AB43227" s="38"/>
    </row>
    <row r="43228">
      <c r="P43228" s="42"/>
      <c r="AB43228" s="38"/>
    </row>
    <row r="43229">
      <c r="P43229" s="42"/>
      <c r="AB43229" s="38"/>
    </row>
    <row r="43230">
      <c r="P43230" s="42"/>
      <c r="AB43230" s="38"/>
    </row>
    <row r="43231">
      <c r="P43231" s="42"/>
      <c r="AB43231" s="38"/>
    </row>
    <row r="43232">
      <c r="P43232" s="42"/>
      <c r="AB43232" s="38"/>
    </row>
    <row r="43233">
      <c r="P43233" s="42"/>
      <c r="AB43233" s="38"/>
    </row>
    <row r="43234">
      <c r="P43234" s="42"/>
      <c r="AB43234" s="38"/>
    </row>
    <row r="43235">
      <c r="P43235" s="42"/>
      <c r="AB43235" s="38"/>
    </row>
    <row r="43236">
      <c r="P43236" s="42"/>
      <c r="AB43236" s="38"/>
    </row>
    <row r="43237">
      <c r="P43237" s="42"/>
      <c r="AB43237" s="38"/>
    </row>
    <row r="43238">
      <c r="P43238" s="42"/>
      <c r="AB43238" s="38"/>
    </row>
    <row r="43239">
      <c r="P43239" s="42"/>
      <c r="AB43239" s="38"/>
    </row>
    <row r="43240">
      <c r="P43240" s="42"/>
      <c r="AB43240" s="38"/>
    </row>
    <row r="43241">
      <c r="P43241" s="42"/>
      <c r="AB43241" s="38"/>
    </row>
    <row r="43242">
      <c r="P43242" s="42"/>
      <c r="AB43242" s="38"/>
    </row>
    <row r="43243">
      <c r="P43243" s="42"/>
      <c r="AB43243" s="38"/>
    </row>
    <row r="43244">
      <c r="P43244" s="42"/>
      <c r="AB43244" s="38"/>
    </row>
    <row r="43245">
      <c r="P43245" s="42"/>
      <c r="AB43245" s="38"/>
    </row>
    <row r="43246">
      <c r="P43246" s="42"/>
      <c r="AB43246" s="38"/>
    </row>
    <row r="43247">
      <c r="P43247" s="42"/>
      <c r="AB43247" s="38"/>
    </row>
    <row r="43248">
      <c r="P43248" s="42"/>
      <c r="AB43248" s="38"/>
    </row>
    <row r="43249">
      <c r="P43249" s="42"/>
      <c r="AB43249" s="38"/>
    </row>
    <row r="43250">
      <c r="P43250" s="42"/>
      <c r="AB43250" s="38"/>
    </row>
    <row r="43251">
      <c r="P43251" s="42"/>
      <c r="AB43251" s="38"/>
    </row>
    <row r="43252">
      <c r="P43252" s="42"/>
      <c r="AB43252" s="38"/>
    </row>
    <row r="43253">
      <c r="P43253" s="42"/>
      <c r="AB43253" s="38"/>
    </row>
    <row r="43254">
      <c r="P43254" s="42"/>
      <c r="AB43254" s="38"/>
    </row>
    <row r="43255">
      <c r="P43255" s="42"/>
      <c r="AB43255" s="38"/>
    </row>
    <row r="43256">
      <c r="P43256" s="42"/>
      <c r="AB43256" s="38"/>
    </row>
    <row r="43257">
      <c r="P43257" s="42"/>
      <c r="AB43257" s="38"/>
    </row>
    <row r="43258">
      <c r="P43258" s="42"/>
      <c r="AB43258" s="38"/>
    </row>
    <row r="43259">
      <c r="P43259" s="42"/>
      <c r="AB43259" s="38"/>
    </row>
    <row r="43260">
      <c r="P43260" s="42"/>
      <c r="AB43260" s="38"/>
    </row>
    <row r="43261">
      <c r="P43261" s="42"/>
      <c r="AB43261" s="38"/>
    </row>
    <row r="43262">
      <c r="P43262" s="42"/>
      <c r="AB43262" s="38"/>
    </row>
    <row r="43263">
      <c r="P43263" s="42"/>
      <c r="AB43263" s="38"/>
    </row>
    <row r="43264">
      <c r="P43264" s="42"/>
      <c r="AB43264" s="38"/>
    </row>
    <row r="43265">
      <c r="P43265" s="42"/>
      <c r="AB43265" s="38"/>
    </row>
    <row r="43266">
      <c r="P43266" s="42"/>
      <c r="AB43266" s="38"/>
    </row>
    <row r="43267">
      <c r="P43267" s="42"/>
      <c r="AB43267" s="38"/>
    </row>
    <row r="43268">
      <c r="P43268" s="42"/>
      <c r="AB43268" s="38"/>
    </row>
    <row r="43269">
      <c r="P43269" s="42"/>
      <c r="AB43269" s="38"/>
    </row>
    <row r="43270">
      <c r="P43270" s="42"/>
      <c r="AB43270" s="38"/>
    </row>
    <row r="43271">
      <c r="P43271" s="42"/>
      <c r="AB43271" s="38"/>
    </row>
    <row r="43272">
      <c r="P43272" s="42"/>
      <c r="AB43272" s="38"/>
    </row>
    <row r="43273">
      <c r="P43273" s="42"/>
      <c r="AB43273" s="38"/>
    </row>
    <row r="43274">
      <c r="P43274" s="42"/>
      <c r="AB43274" s="38"/>
    </row>
    <row r="43275">
      <c r="P43275" s="42"/>
      <c r="AB43275" s="38"/>
    </row>
    <row r="43276">
      <c r="P43276" s="42"/>
      <c r="AB43276" s="38"/>
    </row>
    <row r="43277">
      <c r="P43277" s="42"/>
      <c r="AB43277" s="38"/>
    </row>
    <row r="43278">
      <c r="P43278" s="42"/>
      <c r="AB43278" s="38"/>
    </row>
    <row r="43279">
      <c r="P43279" s="42"/>
      <c r="AB43279" s="38"/>
    </row>
    <row r="43280">
      <c r="P43280" s="42"/>
      <c r="AB43280" s="38"/>
    </row>
    <row r="43281">
      <c r="P43281" s="42"/>
      <c r="AB43281" s="38"/>
    </row>
    <row r="43282">
      <c r="P43282" s="42"/>
      <c r="AB43282" s="38"/>
    </row>
    <row r="43283">
      <c r="P43283" s="42"/>
      <c r="AB43283" s="38"/>
    </row>
    <row r="43284">
      <c r="P43284" s="42"/>
      <c r="AB43284" s="38"/>
    </row>
    <row r="43285">
      <c r="P43285" s="42"/>
      <c r="AB43285" s="38"/>
    </row>
    <row r="43286">
      <c r="P43286" s="42"/>
      <c r="AB43286" s="38"/>
    </row>
    <row r="43287">
      <c r="P43287" s="42"/>
      <c r="AB43287" s="38"/>
    </row>
    <row r="43288">
      <c r="P43288" s="42"/>
      <c r="AB43288" s="38"/>
    </row>
    <row r="43289">
      <c r="P43289" s="42"/>
      <c r="AB43289" s="38"/>
    </row>
    <row r="43290">
      <c r="P43290" s="42"/>
      <c r="AB43290" s="38"/>
    </row>
    <row r="43291">
      <c r="P43291" s="42"/>
      <c r="AB43291" s="38"/>
    </row>
    <row r="43292">
      <c r="P43292" s="42"/>
      <c r="AB43292" s="38"/>
    </row>
    <row r="43293">
      <c r="P43293" s="42"/>
      <c r="AB43293" s="38"/>
    </row>
    <row r="43294">
      <c r="P43294" s="42"/>
      <c r="AB43294" s="38"/>
    </row>
    <row r="43295">
      <c r="P43295" s="42"/>
      <c r="AB43295" s="38"/>
    </row>
    <row r="43296">
      <c r="P43296" s="42"/>
      <c r="AB43296" s="38"/>
    </row>
    <row r="43297">
      <c r="P43297" s="42"/>
      <c r="AB43297" s="38"/>
    </row>
    <row r="43298">
      <c r="P43298" s="42"/>
      <c r="AB43298" s="38"/>
    </row>
    <row r="43299">
      <c r="P43299" s="42"/>
      <c r="AB43299" s="38"/>
    </row>
    <row r="43300">
      <c r="P43300" s="42"/>
      <c r="AB43300" s="38"/>
    </row>
    <row r="43301">
      <c r="P43301" s="42"/>
      <c r="AB43301" s="38"/>
    </row>
    <row r="43302">
      <c r="P43302" s="42"/>
      <c r="AB43302" s="38"/>
    </row>
    <row r="43303">
      <c r="P43303" s="42"/>
      <c r="AB43303" s="38"/>
    </row>
    <row r="43304">
      <c r="P43304" s="42"/>
      <c r="AB43304" s="38"/>
    </row>
    <row r="43305">
      <c r="P43305" s="42"/>
      <c r="AB43305" s="38"/>
    </row>
    <row r="43306">
      <c r="P43306" s="42"/>
      <c r="AB43306" s="38"/>
    </row>
    <row r="43307">
      <c r="P43307" s="42"/>
      <c r="AB43307" s="38"/>
    </row>
    <row r="43308">
      <c r="P43308" s="42"/>
      <c r="AB43308" s="38"/>
    </row>
    <row r="43309">
      <c r="P43309" s="42"/>
      <c r="AB43309" s="38"/>
    </row>
    <row r="43310">
      <c r="P43310" s="42"/>
      <c r="AB43310" s="38"/>
    </row>
    <row r="43311">
      <c r="P43311" s="42"/>
      <c r="AB43311" s="38"/>
    </row>
    <row r="43312">
      <c r="P43312" s="42"/>
      <c r="AB43312" s="38"/>
    </row>
    <row r="43313">
      <c r="P43313" s="42"/>
      <c r="AB43313" s="38"/>
    </row>
    <row r="43314">
      <c r="P43314" s="42"/>
      <c r="AB43314" s="38"/>
    </row>
    <row r="43315">
      <c r="P43315" s="42"/>
      <c r="AB43315" s="38"/>
    </row>
    <row r="43316">
      <c r="P43316" s="42"/>
      <c r="AB43316" s="38"/>
    </row>
    <row r="43317">
      <c r="P43317" s="42"/>
      <c r="AB43317" s="38"/>
    </row>
    <row r="43318">
      <c r="P43318" s="42"/>
      <c r="AB43318" s="38"/>
    </row>
    <row r="43319">
      <c r="P43319" s="42"/>
      <c r="AB43319" s="38"/>
    </row>
    <row r="43320">
      <c r="P43320" s="42"/>
      <c r="AB43320" s="38"/>
    </row>
    <row r="43321">
      <c r="P43321" s="42"/>
      <c r="AB43321" s="38"/>
    </row>
    <row r="43322">
      <c r="P43322" s="42"/>
      <c r="AB43322" s="38"/>
    </row>
    <row r="43323">
      <c r="P43323" s="42"/>
      <c r="AB43323" s="38"/>
    </row>
    <row r="43324">
      <c r="P43324" s="42"/>
      <c r="AB43324" s="38"/>
    </row>
    <row r="43325">
      <c r="P43325" s="42"/>
      <c r="AB43325" s="38"/>
    </row>
    <row r="43326">
      <c r="P43326" s="42"/>
      <c r="AB43326" s="38"/>
    </row>
    <row r="43327">
      <c r="P43327" s="42"/>
      <c r="AB43327" s="38"/>
    </row>
    <row r="43328">
      <c r="P43328" s="42"/>
      <c r="AB43328" s="38"/>
    </row>
    <row r="43329">
      <c r="P43329" s="42"/>
      <c r="AB43329" s="38"/>
    </row>
    <row r="43330">
      <c r="P43330" s="42"/>
      <c r="AB43330" s="38"/>
    </row>
    <row r="43331">
      <c r="P43331" s="42"/>
      <c r="AB43331" s="38"/>
    </row>
    <row r="43332">
      <c r="P43332" s="42"/>
      <c r="AB43332" s="38"/>
    </row>
    <row r="43333">
      <c r="P43333" s="42"/>
      <c r="AB43333" s="38"/>
    </row>
    <row r="43334">
      <c r="P43334" s="42"/>
      <c r="AB43334" s="38"/>
    </row>
    <row r="43335">
      <c r="P43335" s="42"/>
      <c r="AB43335" s="38"/>
    </row>
    <row r="43336">
      <c r="P43336" s="42"/>
      <c r="AB43336" s="38"/>
    </row>
    <row r="43337">
      <c r="P43337" s="42"/>
      <c r="AB43337" s="38"/>
    </row>
    <row r="43338">
      <c r="P43338" s="42"/>
      <c r="AB43338" s="38"/>
    </row>
    <row r="43339">
      <c r="P43339" s="42"/>
      <c r="AB43339" s="38"/>
    </row>
    <row r="43340">
      <c r="P43340" s="42"/>
      <c r="AB43340" s="38"/>
    </row>
    <row r="43341">
      <c r="P43341" s="42"/>
      <c r="AB43341" s="38"/>
    </row>
    <row r="43342">
      <c r="P43342" s="42"/>
      <c r="AB43342" s="38"/>
    </row>
    <row r="43343">
      <c r="P43343" s="42"/>
      <c r="AB43343" s="38"/>
    </row>
    <row r="43344">
      <c r="P43344" s="42"/>
      <c r="AB43344" s="38"/>
    </row>
    <row r="43345">
      <c r="P43345" s="42"/>
      <c r="AB43345" s="38"/>
    </row>
    <row r="43346">
      <c r="P43346" s="42"/>
      <c r="AB43346" s="38"/>
    </row>
    <row r="43347">
      <c r="P43347" s="42"/>
      <c r="AB43347" s="38"/>
    </row>
    <row r="43348">
      <c r="P43348" s="42"/>
      <c r="AB43348" s="38"/>
    </row>
    <row r="43349">
      <c r="P43349" s="42"/>
      <c r="AB43349" s="38"/>
    </row>
    <row r="43350">
      <c r="P43350" s="42"/>
      <c r="AB43350" s="38"/>
    </row>
    <row r="43351">
      <c r="P43351" s="42"/>
      <c r="AB43351" s="38"/>
    </row>
    <row r="43352">
      <c r="P43352" s="42"/>
      <c r="AB43352" s="38"/>
    </row>
    <row r="43353">
      <c r="P43353" s="42"/>
      <c r="AB43353" s="38"/>
    </row>
    <row r="43354">
      <c r="P43354" s="42"/>
      <c r="AB43354" s="38"/>
    </row>
    <row r="43355">
      <c r="P43355" s="42"/>
      <c r="AB43355" s="38"/>
    </row>
    <row r="43356">
      <c r="P43356" s="42"/>
      <c r="AB43356" s="38"/>
    </row>
    <row r="43357">
      <c r="P43357" s="42"/>
      <c r="AB43357" s="38"/>
    </row>
    <row r="43358">
      <c r="P43358" s="42"/>
      <c r="AB43358" s="38"/>
    </row>
    <row r="43359">
      <c r="P43359" s="42"/>
      <c r="AB43359" s="38"/>
    </row>
    <row r="43360">
      <c r="P43360" s="42"/>
      <c r="AB43360" s="38"/>
    </row>
    <row r="43361">
      <c r="P43361" s="42"/>
      <c r="AB43361" s="38"/>
    </row>
    <row r="43362">
      <c r="P43362" s="42"/>
      <c r="AB43362" s="38"/>
    </row>
    <row r="43363">
      <c r="P43363" s="42"/>
      <c r="AB43363" s="38"/>
    </row>
    <row r="43364">
      <c r="P43364" s="42"/>
      <c r="AB43364" s="38"/>
    </row>
    <row r="43365">
      <c r="P43365" s="42"/>
      <c r="AB43365" s="38"/>
    </row>
    <row r="43366">
      <c r="P43366" s="42"/>
      <c r="AB43366" s="38"/>
    </row>
    <row r="43367">
      <c r="P43367" s="42"/>
      <c r="AB43367" s="38"/>
    </row>
    <row r="43368">
      <c r="P43368" s="42"/>
      <c r="AB43368" s="38"/>
    </row>
    <row r="43369">
      <c r="P43369" s="42"/>
      <c r="AB43369" s="38"/>
    </row>
    <row r="43370">
      <c r="P43370" s="42"/>
      <c r="AB43370" s="38"/>
    </row>
    <row r="43371">
      <c r="P43371" s="42"/>
      <c r="AB43371" s="38"/>
    </row>
    <row r="43372">
      <c r="P43372" s="42"/>
      <c r="AB43372" s="38"/>
    </row>
    <row r="43373">
      <c r="P43373" s="42"/>
      <c r="AB43373" s="38"/>
    </row>
    <row r="43374">
      <c r="P43374" s="42"/>
      <c r="AB43374" s="38"/>
    </row>
    <row r="43375">
      <c r="P43375" s="42"/>
      <c r="AB43375" s="38"/>
    </row>
    <row r="43376">
      <c r="P43376" s="42"/>
      <c r="AB43376" s="38"/>
    </row>
    <row r="43377">
      <c r="P43377" s="42"/>
      <c r="AB43377" s="38"/>
    </row>
    <row r="43378">
      <c r="P43378" s="42"/>
      <c r="AB43378" s="38"/>
    </row>
    <row r="43379">
      <c r="P43379" s="42"/>
      <c r="AB43379" s="38"/>
    </row>
    <row r="43380">
      <c r="P43380" s="42"/>
      <c r="AB43380" s="38"/>
    </row>
    <row r="43381">
      <c r="P43381" s="42"/>
      <c r="AB43381" s="38"/>
    </row>
    <row r="43382">
      <c r="P43382" s="42"/>
      <c r="AB43382" s="38"/>
    </row>
    <row r="43383">
      <c r="P43383" s="42"/>
      <c r="AB43383" s="38"/>
    </row>
    <row r="43384">
      <c r="P43384" s="42"/>
      <c r="AB43384" s="38"/>
    </row>
    <row r="43385">
      <c r="P43385" s="42"/>
      <c r="AB43385" s="38"/>
    </row>
    <row r="43386">
      <c r="P43386" s="42"/>
      <c r="AB43386" s="38"/>
    </row>
    <row r="43387">
      <c r="P43387" s="42"/>
      <c r="AB43387" s="38"/>
    </row>
    <row r="43388">
      <c r="P43388" s="42"/>
      <c r="AB43388" s="38"/>
    </row>
    <row r="43389">
      <c r="P43389" s="42"/>
      <c r="AB43389" s="38"/>
    </row>
    <row r="43390">
      <c r="P43390" s="42"/>
      <c r="AB43390" s="38"/>
    </row>
    <row r="43391">
      <c r="P43391" s="42"/>
      <c r="AB43391" s="38"/>
    </row>
    <row r="43392">
      <c r="P43392" s="42"/>
      <c r="AB43392" s="38"/>
    </row>
    <row r="43393">
      <c r="P43393" s="42"/>
      <c r="AB43393" s="38"/>
    </row>
    <row r="43394">
      <c r="P43394" s="42"/>
      <c r="AB43394" s="38"/>
    </row>
    <row r="43395">
      <c r="P43395" s="42"/>
      <c r="AB43395" s="38"/>
    </row>
    <row r="43396">
      <c r="P43396" s="42"/>
      <c r="AB43396" s="38"/>
    </row>
    <row r="43397">
      <c r="P43397" s="42"/>
      <c r="AB43397" s="38"/>
    </row>
    <row r="43398">
      <c r="P43398" s="42"/>
      <c r="AB43398" s="38"/>
    </row>
    <row r="43399">
      <c r="P43399" s="42"/>
      <c r="AB43399" s="38"/>
    </row>
    <row r="43400">
      <c r="P43400" s="42"/>
      <c r="AB43400" s="38"/>
    </row>
    <row r="43401">
      <c r="P43401" s="42"/>
      <c r="AB43401" s="38"/>
    </row>
    <row r="43402">
      <c r="P43402" s="42"/>
      <c r="AB43402" s="38"/>
    </row>
    <row r="43403">
      <c r="P43403" s="42"/>
      <c r="AB43403" s="38"/>
    </row>
    <row r="43404">
      <c r="P43404" s="42"/>
      <c r="AB43404" s="38"/>
    </row>
    <row r="43405">
      <c r="P43405" s="42"/>
      <c r="AB43405" s="38"/>
    </row>
    <row r="43406">
      <c r="P43406" s="42"/>
      <c r="AB43406" s="38"/>
    </row>
    <row r="43407">
      <c r="P43407" s="42"/>
      <c r="AB43407" s="38"/>
    </row>
    <row r="43408">
      <c r="P43408" s="42"/>
      <c r="AB43408" s="38"/>
    </row>
    <row r="43409">
      <c r="P43409" s="42"/>
      <c r="AB43409" s="38"/>
    </row>
    <row r="43410">
      <c r="P43410" s="42"/>
      <c r="AB43410" s="38"/>
    </row>
    <row r="43411">
      <c r="P43411" s="42"/>
      <c r="AB43411" s="38"/>
    </row>
    <row r="43412">
      <c r="P43412" s="42"/>
      <c r="AB43412" s="38"/>
    </row>
    <row r="43413">
      <c r="P43413" s="42"/>
      <c r="AB43413" s="38"/>
    </row>
    <row r="43414">
      <c r="P43414" s="42"/>
      <c r="AB43414" s="38"/>
    </row>
    <row r="43415">
      <c r="P43415" s="42"/>
      <c r="AB43415" s="38"/>
    </row>
    <row r="43416">
      <c r="P43416" s="42"/>
      <c r="AB43416" s="38"/>
    </row>
    <row r="43417">
      <c r="P43417" s="42"/>
      <c r="AB43417" s="38"/>
    </row>
    <row r="43418">
      <c r="P43418" s="42"/>
      <c r="AB43418" s="38"/>
    </row>
    <row r="43419">
      <c r="P43419" s="42"/>
      <c r="AB43419" s="38"/>
    </row>
    <row r="43420">
      <c r="P43420" s="42"/>
      <c r="AB43420" s="38"/>
    </row>
    <row r="43421">
      <c r="P43421" s="42"/>
      <c r="AB43421" s="38"/>
    </row>
    <row r="43422">
      <c r="P43422" s="42"/>
      <c r="AB43422" s="38"/>
    </row>
    <row r="43423">
      <c r="P43423" s="42"/>
      <c r="AB43423" s="38"/>
    </row>
    <row r="43424">
      <c r="P43424" s="42"/>
      <c r="AB43424" s="38"/>
    </row>
    <row r="43425">
      <c r="P43425" s="42"/>
      <c r="AB43425" s="38"/>
    </row>
    <row r="43426">
      <c r="P43426" s="42"/>
      <c r="AB43426" s="38"/>
    </row>
    <row r="43427">
      <c r="P43427" s="42"/>
      <c r="AB43427" s="38"/>
    </row>
    <row r="43428">
      <c r="P43428" s="42"/>
      <c r="AB43428" s="38"/>
    </row>
    <row r="43429">
      <c r="P43429" s="42"/>
      <c r="AB43429" s="38"/>
    </row>
    <row r="43430">
      <c r="P43430" s="42"/>
      <c r="AB43430" s="38"/>
    </row>
    <row r="43431">
      <c r="P43431" s="42"/>
      <c r="AB43431" s="38"/>
    </row>
    <row r="43432">
      <c r="P43432" s="42"/>
      <c r="AB43432" s="38"/>
    </row>
    <row r="43433">
      <c r="P43433" s="42"/>
      <c r="AB43433" s="38"/>
    </row>
    <row r="43434">
      <c r="P43434" s="42"/>
      <c r="AB43434" s="38"/>
    </row>
    <row r="43435">
      <c r="P43435" s="42"/>
      <c r="AB43435" s="38"/>
    </row>
    <row r="43436">
      <c r="P43436" s="42"/>
      <c r="AB43436" s="38"/>
    </row>
    <row r="43437">
      <c r="P43437" s="42"/>
      <c r="AB43437" s="38"/>
    </row>
    <row r="43438">
      <c r="P43438" s="42"/>
      <c r="AB43438" s="38"/>
    </row>
    <row r="43439">
      <c r="P43439" s="42"/>
      <c r="AB43439" s="38"/>
    </row>
    <row r="43440">
      <c r="P43440" s="42"/>
      <c r="AB43440" s="38"/>
    </row>
    <row r="43441">
      <c r="P43441" s="42"/>
      <c r="AB43441" s="38"/>
    </row>
    <row r="43442">
      <c r="P43442" s="42"/>
      <c r="AB43442" s="38"/>
    </row>
    <row r="43443">
      <c r="P43443" s="42"/>
      <c r="AB43443" s="38"/>
    </row>
    <row r="43444">
      <c r="P43444" s="42"/>
      <c r="AB43444" s="38"/>
    </row>
    <row r="43445">
      <c r="P43445" s="42"/>
      <c r="AB43445" s="38"/>
    </row>
    <row r="43446">
      <c r="P43446" s="42"/>
      <c r="AB43446" s="38"/>
    </row>
    <row r="43447">
      <c r="P43447" s="42"/>
      <c r="AB43447" s="38"/>
    </row>
    <row r="43448">
      <c r="P43448" s="42"/>
      <c r="AB43448" s="38"/>
    </row>
    <row r="43449">
      <c r="P43449" s="42"/>
      <c r="AB43449" s="38"/>
    </row>
    <row r="43450">
      <c r="P43450" s="42"/>
      <c r="AB43450" s="38"/>
    </row>
    <row r="43451">
      <c r="P43451" s="42"/>
      <c r="AB43451" s="38"/>
    </row>
    <row r="43452">
      <c r="P43452" s="42"/>
      <c r="AB43452" s="38"/>
    </row>
    <row r="43453">
      <c r="P43453" s="42"/>
      <c r="AB43453" s="38"/>
    </row>
    <row r="43454">
      <c r="P43454" s="42"/>
      <c r="AB43454" s="38"/>
    </row>
    <row r="43455">
      <c r="P43455" s="42"/>
      <c r="AB43455" s="38"/>
    </row>
    <row r="43456">
      <c r="P43456" s="42"/>
      <c r="AB43456" s="38"/>
    </row>
    <row r="43457">
      <c r="P43457" s="42"/>
      <c r="AB43457" s="38"/>
    </row>
    <row r="43458">
      <c r="P43458" s="42"/>
      <c r="AB43458" s="38"/>
    </row>
    <row r="43459">
      <c r="P43459" s="42"/>
      <c r="AB43459" s="38"/>
    </row>
    <row r="43460">
      <c r="P43460" s="42"/>
      <c r="AB43460" s="38"/>
    </row>
    <row r="43461">
      <c r="P43461" s="42"/>
      <c r="AB43461" s="38"/>
    </row>
    <row r="43462">
      <c r="P43462" s="42"/>
      <c r="AB43462" s="38"/>
    </row>
    <row r="43463">
      <c r="P43463" s="42"/>
      <c r="AB43463" s="38"/>
    </row>
    <row r="43464">
      <c r="P43464" s="42"/>
      <c r="AB43464" s="38"/>
    </row>
    <row r="43465">
      <c r="P43465" s="42"/>
      <c r="AB43465" s="38"/>
    </row>
    <row r="43466">
      <c r="P43466" s="42"/>
      <c r="AB43466" s="38"/>
    </row>
    <row r="43467">
      <c r="P43467" s="42"/>
      <c r="AB43467" s="38"/>
    </row>
    <row r="43468">
      <c r="P43468" s="42"/>
      <c r="AB43468" s="38"/>
    </row>
    <row r="43469">
      <c r="P43469" s="42"/>
      <c r="AB43469" s="38"/>
    </row>
    <row r="43470">
      <c r="P43470" s="42"/>
      <c r="AB43470" s="38"/>
    </row>
    <row r="43471">
      <c r="P43471" s="42"/>
      <c r="AB43471" s="38"/>
    </row>
    <row r="43472">
      <c r="P43472" s="42"/>
      <c r="AB43472" s="38"/>
    </row>
    <row r="43473">
      <c r="P43473" s="42"/>
      <c r="AB43473" s="38"/>
    </row>
    <row r="43474">
      <c r="P43474" s="42"/>
      <c r="AB43474" s="38"/>
    </row>
    <row r="43475">
      <c r="P43475" s="42"/>
      <c r="AB43475" s="38"/>
    </row>
    <row r="43476">
      <c r="P43476" s="42"/>
      <c r="AB43476" s="38"/>
    </row>
    <row r="43477">
      <c r="P43477" s="42"/>
      <c r="AB43477" s="38"/>
    </row>
    <row r="43478">
      <c r="P43478" s="42"/>
      <c r="AB43478" s="38"/>
    </row>
    <row r="43479">
      <c r="P43479" s="42"/>
      <c r="AB43479" s="38"/>
    </row>
    <row r="43480">
      <c r="P43480" s="42"/>
      <c r="AB43480" s="38"/>
    </row>
    <row r="43481">
      <c r="P43481" s="42"/>
      <c r="AB43481" s="38"/>
    </row>
    <row r="43482">
      <c r="P43482" s="42"/>
      <c r="AB43482" s="38"/>
    </row>
    <row r="43483">
      <c r="P43483" s="42"/>
      <c r="AB43483" s="38"/>
    </row>
    <row r="43484">
      <c r="P43484" s="42"/>
      <c r="AB43484" s="38"/>
    </row>
    <row r="43485">
      <c r="P43485" s="42"/>
      <c r="AB43485" s="38"/>
    </row>
    <row r="43486">
      <c r="P43486" s="42"/>
      <c r="AB43486" s="38"/>
    </row>
    <row r="43487">
      <c r="P43487" s="42"/>
      <c r="AB43487" s="38"/>
    </row>
    <row r="43488">
      <c r="P43488" s="42"/>
      <c r="AB43488" s="38"/>
    </row>
    <row r="43489">
      <c r="P43489" s="42"/>
      <c r="AB43489" s="38"/>
    </row>
    <row r="43490">
      <c r="P43490" s="42"/>
      <c r="AB43490" s="38"/>
    </row>
    <row r="43491">
      <c r="P43491" s="42"/>
      <c r="AB43491" s="38"/>
    </row>
    <row r="43492">
      <c r="P43492" s="42"/>
      <c r="AB43492" s="38"/>
    </row>
    <row r="43493">
      <c r="P43493" s="42"/>
      <c r="AB43493" s="38"/>
    </row>
    <row r="43494">
      <c r="P43494" s="42"/>
      <c r="AB43494" s="38"/>
    </row>
    <row r="43495">
      <c r="P43495" s="42"/>
      <c r="AB43495" s="38"/>
    </row>
    <row r="43496">
      <c r="P43496" s="42"/>
      <c r="AB43496" s="38"/>
    </row>
    <row r="43497">
      <c r="P43497" s="42"/>
      <c r="AB43497" s="38"/>
    </row>
    <row r="43498">
      <c r="P43498" s="42"/>
      <c r="AB43498" s="38"/>
    </row>
    <row r="43499">
      <c r="P43499" s="42"/>
      <c r="AB43499" s="38"/>
    </row>
    <row r="43500">
      <c r="P43500" s="42"/>
      <c r="AB43500" s="38"/>
    </row>
    <row r="43501">
      <c r="P43501" s="42"/>
      <c r="AB43501" s="38"/>
    </row>
    <row r="43502">
      <c r="P43502" s="42"/>
      <c r="AB43502" s="38"/>
    </row>
    <row r="43503">
      <c r="P43503" s="42"/>
      <c r="AB43503" s="38"/>
    </row>
    <row r="43504">
      <c r="P43504" s="42"/>
      <c r="AB43504" s="38"/>
    </row>
    <row r="43505">
      <c r="P43505" s="42"/>
      <c r="AB43505" s="38"/>
    </row>
    <row r="43506">
      <c r="P43506" s="42"/>
      <c r="AB43506" s="38"/>
    </row>
    <row r="43507">
      <c r="P43507" s="42"/>
      <c r="AB43507" s="38"/>
    </row>
    <row r="43508">
      <c r="P43508" s="42"/>
      <c r="AB43508" s="38"/>
    </row>
    <row r="43509">
      <c r="P43509" s="42"/>
      <c r="AB43509" s="38"/>
    </row>
    <row r="43510">
      <c r="P43510" s="42"/>
      <c r="AB43510" s="38"/>
    </row>
    <row r="43511">
      <c r="P43511" s="42"/>
      <c r="AB43511" s="38"/>
    </row>
    <row r="43512">
      <c r="P43512" s="42"/>
      <c r="AB43512" s="38"/>
    </row>
    <row r="43513">
      <c r="P43513" s="42"/>
      <c r="AB43513" s="38"/>
    </row>
    <row r="43514">
      <c r="P43514" s="42"/>
      <c r="AB43514" s="38"/>
    </row>
    <row r="43515">
      <c r="P43515" s="42"/>
      <c r="AB43515" s="38"/>
    </row>
    <row r="43516">
      <c r="P43516" s="42"/>
      <c r="AB43516" s="38"/>
    </row>
    <row r="43517">
      <c r="P43517" s="42"/>
      <c r="AB43517" s="38"/>
    </row>
    <row r="43518">
      <c r="P43518" s="42"/>
      <c r="AB43518" s="38"/>
    </row>
    <row r="43519">
      <c r="P43519" s="42"/>
      <c r="AB43519" s="38"/>
    </row>
    <row r="43520">
      <c r="P43520" s="42"/>
      <c r="AB43520" s="38"/>
    </row>
    <row r="43521">
      <c r="P43521" s="42"/>
      <c r="AB43521" s="38"/>
    </row>
    <row r="43522">
      <c r="P43522" s="42"/>
      <c r="AB43522" s="38"/>
    </row>
    <row r="43523">
      <c r="P43523" s="42"/>
      <c r="AB43523" s="38"/>
    </row>
    <row r="43524">
      <c r="P43524" s="42"/>
      <c r="AB43524" s="38"/>
    </row>
    <row r="43525">
      <c r="P43525" s="42"/>
      <c r="AB43525" s="38"/>
    </row>
    <row r="43526">
      <c r="P43526" s="42"/>
      <c r="AB43526" s="38"/>
    </row>
    <row r="43527">
      <c r="P43527" s="42"/>
      <c r="AB43527" s="38"/>
    </row>
    <row r="43528">
      <c r="P43528" s="42"/>
      <c r="AB43528" s="38"/>
    </row>
    <row r="43529">
      <c r="P43529" s="42"/>
      <c r="AB43529" s="38"/>
    </row>
    <row r="43530">
      <c r="P43530" s="42"/>
      <c r="AB43530" s="38"/>
    </row>
    <row r="43531">
      <c r="P43531" s="42"/>
      <c r="AB43531" s="38"/>
    </row>
    <row r="43532">
      <c r="P43532" s="42"/>
      <c r="AB43532" s="38"/>
    </row>
    <row r="43533">
      <c r="P43533" s="42"/>
      <c r="AB43533" s="38"/>
    </row>
    <row r="43534">
      <c r="P43534" s="42"/>
      <c r="AB43534" s="38"/>
    </row>
    <row r="43535">
      <c r="P43535" s="42"/>
      <c r="AB43535" s="38"/>
    </row>
    <row r="43536">
      <c r="P43536" s="42"/>
      <c r="AB43536" s="38"/>
    </row>
    <row r="43537">
      <c r="P43537" s="42"/>
      <c r="AB43537" s="38"/>
    </row>
    <row r="43538">
      <c r="P43538" s="42"/>
      <c r="AB43538" s="38"/>
    </row>
    <row r="43539">
      <c r="P43539" s="42"/>
      <c r="AB43539" s="38"/>
    </row>
    <row r="43540">
      <c r="P43540" s="42"/>
      <c r="AB43540" s="38"/>
    </row>
    <row r="43541">
      <c r="P43541" s="42"/>
      <c r="AB43541" s="38"/>
    </row>
    <row r="43542">
      <c r="P43542" s="42"/>
      <c r="AB43542" s="38"/>
    </row>
    <row r="43543">
      <c r="P43543" s="42"/>
      <c r="AB43543" s="38"/>
    </row>
    <row r="43544">
      <c r="P43544" s="42"/>
      <c r="AB43544" s="38"/>
    </row>
    <row r="43545">
      <c r="P43545" s="42"/>
      <c r="AB43545" s="38"/>
    </row>
    <row r="43546">
      <c r="P43546" s="42"/>
      <c r="AB43546" s="38"/>
    </row>
    <row r="43547">
      <c r="P43547" s="42"/>
      <c r="AB43547" s="38"/>
    </row>
    <row r="43548">
      <c r="P43548" s="42"/>
      <c r="AB43548" s="38"/>
    </row>
    <row r="43549">
      <c r="P43549" s="42"/>
      <c r="AB43549" s="38"/>
    </row>
    <row r="43550">
      <c r="P43550" s="42"/>
      <c r="AB43550" s="38"/>
    </row>
    <row r="43551">
      <c r="P43551" s="42"/>
      <c r="AB43551" s="38"/>
    </row>
    <row r="43552">
      <c r="P43552" s="42"/>
      <c r="AB43552" s="38"/>
    </row>
    <row r="43553">
      <c r="P43553" s="42"/>
      <c r="AB43553" s="38"/>
    </row>
    <row r="43554">
      <c r="P43554" s="42"/>
      <c r="AB43554" s="38"/>
    </row>
    <row r="43555">
      <c r="P43555" s="42"/>
      <c r="AB43555" s="38"/>
    </row>
    <row r="43556">
      <c r="P43556" s="42"/>
      <c r="AB43556" s="38"/>
    </row>
    <row r="43557">
      <c r="P43557" s="42"/>
      <c r="AB43557" s="38"/>
    </row>
    <row r="43558">
      <c r="P43558" s="42"/>
      <c r="AB43558" s="38"/>
    </row>
    <row r="43559">
      <c r="P43559" s="42"/>
      <c r="AB43559" s="38"/>
    </row>
    <row r="43560">
      <c r="P43560" s="42"/>
      <c r="AB43560" s="38"/>
    </row>
    <row r="43561">
      <c r="P43561" s="42"/>
      <c r="AB43561" s="38"/>
    </row>
    <row r="43562">
      <c r="P43562" s="42"/>
      <c r="AB43562" s="38"/>
    </row>
    <row r="43563">
      <c r="P43563" s="42"/>
      <c r="AB43563" s="38"/>
    </row>
    <row r="43564">
      <c r="P43564" s="42"/>
      <c r="AB43564" s="38"/>
    </row>
    <row r="43565">
      <c r="P43565" s="42"/>
      <c r="AB43565" s="38"/>
    </row>
    <row r="43566">
      <c r="P43566" s="42"/>
      <c r="AB43566" s="38"/>
    </row>
    <row r="43567">
      <c r="P43567" s="42"/>
      <c r="AB43567" s="38"/>
    </row>
    <row r="43568">
      <c r="P43568" s="42"/>
      <c r="AB43568" s="38"/>
    </row>
    <row r="43569">
      <c r="P43569" s="42"/>
      <c r="AB43569" s="38"/>
    </row>
    <row r="43570">
      <c r="P43570" s="42"/>
      <c r="AB43570" s="38"/>
    </row>
    <row r="43571">
      <c r="P43571" s="42"/>
      <c r="AB43571" s="38"/>
    </row>
    <row r="43572">
      <c r="P43572" s="42"/>
      <c r="AB43572" s="38"/>
    </row>
    <row r="43573">
      <c r="P43573" s="42"/>
      <c r="AB43573" s="38"/>
    </row>
    <row r="43574">
      <c r="P43574" s="42"/>
      <c r="AB43574" s="38"/>
    </row>
    <row r="43575">
      <c r="P43575" s="42"/>
      <c r="AB43575" s="38"/>
    </row>
    <row r="43576">
      <c r="P43576" s="42"/>
      <c r="AB43576" s="38"/>
    </row>
    <row r="43577">
      <c r="P43577" s="42"/>
      <c r="AB43577" s="38"/>
    </row>
    <row r="43578">
      <c r="P43578" s="42"/>
      <c r="AB43578" s="38"/>
    </row>
    <row r="43579">
      <c r="P43579" s="42"/>
      <c r="AB43579" s="38"/>
    </row>
    <row r="43580">
      <c r="P43580" s="42"/>
      <c r="AB43580" s="38"/>
    </row>
    <row r="43581">
      <c r="P43581" s="42"/>
      <c r="AB43581" s="38"/>
    </row>
    <row r="43582">
      <c r="P43582" s="42"/>
      <c r="AB43582" s="38"/>
    </row>
    <row r="43583">
      <c r="P43583" s="42"/>
      <c r="AB43583" s="38"/>
    </row>
    <row r="43584">
      <c r="P43584" s="42"/>
      <c r="AB43584" s="38"/>
    </row>
    <row r="43585">
      <c r="P43585" s="42"/>
      <c r="AB43585" s="38"/>
    </row>
    <row r="43586">
      <c r="P43586" s="42"/>
      <c r="AB43586" s="38"/>
    </row>
    <row r="43587">
      <c r="P43587" s="42"/>
      <c r="AB43587" s="38"/>
    </row>
    <row r="43588">
      <c r="P43588" s="42"/>
      <c r="AB43588" s="38"/>
    </row>
    <row r="43589">
      <c r="P43589" s="42"/>
      <c r="AB43589" s="38"/>
    </row>
    <row r="43590">
      <c r="P43590" s="42"/>
      <c r="AB43590" s="38"/>
    </row>
    <row r="43591">
      <c r="P43591" s="42"/>
      <c r="AB43591" s="38"/>
    </row>
    <row r="43592">
      <c r="P43592" s="42"/>
      <c r="AB43592" s="38"/>
    </row>
    <row r="43593">
      <c r="P43593" s="42"/>
      <c r="AB43593" s="38"/>
    </row>
    <row r="43594">
      <c r="P43594" s="42"/>
      <c r="AB43594" s="38"/>
    </row>
    <row r="43595">
      <c r="P43595" s="42"/>
      <c r="AB43595" s="38"/>
    </row>
    <row r="43596">
      <c r="P43596" s="42"/>
      <c r="AB43596" s="38"/>
    </row>
    <row r="43597">
      <c r="P43597" s="42"/>
      <c r="AB43597" s="38"/>
    </row>
    <row r="43598">
      <c r="P43598" s="42"/>
      <c r="AB43598" s="38"/>
    </row>
    <row r="43599">
      <c r="P43599" s="42"/>
      <c r="AB43599" s="38"/>
    </row>
    <row r="43600">
      <c r="P43600" s="42"/>
      <c r="AB43600" s="38"/>
    </row>
    <row r="43601">
      <c r="P43601" s="42"/>
      <c r="AB43601" s="38"/>
    </row>
    <row r="43602">
      <c r="P43602" s="42"/>
      <c r="AB43602" s="38"/>
    </row>
    <row r="43603">
      <c r="P43603" s="42"/>
      <c r="AB43603" s="38"/>
    </row>
    <row r="43604">
      <c r="P43604" s="42"/>
      <c r="AB43604" s="38"/>
    </row>
    <row r="43605">
      <c r="P43605" s="42"/>
      <c r="AB43605" s="38"/>
    </row>
    <row r="43606">
      <c r="P43606" s="42"/>
      <c r="AB43606" s="38"/>
    </row>
    <row r="43607">
      <c r="P43607" s="42"/>
      <c r="AB43607" s="38"/>
    </row>
    <row r="43608">
      <c r="P43608" s="42"/>
      <c r="AB43608" s="38"/>
    </row>
    <row r="43609">
      <c r="P43609" s="42"/>
      <c r="AB43609" s="38"/>
    </row>
    <row r="43610">
      <c r="P43610" s="42"/>
      <c r="AB43610" s="38"/>
    </row>
    <row r="43611">
      <c r="P43611" s="42"/>
      <c r="AB43611" s="38"/>
    </row>
    <row r="43612">
      <c r="P43612" s="42"/>
      <c r="AB43612" s="38"/>
    </row>
    <row r="43613">
      <c r="P43613" s="42"/>
      <c r="AB43613" s="38"/>
    </row>
    <row r="43614">
      <c r="P43614" s="42"/>
      <c r="AB43614" s="38"/>
    </row>
    <row r="43615">
      <c r="P43615" s="42"/>
      <c r="AB43615" s="38"/>
    </row>
    <row r="43616">
      <c r="P43616" s="42"/>
      <c r="AB43616" s="38"/>
    </row>
    <row r="43617">
      <c r="P43617" s="42"/>
      <c r="AB43617" s="38"/>
    </row>
    <row r="43618">
      <c r="P43618" s="42"/>
      <c r="AB43618" s="38"/>
    </row>
    <row r="43619">
      <c r="P43619" s="42"/>
      <c r="AB43619" s="38"/>
    </row>
    <row r="43620">
      <c r="P43620" s="42"/>
      <c r="AB43620" s="38"/>
    </row>
    <row r="43621">
      <c r="P43621" s="42"/>
      <c r="AB43621" s="38"/>
    </row>
    <row r="43622">
      <c r="P43622" s="42"/>
      <c r="AB43622" s="38"/>
    </row>
    <row r="43623">
      <c r="P43623" s="42"/>
      <c r="AB43623" s="38"/>
    </row>
    <row r="43624">
      <c r="P43624" s="42"/>
      <c r="AB43624" s="38"/>
    </row>
    <row r="43625">
      <c r="P43625" s="42"/>
      <c r="AB43625" s="38"/>
    </row>
    <row r="43626">
      <c r="P43626" s="42"/>
      <c r="AB43626" s="38"/>
    </row>
    <row r="43627">
      <c r="P43627" s="42"/>
      <c r="AB43627" s="38"/>
    </row>
    <row r="43628">
      <c r="P43628" s="42"/>
      <c r="AB43628" s="38"/>
    </row>
    <row r="43629">
      <c r="P43629" s="42"/>
      <c r="AB43629" s="38"/>
    </row>
    <row r="43630">
      <c r="P43630" s="42"/>
      <c r="AB43630" s="38"/>
    </row>
    <row r="43631">
      <c r="P43631" s="42"/>
      <c r="AB43631" s="38"/>
    </row>
    <row r="43632">
      <c r="P43632" s="42"/>
      <c r="AB43632" s="38"/>
    </row>
    <row r="43633">
      <c r="P43633" s="42"/>
      <c r="AB43633" s="38"/>
    </row>
    <row r="43634">
      <c r="P43634" s="42"/>
      <c r="AB43634" s="38"/>
    </row>
    <row r="43635">
      <c r="P43635" s="42"/>
      <c r="AB43635" s="38"/>
    </row>
    <row r="43636">
      <c r="P43636" s="42"/>
      <c r="AB43636" s="38"/>
    </row>
    <row r="43637">
      <c r="P43637" s="42"/>
      <c r="AB43637" s="38"/>
    </row>
    <row r="43638">
      <c r="P43638" s="42"/>
      <c r="AB43638" s="38"/>
    </row>
    <row r="43639">
      <c r="P43639" s="42"/>
      <c r="AB43639" s="38"/>
    </row>
    <row r="43640">
      <c r="P43640" s="42"/>
      <c r="AB43640" s="38"/>
    </row>
    <row r="43641">
      <c r="P43641" s="42"/>
      <c r="AB43641" s="38"/>
    </row>
    <row r="43642">
      <c r="P43642" s="42"/>
      <c r="AB43642" s="38"/>
    </row>
    <row r="43643">
      <c r="P43643" s="42"/>
      <c r="AB43643" s="38"/>
    </row>
    <row r="43644">
      <c r="P43644" s="42"/>
      <c r="AB43644" s="38"/>
    </row>
    <row r="43645">
      <c r="P43645" s="42"/>
      <c r="AB43645" s="38"/>
    </row>
    <row r="43646">
      <c r="P43646" s="42"/>
      <c r="AB43646" s="38"/>
    </row>
    <row r="43647">
      <c r="P43647" s="42"/>
      <c r="AB43647" s="38"/>
    </row>
    <row r="43648">
      <c r="P43648" s="42"/>
      <c r="AB43648" s="38"/>
    </row>
    <row r="43649">
      <c r="P43649" s="42"/>
      <c r="AB43649" s="38"/>
    </row>
    <row r="43650">
      <c r="P43650" s="42"/>
      <c r="AB43650" s="38"/>
    </row>
    <row r="43651">
      <c r="P43651" s="42"/>
      <c r="AB43651" s="38"/>
    </row>
    <row r="43652">
      <c r="P43652" s="42"/>
      <c r="AB43652" s="38"/>
    </row>
    <row r="43653">
      <c r="P43653" s="42"/>
      <c r="AB43653" s="38"/>
    </row>
    <row r="43654">
      <c r="P43654" s="42"/>
      <c r="AB43654" s="38"/>
    </row>
    <row r="43655">
      <c r="P43655" s="42"/>
      <c r="AB43655" s="38"/>
    </row>
    <row r="43656">
      <c r="P43656" s="42"/>
      <c r="AB43656" s="38"/>
    </row>
    <row r="43657">
      <c r="P43657" s="42"/>
      <c r="AB43657" s="38"/>
    </row>
    <row r="43658">
      <c r="P43658" s="42"/>
      <c r="AB43658" s="38"/>
    </row>
    <row r="43659">
      <c r="P43659" s="42"/>
      <c r="AB43659" s="38"/>
    </row>
    <row r="43660">
      <c r="P43660" s="42"/>
      <c r="AB43660" s="38"/>
    </row>
    <row r="43661">
      <c r="P43661" s="42"/>
      <c r="AB43661" s="38"/>
    </row>
    <row r="43662">
      <c r="P43662" s="42"/>
      <c r="AB43662" s="38"/>
    </row>
    <row r="43663">
      <c r="P43663" s="42"/>
      <c r="AB43663" s="38"/>
    </row>
    <row r="43664">
      <c r="P43664" s="42"/>
      <c r="AB43664" s="38"/>
    </row>
    <row r="43665">
      <c r="P43665" s="42"/>
      <c r="AB43665" s="38"/>
    </row>
    <row r="43666">
      <c r="P43666" s="42"/>
      <c r="AB43666" s="38"/>
    </row>
    <row r="43667">
      <c r="P43667" s="42"/>
      <c r="AB43667" s="38"/>
    </row>
    <row r="43668">
      <c r="P43668" s="42"/>
      <c r="AB43668" s="38"/>
    </row>
    <row r="43669">
      <c r="P43669" s="42"/>
      <c r="AB43669" s="38"/>
    </row>
    <row r="43670">
      <c r="P43670" s="42"/>
      <c r="AB43670" s="38"/>
    </row>
    <row r="43671">
      <c r="P43671" s="42"/>
      <c r="AB43671" s="38"/>
    </row>
    <row r="43672">
      <c r="P43672" s="42"/>
      <c r="AB43672" s="38"/>
    </row>
    <row r="43673">
      <c r="P43673" s="42"/>
      <c r="AB43673" s="38"/>
    </row>
    <row r="43674">
      <c r="P43674" s="42"/>
      <c r="AB43674" s="38"/>
    </row>
    <row r="43675">
      <c r="P43675" s="42"/>
      <c r="AB43675" s="38"/>
    </row>
    <row r="43676">
      <c r="P43676" s="42"/>
      <c r="AB43676" s="38"/>
    </row>
    <row r="43677">
      <c r="P43677" s="42"/>
      <c r="AB43677" s="38"/>
    </row>
    <row r="43678">
      <c r="P43678" s="42"/>
      <c r="AB43678" s="38"/>
    </row>
    <row r="43679">
      <c r="P43679" s="42"/>
      <c r="AB43679" s="38"/>
    </row>
    <row r="43680">
      <c r="P43680" s="42"/>
      <c r="AB43680" s="38"/>
    </row>
    <row r="43681">
      <c r="P43681" s="42"/>
      <c r="AB43681" s="38"/>
    </row>
    <row r="43682">
      <c r="P43682" s="42"/>
      <c r="AB43682" s="38"/>
    </row>
    <row r="43683">
      <c r="P43683" s="42"/>
      <c r="AB43683" s="38"/>
    </row>
    <row r="43684">
      <c r="P43684" s="42"/>
      <c r="AB43684" s="38"/>
    </row>
    <row r="43685">
      <c r="P43685" s="42"/>
      <c r="AB43685" s="38"/>
    </row>
    <row r="43686">
      <c r="P43686" s="42"/>
      <c r="AB43686" s="38"/>
    </row>
    <row r="43687">
      <c r="P43687" s="42"/>
      <c r="AB43687" s="38"/>
    </row>
    <row r="43688">
      <c r="P43688" s="42"/>
      <c r="AB43688" s="38"/>
    </row>
    <row r="43689">
      <c r="P43689" s="42"/>
      <c r="AB43689" s="38"/>
    </row>
    <row r="43690">
      <c r="P43690" s="42"/>
      <c r="AB43690" s="38"/>
    </row>
    <row r="43691">
      <c r="P43691" s="42"/>
      <c r="AB43691" s="38"/>
    </row>
    <row r="43692">
      <c r="P43692" s="42"/>
      <c r="AB43692" s="38"/>
    </row>
    <row r="43693">
      <c r="P43693" s="42"/>
      <c r="AB43693" s="38"/>
    </row>
    <row r="43694">
      <c r="P43694" s="42"/>
      <c r="AB43694" s="38"/>
    </row>
    <row r="43695">
      <c r="P43695" s="42"/>
      <c r="AB43695" s="38"/>
    </row>
    <row r="43696">
      <c r="P43696" s="42"/>
      <c r="AB43696" s="38"/>
    </row>
    <row r="43697">
      <c r="P43697" s="42"/>
      <c r="AB43697" s="38"/>
    </row>
    <row r="43698">
      <c r="P43698" s="42"/>
      <c r="AB43698" s="38"/>
    </row>
    <row r="43699">
      <c r="P43699" s="42"/>
      <c r="AB43699" s="38"/>
    </row>
    <row r="43700">
      <c r="P43700" s="42"/>
      <c r="AB43700" s="38"/>
    </row>
    <row r="43701">
      <c r="P43701" s="42"/>
      <c r="AB43701" s="38"/>
    </row>
    <row r="43702">
      <c r="P43702" s="42"/>
      <c r="AB43702" s="38"/>
    </row>
    <row r="43703">
      <c r="P43703" s="42"/>
      <c r="AB43703" s="38"/>
    </row>
    <row r="43704">
      <c r="P43704" s="42"/>
      <c r="AB43704" s="38"/>
    </row>
    <row r="43705">
      <c r="P43705" s="42"/>
      <c r="AB43705" s="38"/>
    </row>
    <row r="43706">
      <c r="P43706" s="42"/>
      <c r="AB43706" s="38"/>
    </row>
    <row r="43707">
      <c r="P43707" s="42"/>
      <c r="AB43707" s="38"/>
    </row>
    <row r="43708">
      <c r="P43708" s="42"/>
      <c r="AB43708" s="38"/>
    </row>
    <row r="43709">
      <c r="P43709" s="42"/>
      <c r="AB43709" s="38"/>
    </row>
    <row r="43710">
      <c r="P43710" s="42"/>
      <c r="AB43710" s="38"/>
    </row>
    <row r="43711">
      <c r="P43711" s="42"/>
      <c r="AB43711" s="38"/>
    </row>
    <row r="43712">
      <c r="P43712" s="42"/>
      <c r="AB43712" s="38"/>
    </row>
    <row r="43713">
      <c r="P43713" s="42"/>
      <c r="AB43713" s="38"/>
    </row>
    <row r="43714">
      <c r="P43714" s="42"/>
      <c r="AB43714" s="38"/>
    </row>
    <row r="43715">
      <c r="P43715" s="42"/>
      <c r="AB43715" s="38"/>
    </row>
    <row r="43716">
      <c r="P43716" s="42"/>
      <c r="AB43716" s="38"/>
    </row>
    <row r="43717">
      <c r="P43717" s="42"/>
      <c r="AB43717" s="38"/>
    </row>
    <row r="43718">
      <c r="P43718" s="42"/>
      <c r="AB43718" s="38"/>
    </row>
    <row r="43719">
      <c r="P43719" s="42"/>
      <c r="AB43719" s="38"/>
    </row>
    <row r="43720">
      <c r="P43720" s="42"/>
      <c r="AB43720" s="38"/>
    </row>
    <row r="43721">
      <c r="P43721" s="42"/>
      <c r="AB43721" s="38"/>
    </row>
    <row r="43722">
      <c r="P43722" s="42"/>
      <c r="AB43722" s="38"/>
    </row>
    <row r="43723">
      <c r="P43723" s="42"/>
      <c r="AB43723" s="38"/>
    </row>
    <row r="43724">
      <c r="P43724" s="42"/>
      <c r="AB43724" s="38"/>
    </row>
    <row r="43725">
      <c r="P43725" s="42"/>
      <c r="AB43725" s="38"/>
    </row>
    <row r="43726">
      <c r="P43726" s="42"/>
      <c r="AB43726" s="38"/>
    </row>
    <row r="43727">
      <c r="P43727" s="42"/>
      <c r="AB43727" s="38"/>
    </row>
    <row r="43728">
      <c r="P43728" s="42"/>
      <c r="AB43728" s="38"/>
    </row>
    <row r="43729">
      <c r="P43729" s="42"/>
      <c r="AB43729" s="38"/>
    </row>
    <row r="43730">
      <c r="P43730" s="42"/>
      <c r="AB43730" s="38"/>
    </row>
    <row r="43731">
      <c r="P43731" s="42"/>
      <c r="AB43731" s="38"/>
    </row>
    <row r="43732">
      <c r="P43732" s="42"/>
      <c r="AB43732" s="38"/>
    </row>
    <row r="43733">
      <c r="P43733" s="42"/>
      <c r="AB43733" s="38"/>
    </row>
    <row r="43734">
      <c r="P43734" s="42"/>
      <c r="AB43734" s="38"/>
    </row>
    <row r="43735">
      <c r="P43735" s="42"/>
      <c r="AB43735" s="38"/>
    </row>
    <row r="43736">
      <c r="P43736" s="42"/>
      <c r="AB43736" s="38"/>
    </row>
    <row r="43737">
      <c r="P43737" s="42"/>
      <c r="AB43737" s="38"/>
    </row>
    <row r="43738">
      <c r="P43738" s="42"/>
      <c r="AB43738" s="38"/>
    </row>
    <row r="43739">
      <c r="P43739" s="42"/>
      <c r="AB43739" s="38"/>
    </row>
    <row r="43740">
      <c r="P43740" s="42"/>
      <c r="AB43740" s="38"/>
    </row>
    <row r="43741">
      <c r="P43741" s="42"/>
      <c r="AB43741" s="38"/>
    </row>
    <row r="43742">
      <c r="P43742" s="42"/>
      <c r="AB43742" s="38"/>
    </row>
    <row r="43743">
      <c r="P43743" s="42"/>
      <c r="AB43743" s="38"/>
    </row>
    <row r="43744">
      <c r="P43744" s="42"/>
      <c r="AB43744" s="38"/>
    </row>
    <row r="43745">
      <c r="P43745" s="42"/>
      <c r="AB43745" s="38"/>
    </row>
    <row r="43746">
      <c r="P43746" s="42"/>
      <c r="AB43746" s="38"/>
    </row>
    <row r="43747">
      <c r="P43747" s="42"/>
      <c r="AB43747" s="38"/>
    </row>
    <row r="43748">
      <c r="P43748" s="42"/>
      <c r="AB43748" s="38"/>
    </row>
    <row r="43749">
      <c r="P43749" s="42"/>
      <c r="AB43749" s="38"/>
    </row>
    <row r="43750">
      <c r="P43750" s="42"/>
      <c r="AB43750" s="38"/>
    </row>
    <row r="43751">
      <c r="P43751" s="42"/>
      <c r="AB43751" s="38"/>
    </row>
    <row r="43752">
      <c r="P43752" s="42"/>
      <c r="AB43752" s="38"/>
    </row>
    <row r="43753">
      <c r="P43753" s="42"/>
      <c r="AB43753" s="38"/>
    </row>
    <row r="43754">
      <c r="P43754" s="42"/>
      <c r="AB43754" s="38"/>
    </row>
    <row r="43755">
      <c r="P43755" s="42"/>
      <c r="AB43755" s="38"/>
    </row>
    <row r="43756">
      <c r="P43756" s="42"/>
      <c r="AB43756" s="38"/>
    </row>
    <row r="43757">
      <c r="P43757" s="42"/>
      <c r="AB43757" s="38"/>
    </row>
    <row r="43758">
      <c r="P43758" s="42"/>
      <c r="AB43758" s="38"/>
    </row>
    <row r="43759">
      <c r="P43759" s="42"/>
      <c r="AB43759" s="38"/>
    </row>
    <row r="43760">
      <c r="P43760" s="42"/>
      <c r="AB43760" s="38"/>
    </row>
    <row r="43761">
      <c r="P43761" s="42"/>
      <c r="AB43761" s="38"/>
    </row>
    <row r="43762">
      <c r="P43762" s="42"/>
      <c r="AB43762" s="38"/>
    </row>
    <row r="43763">
      <c r="P43763" s="42"/>
      <c r="AB43763" s="38"/>
    </row>
    <row r="43764">
      <c r="P43764" s="42"/>
      <c r="AB43764" s="38"/>
    </row>
    <row r="43765">
      <c r="P43765" s="42"/>
      <c r="AB43765" s="38"/>
    </row>
    <row r="43766">
      <c r="P43766" s="42"/>
      <c r="AB43766" s="38"/>
    </row>
    <row r="43767">
      <c r="P43767" s="42"/>
      <c r="AB43767" s="38"/>
    </row>
    <row r="43768">
      <c r="P43768" s="42"/>
      <c r="AB43768" s="38"/>
    </row>
    <row r="43769">
      <c r="P43769" s="42"/>
      <c r="AB43769" s="38"/>
    </row>
    <row r="43770">
      <c r="P43770" s="42"/>
      <c r="AB43770" s="38"/>
    </row>
    <row r="43771">
      <c r="P43771" s="42"/>
      <c r="AB43771" s="38"/>
    </row>
    <row r="43772">
      <c r="P43772" s="42"/>
      <c r="AB43772" s="38"/>
    </row>
    <row r="43773">
      <c r="P43773" s="42"/>
      <c r="AB43773" s="38"/>
    </row>
    <row r="43774">
      <c r="P43774" s="42"/>
      <c r="AB43774" s="38"/>
    </row>
    <row r="43775">
      <c r="P43775" s="42"/>
      <c r="AB43775" s="38"/>
    </row>
    <row r="43776">
      <c r="P43776" s="42"/>
      <c r="AB43776" s="38"/>
    </row>
    <row r="43777">
      <c r="P43777" s="42"/>
      <c r="AB43777" s="38"/>
    </row>
    <row r="43778">
      <c r="P43778" s="42"/>
      <c r="AB43778" s="38"/>
    </row>
    <row r="43779">
      <c r="P43779" s="42"/>
      <c r="AB43779" s="38"/>
    </row>
    <row r="43780">
      <c r="P43780" s="42"/>
      <c r="AB43780" s="38"/>
    </row>
    <row r="43781">
      <c r="P43781" s="42"/>
      <c r="AB43781" s="38"/>
    </row>
    <row r="43782">
      <c r="P43782" s="42"/>
      <c r="AB43782" s="38"/>
    </row>
    <row r="43783">
      <c r="P43783" s="42"/>
      <c r="AB43783" s="38"/>
    </row>
    <row r="43784">
      <c r="P43784" s="42"/>
      <c r="AB43784" s="38"/>
    </row>
    <row r="43785">
      <c r="P43785" s="42"/>
      <c r="AB43785" s="38"/>
    </row>
    <row r="43786">
      <c r="P43786" s="42"/>
      <c r="AB43786" s="38"/>
    </row>
    <row r="43787">
      <c r="P43787" s="42"/>
      <c r="AB43787" s="38"/>
    </row>
    <row r="43788">
      <c r="P43788" s="42"/>
      <c r="AB43788" s="38"/>
    </row>
    <row r="43789">
      <c r="P43789" s="42"/>
      <c r="AB43789" s="38"/>
    </row>
    <row r="43790">
      <c r="P43790" s="42"/>
      <c r="AB43790" s="38"/>
    </row>
    <row r="43791">
      <c r="P43791" s="42"/>
      <c r="AB43791" s="38"/>
    </row>
    <row r="43792">
      <c r="P43792" s="42"/>
      <c r="AB43792" s="38"/>
    </row>
    <row r="43793">
      <c r="P43793" s="42"/>
      <c r="AB43793" s="38"/>
    </row>
    <row r="43794">
      <c r="P43794" s="42"/>
      <c r="AB43794" s="38"/>
    </row>
    <row r="43795">
      <c r="P43795" s="42"/>
      <c r="AB43795" s="38"/>
    </row>
    <row r="43796">
      <c r="P43796" s="42"/>
      <c r="AB43796" s="38"/>
    </row>
    <row r="43797">
      <c r="P43797" s="42"/>
      <c r="AB43797" s="38"/>
    </row>
    <row r="43798">
      <c r="P43798" s="42"/>
      <c r="AB43798" s="38"/>
    </row>
    <row r="43799">
      <c r="P43799" s="42"/>
      <c r="AB43799" s="38"/>
    </row>
    <row r="43800">
      <c r="P43800" s="42"/>
      <c r="AB43800" s="38"/>
    </row>
    <row r="43801">
      <c r="P43801" s="42"/>
      <c r="AB43801" s="38"/>
    </row>
    <row r="43802">
      <c r="P43802" s="42"/>
      <c r="AB43802" s="38"/>
    </row>
    <row r="43803">
      <c r="P43803" s="42"/>
      <c r="AB43803" s="38"/>
    </row>
    <row r="43804">
      <c r="P43804" s="42"/>
      <c r="AB43804" s="38"/>
    </row>
    <row r="43805">
      <c r="P43805" s="42"/>
      <c r="AB43805" s="38"/>
    </row>
    <row r="43806">
      <c r="P43806" s="42"/>
      <c r="AB43806" s="38"/>
    </row>
    <row r="43807">
      <c r="P43807" s="42"/>
      <c r="AB43807" s="38"/>
    </row>
    <row r="43808">
      <c r="P43808" s="42"/>
      <c r="AB43808" s="38"/>
    </row>
    <row r="43809">
      <c r="P43809" s="42"/>
      <c r="AB43809" s="38"/>
    </row>
    <row r="43810">
      <c r="P43810" s="42"/>
      <c r="AB43810" s="38"/>
    </row>
    <row r="43811">
      <c r="P43811" s="42"/>
      <c r="AB43811" s="38"/>
    </row>
    <row r="43812">
      <c r="P43812" s="42"/>
      <c r="AB43812" s="38"/>
    </row>
    <row r="43813">
      <c r="P43813" s="42"/>
      <c r="AB43813" s="38"/>
    </row>
    <row r="43814">
      <c r="P43814" s="42"/>
      <c r="AB43814" s="38"/>
    </row>
    <row r="43815">
      <c r="P43815" s="42"/>
      <c r="AB43815" s="38"/>
    </row>
    <row r="43816">
      <c r="P43816" s="42"/>
      <c r="AB43816" s="38"/>
    </row>
    <row r="43817">
      <c r="P43817" s="42"/>
      <c r="AB43817" s="38"/>
    </row>
    <row r="43818">
      <c r="P43818" s="42"/>
      <c r="AB43818" s="38"/>
    </row>
    <row r="43819">
      <c r="P43819" s="42"/>
      <c r="AB43819" s="38"/>
    </row>
    <row r="43820">
      <c r="P43820" s="42"/>
      <c r="AB43820" s="38"/>
    </row>
    <row r="43821">
      <c r="P43821" s="42"/>
      <c r="AB43821" s="38"/>
    </row>
    <row r="43822">
      <c r="P43822" s="42"/>
      <c r="AB43822" s="38"/>
    </row>
    <row r="43823">
      <c r="P43823" s="42"/>
      <c r="AB43823" s="38"/>
    </row>
    <row r="43824">
      <c r="P43824" s="42"/>
      <c r="AB43824" s="38"/>
    </row>
    <row r="43825">
      <c r="P43825" s="42"/>
      <c r="AB43825" s="38"/>
    </row>
    <row r="43826">
      <c r="P43826" s="42"/>
      <c r="AB43826" s="38"/>
    </row>
    <row r="43827">
      <c r="P43827" s="42"/>
      <c r="AB43827" s="38"/>
    </row>
    <row r="43828">
      <c r="P43828" s="42"/>
      <c r="AB43828" s="38"/>
    </row>
    <row r="43829">
      <c r="P43829" s="42"/>
      <c r="AB43829" s="38"/>
    </row>
    <row r="43830">
      <c r="P43830" s="42"/>
      <c r="AB43830" s="38"/>
    </row>
    <row r="43831">
      <c r="P43831" s="42"/>
      <c r="AB43831" s="38"/>
    </row>
    <row r="43832">
      <c r="P43832" s="42"/>
      <c r="AB43832" s="38"/>
    </row>
    <row r="43833">
      <c r="P43833" s="42"/>
      <c r="AB43833" s="38"/>
    </row>
    <row r="43834">
      <c r="P43834" s="42"/>
      <c r="AB43834" s="38"/>
    </row>
    <row r="43835">
      <c r="P43835" s="42"/>
      <c r="AB43835" s="38"/>
    </row>
    <row r="43836">
      <c r="P43836" s="42"/>
      <c r="AB43836" s="38"/>
    </row>
    <row r="43837">
      <c r="P43837" s="42"/>
      <c r="AB43837" s="38"/>
    </row>
    <row r="43838">
      <c r="P43838" s="42"/>
      <c r="AB43838" s="38"/>
    </row>
    <row r="43839">
      <c r="P43839" s="42"/>
      <c r="AB43839" s="38"/>
    </row>
    <row r="43840">
      <c r="P43840" s="42"/>
      <c r="AB43840" s="38"/>
    </row>
    <row r="43841">
      <c r="P43841" s="42"/>
      <c r="AB43841" s="38"/>
    </row>
    <row r="43842">
      <c r="P43842" s="42"/>
      <c r="AB43842" s="38"/>
    </row>
    <row r="43843">
      <c r="P43843" s="42"/>
      <c r="AB43843" s="38"/>
    </row>
    <row r="43844">
      <c r="P43844" s="42"/>
      <c r="AB43844" s="38"/>
    </row>
    <row r="43845">
      <c r="P43845" s="42"/>
      <c r="AB43845" s="38"/>
    </row>
    <row r="43846">
      <c r="P43846" s="42"/>
      <c r="AB43846" s="38"/>
    </row>
    <row r="43847">
      <c r="P43847" s="42"/>
      <c r="AB43847" s="38"/>
    </row>
    <row r="43848">
      <c r="P43848" s="42"/>
      <c r="AB43848" s="38"/>
    </row>
    <row r="43849">
      <c r="P43849" s="42"/>
      <c r="AB43849" s="38"/>
    </row>
    <row r="43850">
      <c r="P43850" s="42"/>
      <c r="AB43850" s="38"/>
    </row>
    <row r="43851">
      <c r="P43851" s="42"/>
      <c r="AB43851" s="38"/>
    </row>
    <row r="43852">
      <c r="P43852" s="42"/>
      <c r="AB43852" s="38"/>
    </row>
    <row r="43853">
      <c r="P43853" s="42"/>
      <c r="AB43853" s="38"/>
    </row>
    <row r="43854">
      <c r="P43854" s="42"/>
      <c r="AB43854" s="38"/>
    </row>
    <row r="43855">
      <c r="P43855" s="42"/>
      <c r="AB43855" s="38"/>
    </row>
    <row r="43856">
      <c r="P43856" s="42"/>
      <c r="AB43856" s="38"/>
    </row>
    <row r="43857">
      <c r="P43857" s="42"/>
      <c r="AB43857" s="38"/>
    </row>
    <row r="43858">
      <c r="P43858" s="42"/>
      <c r="AB43858" s="38"/>
    </row>
    <row r="43859">
      <c r="P43859" s="42"/>
      <c r="AB43859" s="38"/>
    </row>
    <row r="43860">
      <c r="P43860" s="42"/>
      <c r="AB43860" s="38"/>
    </row>
    <row r="43861">
      <c r="P43861" s="42"/>
      <c r="AB43861" s="38"/>
    </row>
    <row r="43862">
      <c r="P43862" s="42"/>
      <c r="AB43862" s="38"/>
    </row>
    <row r="43863">
      <c r="P43863" s="42"/>
      <c r="AB43863" s="38"/>
    </row>
    <row r="43864">
      <c r="P43864" s="42"/>
      <c r="AB43864" s="38"/>
    </row>
    <row r="43865">
      <c r="P43865" s="42"/>
      <c r="AB43865" s="38"/>
    </row>
    <row r="43866">
      <c r="P43866" s="42"/>
      <c r="AB43866" s="38"/>
    </row>
    <row r="43867">
      <c r="P43867" s="42"/>
      <c r="AB43867" s="38"/>
    </row>
    <row r="43868">
      <c r="P43868" s="42"/>
      <c r="AB43868" s="38"/>
    </row>
    <row r="43869">
      <c r="P43869" s="42"/>
      <c r="AB43869" s="38"/>
    </row>
    <row r="43870">
      <c r="P43870" s="42"/>
      <c r="AB43870" s="38"/>
    </row>
    <row r="43871">
      <c r="P43871" s="42"/>
      <c r="AB43871" s="38"/>
    </row>
    <row r="43872">
      <c r="P43872" s="42"/>
      <c r="AB43872" s="38"/>
    </row>
    <row r="43873">
      <c r="P43873" s="42"/>
      <c r="AB43873" s="38"/>
    </row>
    <row r="43874">
      <c r="P43874" s="42"/>
      <c r="AB43874" s="38"/>
    </row>
    <row r="43875">
      <c r="P43875" s="42"/>
      <c r="AB43875" s="38"/>
    </row>
    <row r="43876">
      <c r="P43876" s="42"/>
      <c r="AB43876" s="38"/>
    </row>
    <row r="43877">
      <c r="P43877" s="42"/>
      <c r="AB43877" s="38"/>
    </row>
    <row r="43878">
      <c r="P43878" s="42"/>
      <c r="AB43878" s="38"/>
    </row>
    <row r="43879">
      <c r="P43879" s="42"/>
      <c r="AB43879" s="38"/>
    </row>
    <row r="43880">
      <c r="P43880" s="42"/>
      <c r="AB43880" s="38"/>
    </row>
    <row r="43881">
      <c r="P43881" s="42"/>
      <c r="AB43881" s="38"/>
    </row>
    <row r="43882">
      <c r="P43882" s="42"/>
      <c r="AB43882" s="38"/>
    </row>
    <row r="43883">
      <c r="P43883" s="42"/>
      <c r="AB43883" s="38"/>
    </row>
    <row r="43884">
      <c r="P43884" s="42"/>
      <c r="AB43884" s="38"/>
    </row>
    <row r="43885">
      <c r="P43885" s="42"/>
      <c r="AB43885" s="38"/>
    </row>
    <row r="43886">
      <c r="P43886" s="42"/>
      <c r="AB43886" s="38"/>
    </row>
    <row r="43887">
      <c r="P43887" s="42"/>
      <c r="AB43887" s="38"/>
    </row>
    <row r="43888">
      <c r="P43888" s="42"/>
      <c r="AB43888" s="38"/>
    </row>
    <row r="43889">
      <c r="P43889" s="42"/>
      <c r="AB43889" s="38"/>
    </row>
    <row r="43890">
      <c r="P43890" s="42"/>
      <c r="AB43890" s="38"/>
    </row>
    <row r="43891">
      <c r="P43891" s="42"/>
      <c r="AB43891" s="38"/>
    </row>
    <row r="43892">
      <c r="P43892" s="42"/>
      <c r="AB43892" s="38"/>
    </row>
    <row r="43893">
      <c r="P43893" s="42"/>
      <c r="AB43893" s="38"/>
    </row>
    <row r="43894">
      <c r="P43894" s="42"/>
      <c r="AB43894" s="38"/>
    </row>
    <row r="43895">
      <c r="P43895" s="42"/>
      <c r="AB43895" s="38"/>
    </row>
    <row r="43896">
      <c r="P43896" s="42"/>
      <c r="AB43896" s="38"/>
    </row>
    <row r="43897">
      <c r="P43897" s="42"/>
      <c r="AB43897" s="38"/>
    </row>
    <row r="43898">
      <c r="P43898" s="42"/>
      <c r="AB43898" s="38"/>
    </row>
    <row r="43899">
      <c r="P43899" s="42"/>
      <c r="AB43899" s="38"/>
    </row>
    <row r="43900">
      <c r="P43900" s="42"/>
      <c r="AB43900" s="38"/>
    </row>
    <row r="43901">
      <c r="P43901" s="42"/>
      <c r="AB43901" s="38"/>
    </row>
    <row r="43902">
      <c r="P43902" s="42"/>
      <c r="AB43902" s="38"/>
    </row>
    <row r="43903">
      <c r="P43903" s="42"/>
      <c r="AB43903" s="38"/>
    </row>
    <row r="43904">
      <c r="P43904" s="42"/>
      <c r="AB43904" s="38"/>
    </row>
    <row r="43905">
      <c r="P43905" s="42"/>
      <c r="AB43905" s="38"/>
    </row>
    <row r="43906">
      <c r="P43906" s="42"/>
      <c r="AB43906" s="38"/>
    </row>
    <row r="43907">
      <c r="P43907" s="42"/>
      <c r="AB43907" s="38"/>
    </row>
    <row r="43908">
      <c r="P43908" s="42"/>
      <c r="AB43908" s="38"/>
    </row>
    <row r="43909">
      <c r="P43909" s="42"/>
      <c r="AB43909" s="38"/>
    </row>
    <row r="43910">
      <c r="P43910" s="42"/>
      <c r="AB43910" s="38"/>
    </row>
    <row r="43911">
      <c r="P43911" s="42"/>
      <c r="AB43911" s="38"/>
    </row>
    <row r="43912">
      <c r="P43912" s="42"/>
      <c r="AB43912" s="38"/>
    </row>
    <row r="43913">
      <c r="P43913" s="42"/>
      <c r="AB43913" s="38"/>
    </row>
    <row r="43914">
      <c r="P43914" s="42"/>
      <c r="AB43914" s="38"/>
    </row>
    <row r="43915">
      <c r="P43915" s="42"/>
      <c r="AB43915" s="38"/>
    </row>
    <row r="43916">
      <c r="P43916" s="42"/>
      <c r="AB43916" s="38"/>
    </row>
    <row r="43917">
      <c r="P43917" s="42"/>
      <c r="AB43917" s="38"/>
    </row>
    <row r="43918">
      <c r="P43918" s="42"/>
      <c r="AB43918" s="38"/>
    </row>
    <row r="43919">
      <c r="P43919" s="42"/>
      <c r="AB43919" s="38"/>
    </row>
    <row r="43920">
      <c r="P43920" s="42"/>
      <c r="AB43920" s="38"/>
    </row>
    <row r="43921">
      <c r="P43921" s="42"/>
      <c r="AB43921" s="38"/>
    </row>
    <row r="43922">
      <c r="P43922" s="42"/>
      <c r="AB43922" s="38"/>
    </row>
    <row r="43923">
      <c r="P43923" s="42"/>
      <c r="AB43923" s="38"/>
    </row>
    <row r="43924">
      <c r="P43924" s="42"/>
      <c r="AB43924" s="38"/>
    </row>
    <row r="43925">
      <c r="P43925" s="42"/>
      <c r="AB43925" s="38"/>
    </row>
    <row r="43926">
      <c r="P43926" s="42"/>
      <c r="AB43926" s="38"/>
    </row>
    <row r="43927">
      <c r="P43927" s="42"/>
      <c r="AB43927" s="38"/>
    </row>
    <row r="43928">
      <c r="P43928" s="42"/>
      <c r="AB43928" s="38"/>
    </row>
    <row r="43929">
      <c r="P43929" s="42"/>
      <c r="AB43929" s="38"/>
    </row>
    <row r="43930">
      <c r="P43930" s="42"/>
      <c r="AB43930" s="38"/>
    </row>
    <row r="43931">
      <c r="P43931" s="42"/>
      <c r="AB43931" s="38"/>
    </row>
    <row r="43932">
      <c r="P43932" s="42"/>
      <c r="AB43932" s="38"/>
    </row>
    <row r="43933">
      <c r="P43933" s="42"/>
      <c r="AB43933" s="38"/>
    </row>
    <row r="43934">
      <c r="P43934" s="42"/>
      <c r="AB43934" s="38"/>
    </row>
    <row r="43935">
      <c r="P43935" s="42"/>
      <c r="AB43935" s="38"/>
    </row>
    <row r="43936">
      <c r="P43936" s="42"/>
      <c r="AB43936" s="38"/>
    </row>
    <row r="43937">
      <c r="P43937" s="42"/>
      <c r="AB43937" s="38"/>
    </row>
    <row r="43938">
      <c r="P43938" s="42"/>
      <c r="AB43938" s="38"/>
    </row>
    <row r="43939">
      <c r="P43939" s="42"/>
      <c r="AB43939" s="38"/>
    </row>
    <row r="43940">
      <c r="P43940" s="42"/>
      <c r="AB43940" s="38"/>
    </row>
    <row r="43941">
      <c r="P43941" s="42"/>
      <c r="AB43941" s="38"/>
    </row>
    <row r="43942">
      <c r="P43942" s="42"/>
      <c r="AB43942" s="38"/>
    </row>
    <row r="43943">
      <c r="P43943" s="42"/>
      <c r="AB43943" s="38"/>
    </row>
    <row r="43944">
      <c r="P43944" s="42"/>
      <c r="AB43944" s="38"/>
    </row>
    <row r="43945">
      <c r="P43945" s="42"/>
      <c r="AB43945" s="38"/>
    </row>
    <row r="43946">
      <c r="P43946" s="42"/>
      <c r="AB43946" s="38"/>
    </row>
    <row r="43947">
      <c r="P43947" s="42"/>
      <c r="AB43947" s="38"/>
    </row>
    <row r="43948">
      <c r="P43948" s="42"/>
      <c r="AB43948" s="38"/>
    </row>
    <row r="43949">
      <c r="P43949" s="42"/>
      <c r="AB43949" s="38"/>
    </row>
    <row r="43950">
      <c r="P43950" s="42"/>
      <c r="AB43950" s="38"/>
    </row>
    <row r="43951">
      <c r="P43951" s="42"/>
      <c r="AB43951" s="38"/>
    </row>
    <row r="43952">
      <c r="P43952" s="42"/>
      <c r="AB43952" s="38"/>
    </row>
    <row r="43953">
      <c r="P43953" s="42"/>
      <c r="AB43953" s="38"/>
    </row>
    <row r="43954">
      <c r="P43954" s="42"/>
      <c r="AB43954" s="38"/>
    </row>
    <row r="43955">
      <c r="P43955" s="42"/>
      <c r="AB43955" s="38"/>
    </row>
    <row r="43956">
      <c r="P43956" s="42"/>
      <c r="AB43956" s="38"/>
    </row>
    <row r="43957">
      <c r="P43957" s="42"/>
      <c r="AB43957" s="38"/>
    </row>
    <row r="43958">
      <c r="P43958" s="42"/>
      <c r="AB43958" s="38"/>
    </row>
    <row r="43959">
      <c r="P43959" s="42"/>
      <c r="AB43959" s="38"/>
    </row>
    <row r="43960">
      <c r="P43960" s="42"/>
      <c r="AB43960" s="38"/>
    </row>
    <row r="43961">
      <c r="P43961" s="42"/>
      <c r="AB43961" s="38"/>
    </row>
    <row r="43962">
      <c r="P43962" s="42"/>
      <c r="AB43962" s="38"/>
    </row>
    <row r="43963">
      <c r="P43963" s="42"/>
      <c r="AB43963" s="38"/>
    </row>
    <row r="43964">
      <c r="P43964" s="42"/>
      <c r="AB43964" s="38"/>
    </row>
    <row r="43965">
      <c r="P43965" s="42"/>
      <c r="AB43965" s="38"/>
    </row>
    <row r="43966">
      <c r="P43966" s="42"/>
      <c r="AB43966" s="38"/>
    </row>
    <row r="43967">
      <c r="P43967" s="42"/>
      <c r="AB43967" s="38"/>
    </row>
    <row r="43968">
      <c r="P43968" s="42"/>
      <c r="AB43968" s="38"/>
    </row>
    <row r="43969">
      <c r="P43969" s="42"/>
      <c r="AB43969" s="38"/>
    </row>
    <row r="43970">
      <c r="P43970" s="42"/>
      <c r="AB43970" s="38"/>
    </row>
    <row r="43971">
      <c r="P43971" s="42"/>
      <c r="AB43971" s="38"/>
    </row>
    <row r="43972">
      <c r="P43972" s="42"/>
      <c r="AB43972" s="38"/>
    </row>
    <row r="43973">
      <c r="P43973" s="42"/>
      <c r="AB43973" s="38"/>
    </row>
    <row r="43974">
      <c r="P43974" s="42"/>
      <c r="AB43974" s="38"/>
    </row>
    <row r="43975">
      <c r="P43975" s="42"/>
      <c r="AB43975" s="38"/>
    </row>
    <row r="43976">
      <c r="P43976" s="42"/>
      <c r="AB43976" s="38"/>
    </row>
    <row r="43977">
      <c r="P43977" s="42"/>
      <c r="AB43977" s="38"/>
    </row>
    <row r="43978">
      <c r="P43978" s="42"/>
      <c r="AB43978" s="38"/>
    </row>
    <row r="43979">
      <c r="P43979" s="42"/>
      <c r="AB43979" s="38"/>
    </row>
    <row r="43980">
      <c r="P43980" s="42"/>
      <c r="AB43980" s="38"/>
    </row>
    <row r="43981">
      <c r="P43981" s="42"/>
      <c r="AB43981" s="38"/>
    </row>
    <row r="43982">
      <c r="P43982" s="42"/>
      <c r="AB43982" s="38"/>
    </row>
    <row r="43983">
      <c r="P43983" s="42"/>
      <c r="AB43983" s="38"/>
    </row>
    <row r="43984">
      <c r="P43984" s="42"/>
      <c r="AB43984" s="38"/>
    </row>
    <row r="43985">
      <c r="P43985" s="42"/>
      <c r="AB43985" s="38"/>
    </row>
    <row r="43986">
      <c r="P43986" s="42"/>
      <c r="AB43986" s="38"/>
    </row>
    <row r="43987">
      <c r="P43987" s="42"/>
      <c r="AB43987" s="38"/>
    </row>
    <row r="43988">
      <c r="P43988" s="42"/>
      <c r="AB43988" s="38"/>
    </row>
    <row r="43989">
      <c r="P43989" s="42"/>
      <c r="AB43989" s="38"/>
    </row>
    <row r="43990">
      <c r="P43990" s="42"/>
      <c r="AB43990" s="38"/>
    </row>
    <row r="43991">
      <c r="P43991" s="42"/>
      <c r="AB43991" s="38"/>
    </row>
    <row r="43992">
      <c r="P43992" s="42"/>
      <c r="AB43992" s="38"/>
    </row>
    <row r="43993">
      <c r="P43993" s="42"/>
      <c r="AB43993" s="38"/>
    </row>
    <row r="43994">
      <c r="P43994" s="42"/>
      <c r="AB43994" s="38"/>
    </row>
    <row r="43995">
      <c r="P43995" s="42"/>
      <c r="AB43995" s="38"/>
    </row>
    <row r="43996">
      <c r="P43996" s="42"/>
      <c r="AB43996" s="38"/>
    </row>
    <row r="43997">
      <c r="P43997" s="42"/>
      <c r="AB43997" s="38"/>
    </row>
    <row r="43998">
      <c r="P43998" s="42"/>
      <c r="AB43998" s="38"/>
    </row>
    <row r="43999">
      <c r="P43999" s="42"/>
      <c r="AB43999" s="38"/>
    </row>
    <row r="44000">
      <c r="P44000" s="42"/>
      <c r="AB44000" s="38"/>
    </row>
    <row r="44001">
      <c r="P44001" s="42"/>
      <c r="AB44001" s="38"/>
    </row>
    <row r="44002">
      <c r="P44002" s="42"/>
      <c r="AB44002" s="38"/>
    </row>
    <row r="44003">
      <c r="P44003" s="42"/>
      <c r="AB44003" s="38"/>
    </row>
    <row r="44004">
      <c r="P44004" s="42"/>
      <c r="AB44004" s="38"/>
    </row>
    <row r="44005">
      <c r="P44005" s="42"/>
      <c r="AB44005" s="38"/>
    </row>
    <row r="44006">
      <c r="P44006" s="42"/>
      <c r="AB44006" s="38"/>
    </row>
    <row r="44007">
      <c r="P44007" s="42"/>
      <c r="AB44007" s="38"/>
    </row>
    <row r="44008">
      <c r="P44008" s="42"/>
      <c r="AB44008" s="38"/>
    </row>
    <row r="44009">
      <c r="P44009" s="42"/>
      <c r="AB44009" s="38"/>
    </row>
    <row r="44010">
      <c r="P44010" s="42"/>
      <c r="AB44010" s="38"/>
    </row>
    <row r="44011">
      <c r="P44011" s="42"/>
      <c r="AB44011" s="38"/>
    </row>
    <row r="44012">
      <c r="P44012" s="42"/>
      <c r="AB44012" s="38"/>
    </row>
    <row r="44013">
      <c r="P44013" s="42"/>
      <c r="AB44013" s="38"/>
    </row>
    <row r="44014">
      <c r="P44014" s="42"/>
      <c r="AB44014" s="38"/>
    </row>
    <row r="44015">
      <c r="P44015" s="42"/>
      <c r="AB44015" s="38"/>
    </row>
    <row r="44016">
      <c r="P44016" s="42"/>
      <c r="AB44016" s="38"/>
    </row>
    <row r="44017">
      <c r="P44017" s="42"/>
      <c r="AB44017" s="38"/>
    </row>
    <row r="44018">
      <c r="P44018" s="42"/>
      <c r="AB44018" s="38"/>
    </row>
    <row r="44019">
      <c r="P44019" s="42"/>
      <c r="AB44019" s="38"/>
    </row>
    <row r="44020">
      <c r="P44020" s="42"/>
      <c r="AB44020" s="38"/>
    </row>
    <row r="44021">
      <c r="P44021" s="42"/>
      <c r="AB44021" s="38"/>
    </row>
    <row r="44022">
      <c r="P44022" s="42"/>
      <c r="AB44022" s="38"/>
    </row>
    <row r="44023">
      <c r="P44023" s="42"/>
      <c r="AB44023" s="38"/>
    </row>
    <row r="44024">
      <c r="P44024" s="42"/>
      <c r="AB44024" s="38"/>
    </row>
    <row r="44025">
      <c r="P44025" s="42"/>
      <c r="AB44025" s="38"/>
    </row>
    <row r="44026">
      <c r="P44026" s="42"/>
      <c r="AB44026" s="38"/>
    </row>
    <row r="44027">
      <c r="P44027" s="42"/>
      <c r="AB44027" s="38"/>
    </row>
    <row r="44028">
      <c r="P44028" s="42"/>
      <c r="AB44028" s="38"/>
    </row>
    <row r="44029">
      <c r="P44029" s="42"/>
      <c r="AB44029" s="38"/>
    </row>
    <row r="44030">
      <c r="P44030" s="42"/>
      <c r="AB44030" s="38"/>
    </row>
    <row r="44031">
      <c r="P44031" s="42"/>
      <c r="AB44031" s="38"/>
    </row>
    <row r="44032">
      <c r="P44032" s="42"/>
      <c r="AB44032" s="38"/>
    </row>
    <row r="44033">
      <c r="P44033" s="42"/>
      <c r="AB44033" s="38"/>
    </row>
    <row r="44034">
      <c r="P44034" s="42"/>
      <c r="AB44034" s="38"/>
    </row>
    <row r="44035">
      <c r="P44035" s="42"/>
      <c r="AB44035" s="38"/>
    </row>
    <row r="44036">
      <c r="P44036" s="42"/>
      <c r="AB44036" s="38"/>
    </row>
    <row r="44037">
      <c r="P44037" s="42"/>
      <c r="AB44037" s="38"/>
    </row>
    <row r="44038">
      <c r="P44038" s="42"/>
      <c r="AB44038" s="38"/>
    </row>
    <row r="44039">
      <c r="P44039" s="42"/>
      <c r="AB44039" s="38"/>
    </row>
    <row r="44040">
      <c r="P44040" s="42"/>
      <c r="AB44040" s="38"/>
    </row>
    <row r="44041">
      <c r="P44041" s="42"/>
      <c r="AB44041" s="38"/>
    </row>
    <row r="44042">
      <c r="P44042" s="42"/>
      <c r="AB44042" s="38"/>
    </row>
    <row r="44043">
      <c r="P44043" s="42"/>
      <c r="AB44043" s="38"/>
    </row>
    <row r="44044">
      <c r="P44044" s="42"/>
      <c r="AB44044" s="38"/>
    </row>
    <row r="44045">
      <c r="P44045" s="42"/>
      <c r="AB44045" s="38"/>
    </row>
    <row r="44046">
      <c r="P44046" s="42"/>
      <c r="AB44046" s="38"/>
    </row>
    <row r="44047">
      <c r="P44047" s="42"/>
      <c r="AB44047" s="38"/>
    </row>
    <row r="44048">
      <c r="P44048" s="42"/>
      <c r="AB44048" s="38"/>
    </row>
    <row r="44049">
      <c r="P44049" s="42"/>
      <c r="AB44049" s="38"/>
    </row>
    <row r="44050">
      <c r="P44050" s="42"/>
      <c r="AB44050" s="38"/>
    </row>
    <row r="44051">
      <c r="P44051" s="42"/>
      <c r="AB44051" s="38"/>
    </row>
    <row r="44052">
      <c r="P44052" s="42"/>
      <c r="AB44052" s="38"/>
    </row>
    <row r="44053">
      <c r="P44053" s="42"/>
      <c r="AB44053" s="38"/>
    </row>
    <row r="44054">
      <c r="P44054" s="42"/>
      <c r="AB44054" s="38"/>
    </row>
    <row r="44055">
      <c r="P44055" s="42"/>
      <c r="AB44055" s="38"/>
    </row>
    <row r="44056">
      <c r="P44056" s="42"/>
      <c r="AB44056" s="38"/>
    </row>
    <row r="44057">
      <c r="P44057" s="42"/>
      <c r="AB44057" s="38"/>
    </row>
    <row r="44058">
      <c r="P44058" s="42"/>
      <c r="AB44058" s="38"/>
    </row>
    <row r="44059">
      <c r="P44059" s="42"/>
      <c r="AB44059" s="38"/>
    </row>
    <row r="44060">
      <c r="P44060" s="42"/>
      <c r="AB44060" s="38"/>
    </row>
    <row r="44061">
      <c r="P44061" s="42"/>
      <c r="AB44061" s="38"/>
    </row>
    <row r="44062">
      <c r="P44062" s="42"/>
      <c r="AB44062" s="38"/>
    </row>
    <row r="44063">
      <c r="P44063" s="42"/>
      <c r="AB44063" s="38"/>
    </row>
    <row r="44064">
      <c r="P44064" s="42"/>
      <c r="AB44064" s="38"/>
    </row>
    <row r="44065">
      <c r="P44065" s="42"/>
      <c r="AB44065" s="38"/>
    </row>
    <row r="44066">
      <c r="P44066" s="42"/>
      <c r="AB44066" s="38"/>
    </row>
    <row r="44067">
      <c r="P44067" s="42"/>
      <c r="AB44067" s="38"/>
    </row>
    <row r="44068">
      <c r="P44068" s="42"/>
      <c r="AB44068" s="38"/>
    </row>
    <row r="44069">
      <c r="P44069" s="42"/>
      <c r="AB44069" s="38"/>
    </row>
    <row r="44070">
      <c r="P44070" s="42"/>
      <c r="AB44070" s="38"/>
    </row>
    <row r="44071">
      <c r="P44071" s="42"/>
      <c r="AB44071" s="38"/>
    </row>
    <row r="44072">
      <c r="P44072" s="42"/>
      <c r="AB44072" s="38"/>
    </row>
    <row r="44073">
      <c r="P44073" s="42"/>
      <c r="AB44073" s="38"/>
    </row>
    <row r="44074">
      <c r="P44074" s="42"/>
      <c r="AB44074" s="38"/>
    </row>
    <row r="44075">
      <c r="P44075" s="42"/>
      <c r="AB44075" s="38"/>
    </row>
    <row r="44076">
      <c r="P44076" s="42"/>
      <c r="AB44076" s="38"/>
    </row>
    <row r="44077">
      <c r="P44077" s="42"/>
      <c r="AB44077" s="38"/>
    </row>
    <row r="44078">
      <c r="P44078" s="42"/>
      <c r="AB44078" s="38"/>
    </row>
    <row r="44079">
      <c r="P44079" s="42"/>
      <c r="AB44079" s="38"/>
    </row>
    <row r="44080">
      <c r="P44080" s="42"/>
      <c r="AB44080" s="38"/>
    </row>
    <row r="44081">
      <c r="P44081" s="42"/>
      <c r="AB44081" s="38"/>
    </row>
    <row r="44082">
      <c r="P44082" s="42"/>
      <c r="AB44082" s="38"/>
    </row>
    <row r="44083">
      <c r="P44083" s="42"/>
      <c r="AB44083" s="38"/>
    </row>
    <row r="44084">
      <c r="P44084" s="42"/>
      <c r="AB44084" s="38"/>
    </row>
    <row r="44085">
      <c r="P44085" s="42"/>
      <c r="AB44085" s="38"/>
    </row>
    <row r="44086">
      <c r="P44086" s="42"/>
      <c r="AB44086" s="38"/>
    </row>
    <row r="44087">
      <c r="P44087" s="42"/>
      <c r="AB44087" s="38"/>
    </row>
    <row r="44088">
      <c r="P44088" s="42"/>
      <c r="AB44088" s="38"/>
    </row>
    <row r="44089">
      <c r="P44089" s="42"/>
      <c r="AB44089" s="38"/>
    </row>
    <row r="44090">
      <c r="P44090" s="42"/>
      <c r="AB44090" s="38"/>
    </row>
    <row r="44091">
      <c r="P44091" s="42"/>
      <c r="AB44091" s="38"/>
    </row>
    <row r="44092">
      <c r="P44092" s="42"/>
      <c r="AB44092" s="38"/>
    </row>
    <row r="44093">
      <c r="P44093" s="42"/>
      <c r="AB44093" s="38"/>
    </row>
    <row r="44094">
      <c r="P44094" s="42"/>
      <c r="AB44094" s="38"/>
    </row>
    <row r="44095">
      <c r="P44095" s="42"/>
      <c r="AB44095" s="38"/>
    </row>
    <row r="44096">
      <c r="P44096" s="42"/>
      <c r="AB44096" s="38"/>
    </row>
    <row r="44097">
      <c r="P44097" s="42"/>
      <c r="AB44097" s="38"/>
    </row>
    <row r="44098">
      <c r="P44098" s="42"/>
      <c r="AB44098" s="38"/>
    </row>
    <row r="44099">
      <c r="P44099" s="42"/>
      <c r="AB44099" s="38"/>
    </row>
    <row r="44100">
      <c r="P44100" s="42"/>
      <c r="AB44100" s="38"/>
    </row>
    <row r="44101">
      <c r="P44101" s="42"/>
      <c r="AB44101" s="38"/>
    </row>
    <row r="44102">
      <c r="P44102" s="42"/>
      <c r="AB44102" s="38"/>
    </row>
    <row r="44103">
      <c r="P44103" s="42"/>
      <c r="AB44103" s="38"/>
    </row>
    <row r="44104">
      <c r="P44104" s="42"/>
      <c r="AB44104" s="38"/>
    </row>
    <row r="44105">
      <c r="P44105" s="42"/>
      <c r="AB44105" s="38"/>
    </row>
    <row r="44106">
      <c r="P44106" s="42"/>
      <c r="AB44106" s="38"/>
    </row>
    <row r="44107">
      <c r="P44107" s="42"/>
      <c r="AB44107" s="38"/>
    </row>
    <row r="44108">
      <c r="P44108" s="42"/>
      <c r="AB44108" s="38"/>
    </row>
    <row r="44109">
      <c r="P44109" s="42"/>
      <c r="AB44109" s="38"/>
    </row>
    <row r="44110">
      <c r="P44110" s="42"/>
      <c r="AB44110" s="38"/>
    </row>
    <row r="44111">
      <c r="P44111" s="42"/>
      <c r="AB44111" s="38"/>
    </row>
    <row r="44112">
      <c r="P44112" s="42"/>
      <c r="AB44112" s="38"/>
    </row>
    <row r="44113">
      <c r="P44113" s="42"/>
      <c r="AB44113" s="38"/>
    </row>
    <row r="44114">
      <c r="P44114" s="42"/>
      <c r="AB44114" s="38"/>
    </row>
    <row r="44115">
      <c r="P44115" s="42"/>
      <c r="AB44115" s="38"/>
    </row>
    <row r="44116">
      <c r="P44116" s="42"/>
      <c r="AB44116" s="38"/>
    </row>
    <row r="44117">
      <c r="P44117" s="42"/>
      <c r="AB44117" s="38"/>
    </row>
    <row r="44118">
      <c r="P44118" s="42"/>
      <c r="AB44118" s="38"/>
    </row>
    <row r="44119">
      <c r="P44119" s="42"/>
      <c r="AB44119" s="38"/>
    </row>
    <row r="44120">
      <c r="P44120" s="42"/>
      <c r="AB44120" s="38"/>
    </row>
    <row r="44121">
      <c r="P44121" s="42"/>
      <c r="AB44121" s="38"/>
    </row>
    <row r="44122">
      <c r="P44122" s="42"/>
      <c r="AB44122" s="38"/>
    </row>
    <row r="44123">
      <c r="P44123" s="42"/>
      <c r="AB44123" s="38"/>
    </row>
    <row r="44124">
      <c r="P44124" s="42"/>
      <c r="AB44124" s="38"/>
    </row>
    <row r="44125">
      <c r="P44125" s="42"/>
      <c r="AB44125" s="38"/>
    </row>
    <row r="44126">
      <c r="P44126" s="42"/>
      <c r="AB44126" s="38"/>
    </row>
    <row r="44127">
      <c r="P44127" s="42"/>
      <c r="AB44127" s="38"/>
    </row>
    <row r="44128">
      <c r="P44128" s="42"/>
      <c r="AB44128" s="38"/>
    </row>
    <row r="44129">
      <c r="P44129" s="42"/>
      <c r="AB44129" s="38"/>
    </row>
    <row r="44130">
      <c r="P44130" s="42"/>
      <c r="AB44130" s="38"/>
    </row>
    <row r="44131">
      <c r="P44131" s="42"/>
      <c r="AB44131" s="38"/>
    </row>
    <row r="44132">
      <c r="P44132" s="42"/>
      <c r="AB44132" s="38"/>
    </row>
    <row r="44133">
      <c r="P44133" s="42"/>
      <c r="AB44133" s="38"/>
    </row>
    <row r="44134">
      <c r="P44134" s="42"/>
      <c r="AB44134" s="38"/>
    </row>
    <row r="44135">
      <c r="P44135" s="42"/>
      <c r="AB44135" s="38"/>
    </row>
    <row r="44136">
      <c r="P44136" s="42"/>
      <c r="AB44136" s="38"/>
    </row>
    <row r="44137">
      <c r="P44137" s="42"/>
      <c r="AB44137" s="38"/>
    </row>
    <row r="44138">
      <c r="P44138" s="42"/>
      <c r="AB44138" s="38"/>
    </row>
    <row r="44139">
      <c r="P44139" s="42"/>
      <c r="AB44139" s="38"/>
    </row>
    <row r="44140">
      <c r="P44140" s="42"/>
      <c r="AB44140" s="38"/>
    </row>
    <row r="44141">
      <c r="P44141" s="42"/>
      <c r="AB44141" s="38"/>
    </row>
    <row r="44142">
      <c r="P44142" s="42"/>
      <c r="AB44142" s="38"/>
    </row>
    <row r="44143">
      <c r="P44143" s="42"/>
      <c r="AB44143" s="38"/>
    </row>
    <row r="44144">
      <c r="P44144" s="42"/>
      <c r="AB44144" s="38"/>
    </row>
    <row r="44145">
      <c r="P44145" s="42"/>
      <c r="AB44145" s="38"/>
    </row>
    <row r="44146">
      <c r="P44146" s="42"/>
      <c r="AB44146" s="38"/>
    </row>
    <row r="44147">
      <c r="P44147" s="42"/>
      <c r="AB44147" s="38"/>
    </row>
    <row r="44148">
      <c r="P44148" s="42"/>
      <c r="AB44148" s="38"/>
    </row>
    <row r="44149">
      <c r="P44149" s="42"/>
      <c r="AB44149" s="38"/>
    </row>
    <row r="44150">
      <c r="P44150" s="42"/>
      <c r="AB44150" s="38"/>
    </row>
    <row r="44151">
      <c r="P44151" s="42"/>
      <c r="AB44151" s="38"/>
    </row>
    <row r="44152">
      <c r="P44152" s="42"/>
      <c r="AB44152" s="38"/>
    </row>
    <row r="44153">
      <c r="P44153" s="42"/>
      <c r="AB44153" s="38"/>
    </row>
    <row r="44154">
      <c r="P44154" s="42"/>
      <c r="AB44154" s="38"/>
    </row>
    <row r="44155">
      <c r="P44155" s="42"/>
      <c r="AB44155" s="38"/>
    </row>
    <row r="44156">
      <c r="P44156" s="42"/>
      <c r="AB44156" s="38"/>
    </row>
    <row r="44157">
      <c r="P44157" s="42"/>
      <c r="AB44157" s="38"/>
    </row>
    <row r="44158">
      <c r="P44158" s="42"/>
      <c r="AB44158" s="38"/>
    </row>
    <row r="44159">
      <c r="P44159" s="42"/>
      <c r="AB44159" s="38"/>
    </row>
    <row r="44160">
      <c r="P44160" s="42"/>
      <c r="AB44160" s="38"/>
    </row>
    <row r="44161">
      <c r="P44161" s="42"/>
      <c r="AB44161" s="38"/>
    </row>
    <row r="44162">
      <c r="P44162" s="42"/>
      <c r="AB44162" s="38"/>
    </row>
    <row r="44163">
      <c r="P44163" s="42"/>
      <c r="AB44163" s="38"/>
    </row>
    <row r="44164">
      <c r="P44164" s="42"/>
      <c r="AB44164" s="38"/>
    </row>
    <row r="44165">
      <c r="P44165" s="42"/>
      <c r="AB44165" s="38"/>
    </row>
    <row r="44166">
      <c r="P44166" s="42"/>
      <c r="AB44166" s="38"/>
    </row>
    <row r="44167">
      <c r="P44167" s="42"/>
      <c r="AB44167" s="38"/>
    </row>
    <row r="44168">
      <c r="P44168" s="42"/>
      <c r="AB44168" s="38"/>
    </row>
    <row r="44169">
      <c r="P44169" s="42"/>
      <c r="AB44169" s="38"/>
    </row>
    <row r="44170">
      <c r="P44170" s="42"/>
      <c r="AB44170" s="38"/>
    </row>
    <row r="44171">
      <c r="P44171" s="42"/>
      <c r="AB44171" s="38"/>
    </row>
    <row r="44172">
      <c r="P44172" s="42"/>
      <c r="AB44172" s="38"/>
    </row>
    <row r="44173">
      <c r="P44173" s="42"/>
      <c r="AB44173" s="38"/>
    </row>
    <row r="44174">
      <c r="P44174" s="42"/>
      <c r="AB44174" s="38"/>
    </row>
    <row r="44175">
      <c r="P44175" s="42"/>
      <c r="AB44175" s="38"/>
    </row>
    <row r="44176">
      <c r="P44176" s="42"/>
      <c r="AB44176" s="38"/>
    </row>
    <row r="44177">
      <c r="P44177" s="42"/>
      <c r="AB44177" s="38"/>
    </row>
    <row r="44178">
      <c r="P44178" s="42"/>
      <c r="AB44178" s="38"/>
    </row>
    <row r="44179">
      <c r="P44179" s="42"/>
      <c r="AB44179" s="38"/>
    </row>
    <row r="44180">
      <c r="P44180" s="42"/>
      <c r="AB44180" s="38"/>
    </row>
    <row r="44181">
      <c r="P44181" s="42"/>
      <c r="AB44181" s="38"/>
    </row>
    <row r="44182">
      <c r="P44182" s="42"/>
      <c r="AB44182" s="38"/>
    </row>
    <row r="44183">
      <c r="P44183" s="42"/>
      <c r="AB44183" s="38"/>
    </row>
    <row r="44184">
      <c r="P44184" s="42"/>
      <c r="AB44184" s="38"/>
    </row>
    <row r="44185">
      <c r="P44185" s="42"/>
      <c r="AB44185" s="38"/>
    </row>
    <row r="44186">
      <c r="P44186" s="42"/>
      <c r="AB44186" s="38"/>
    </row>
    <row r="44187">
      <c r="P44187" s="42"/>
      <c r="AB44187" s="38"/>
    </row>
    <row r="44188">
      <c r="P44188" s="42"/>
      <c r="AB44188" s="38"/>
    </row>
    <row r="44189">
      <c r="P44189" s="42"/>
      <c r="AB44189" s="38"/>
    </row>
    <row r="44190">
      <c r="P44190" s="42"/>
      <c r="AB44190" s="38"/>
    </row>
    <row r="44191">
      <c r="P44191" s="42"/>
      <c r="AB44191" s="38"/>
    </row>
    <row r="44192">
      <c r="P44192" s="42"/>
      <c r="AB44192" s="38"/>
    </row>
    <row r="44193">
      <c r="P44193" s="42"/>
      <c r="AB44193" s="38"/>
    </row>
    <row r="44194">
      <c r="P44194" s="42"/>
      <c r="AB44194" s="38"/>
    </row>
    <row r="44195">
      <c r="P44195" s="42"/>
      <c r="AB44195" s="38"/>
    </row>
    <row r="44196">
      <c r="P44196" s="42"/>
      <c r="AB44196" s="38"/>
    </row>
    <row r="44197">
      <c r="P44197" s="42"/>
      <c r="AB44197" s="38"/>
    </row>
    <row r="44198">
      <c r="P44198" s="42"/>
      <c r="AB44198" s="38"/>
    </row>
    <row r="44199">
      <c r="P44199" s="42"/>
      <c r="AB44199" s="38"/>
    </row>
    <row r="44200">
      <c r="P44200" s="42"/>
      <c r="AB44200" s="38"/>
    </row>
    <row r="44201">
      <c r="P44201" s="42"/>
      <c r="AB44201" s="38"/>
    </row>
    <row r="44202">
      <c r="P44202" s="42"/>
      <c r="AB44202" s="38"/>
    </row>
    <row r="44203">
      <c r="P44203" s="42"/>
      <c r="AB44203" s="38"/>
    </row>
    <row r="44204">
      <c r="P44204" s="42"/>
      <c r="AB44204" s="38"/>
    </row>
    <row r="44205">
      <c r="P44205" s="42"/>
      <c r="AB44205" s="38"/>
    </row>
    <row r="44206">
      <c r="P44206" s="42"/>
      <c r="AB44206" s="38"/>
    </row>
    <row r="44207">
      <c r="P44207" s="42"/>
      <c r="AB44207" s="38"/>
    </row>
    <row r="44208">
      <c r="P44208" s="42"/>
      <c r="AB44208" s="38"/>
    </row>
    <row r="44209">
      <c r="P44209" s="42"/>
      <c r="AB44209" s="38"/>
    </row>
    <row r="44210">
      <c r="P44210" s="42"/>
      <c r="AB44210" s="38"/>
    </row>
    <row r="44211">
      <c r="P44211" s="42"/>
      <c r="AB44211" s="38"/>
    </row>
    <row r="44212">
      <c r="P44212" s="42"/>
      <c r="AB44212" s="38"/>
    </row>
    <row r="44213">
      <c r="P44213" s="42"/>
      <c r="AB44213" s="38"/>
    </row>
    <row r="44214">
      <c r="P44214" s="42"/>
      <c r="AB44214" s="38"/>
    </row>
    <row r="44215">
      <c r="P44215" s="42"/>
      <c r="AB44215" s="38"/>
    </row>
    <row r="44216">
      <c r="P44216" s="42"/>
      <c r="AB44216" s="38"/>
    </row>
    <row r="44217">
      <c r="P44217" s="42"/>
      <c r="AB44217" s="38"/>
    </row>
    <row r="44218">
      <c r="P44218" s="42"/>
      <c r="AB44218" s="38"/>
    </row>
    <row r="44219">
      <c r="P44219" s="42"/>
      <c r="AB44219" s="38"/>
    </row>
    <row r="44220">
      <c r="P44220" s="42"/>
      <c r="AB44220" s="38"/>
    </row>
    <row r="44221">
      <c r="P44221" s="42"/>
      <c r="AB44221" s="38"/>
    </row>
    <row r="44222">
      <c r="P44222" s="42"/>
      <c r="AB44222" s="38"/>
    </row>
    <row r="44223">
      <c r="P44223" s="42"/>
      <c r="AB44223" s="38"/>
    </row>
    <row r="44224">
      <c r="P44224" s="42"/>
      <c r="AB44224" s="38"/>
    </row>
    <row r="44225">
      <c r="P44225" s="42"/>
      <c r="AB44225" s="38"/>
    </row>
    <row r="44226">
      <c r="P44226" s="42"/>
      <c r="AB44226" s="38"/>
    </row>
    <row r="44227">
      <c r="P44227" s="42"/>
      <c r="AB44227" s="38"/>
    </row>
    <row r="44228">
      <c r="P44228" s="42"/>
      <c r="AB44228" s="38"/>
    </row>
    <row r="44229">
      <c r="P44229" s="42"/>
      <c r="AB44229" s="38"/>
    </row>
    <row r="44230">
      <c r="P44230" s="42"/>
      <c r="AB44230" s="38"/>
    </row>
    <row r="44231">
      <c r="P44231" s="42"/>
      <c r="AB44231" s="38"/>
    </row>
    <row r="44232">
      <c r="P44232" s="42"/>
      <c r="AB44232" s="38"/>
    </row>
    <row r="44233">
      <c r="P44233" s="42"/>
      <c r="AB44233" s="38"/>
    </row>
    <row r="44234">
      <c r="P44234" s="42"/>
      <c r="AB44234" s="38"/>
    </row>
    <row r="44235">
      <c r="P44235" s="42"/>
      <c r="AB44235" s="38"/>
    </row>
    <row r="44236">
      <c r="P44236" s="42"/>
      <c r="AB44236" s="38"/>
    </row>
    <row r="44237">
      <c r="P44237" s="42"/>
      <c r="AB44237" s="38"/>
    </row>
    <row r="44238">
      <c r="P44238" s="42"/>
      <c r="AB44238" s="38"/>
    </row>
    <row r="44239">
      <c r="P44239" s="42"/>
      <c r="AB44239" s="38"/>
    </row>
    <row r="44240">
      <c r="P44240" s="42"/>
      <c r="AB44240" s="38"/>
    </row>
    <row r="44241">
      <c r="P44241" s="42"/>
      <c r="AB44241" s="38"/>
    </row>
    <row r="44242">
      <c r="P44242" s="42"/>
      <c r="AB44242" s="38"/>
    </row>
    <row r="44243">
      <c r="P44243" s="42"/>
      <c r="AB44243" s="38"/>
    </row>
    <row r="44244">
      <c r="P44244" s="42"/>
      <c r="AB44244" s="38"/>
    </row>
    <row r="44245">
      <c r="P44245" s="42"/>
      <c r="AB44245" s="38"/>
    </row>
    <row r="44246">
      <c r="P44246" s="42"/>
      <c r="AB44246" s="38"/>
    </row>
    <row r="44247">
      <c r="P44247" s="42"/>
      <c r="AB44247" s="38"/>
    </row>
    <row r="44248">
      <c r="P44248" s="42"/>
      <c r="AB44248" s="38"/>
    </row>
    <row r="44249">
      <c r="P44249" s="42"/>
      <c r="AB44249" s="38"/>
    </row>
    <row r="44250">
      <c r="P44250" s="42"/>
      <c r="AB44250" s="38"/>
    </row>
    <row r="44251">
      <c r="P44251" s="42"/>
      <c r="AB44251" s="38"/>
    </row>
    <row r="44252">
      <c r="P44252" s="42"/>
      <c r="AB44252" s="38"/>
    </row>
    <row r="44253">
      <c r="P44253" s="42"/>
      <c r="AB44253" s="38"/>
    </row>
    <row r="44254">
      <c r="P44254" s="42"/>
      <c r="AB44254" s="38"/>
    </row>
    <row r="44255">
      <c r="P44255" s="42"/>
      <c r="AB44255" s="38"/>
    </row>
    <row r="44256">
      <c r="P44256" s="42"/>
      <c r="AB44256" s="38"/>
    </row>
    <row r="44257">
      <c r="P44257" s="42"/>
      <c r="AB44257" s="38"/>
    </row>
    <row r="44258">
      <c r="P44258" s="42"/>
      <c r="AB44258" s="38"/>
    </row>
    <row r="44259">
      <c r="P44259" s="42"/>
      <c r="AB44259" s="38"/>
    </row>
    <row r="44260">
      <c r="P44260" s="42"/>
      <c r="AB44260" s="38"/>
    </row>
    <row r="44261">
      <c r="P44261" s="42"/>
      <c r="AB44261" s="38"/>
    </row>
    <row r="44262">
      <c r="P44262" s="42"/>
      <c r="AB44262" s="38"/>
    </row>
    <row r="44263">
      <c r="P44263" s="42"/>
      <c r="AB44263" s="38"/>
    </row>
    <row r="44264">
      <c r="P44264" s="42"/>
      <c r="AB44264" s="38"/>
    </row>
    <row r="44265">
      <c r="P44265" s="42"/>
      <c r="AB44265" s="38"/>
    </row>
    <row r="44266">
      <c r="P44266" s="42"/>
      <c r="AB44266" s="38"/>
    </row>
    <row r="44267">
      <c r="P44267" s="42"/>
      <c r="AB44267" s="38"/>
    </row>
    <row r="44268">
      <c r="P44268" s="42"/>
      <c r="AB44268" s="38"/>
    </row>
    <row r="44269">
      <c r="P44269" s="42"/>
      <c r="AB44269" s="38"/>
    </row>
    <row r="44270">
      <c r="P44270" s="42"/>
      <c r="AB44270" s="38"/>
    </row>
    <row r="44271">
      <c r="P44271" s="42"/>
      <c r="AB44271" s="38"/>
    </row>
    <row r="44272">
      <c r="P44272" s="42"/>
      <c r="AB44272" s="38"/>
    </row>
    <row r="44273">
      <c r="P44273" s="42"/>
      <c r="AB44273" s="38"/>
    </row>
    <row r="44274">
      <c r="P44274" s="42"/>
      <c r="AB44274" s="38"/>
    </row>
    <row r="44275">
      <c r="P44275" s="42"/>
      <c r="AB44275" s="38"/>
    </row>
    <row r="44276">
      <c r="P44276" s="42"/>
      <c r="AB44276" s="38"/>
    </row>
    <row r="44277">
      <c r="P44277" s="42"/>
      <c r="AB44277" s="38"/>
    </row>
    <row r="44278">
      <c r="P44278" s="42"/>
      <c r="AB44278" s="38"/>
    </row>
    <row r="44279">
      <c r="P44279" s="42"/>
      <c r="AB44279" s="38"/>
    </row>
    <row r="44280">
      <c r="P44280" s="42"/>
      <c r="AB44280" s="38"/>
    </row>
    <row r="44281">
      <c r="P44281" s="42"/>
      <c r="AB44281" s="38"/>
    </row>
    <row r="44282">
      <c r="P44282" s="42"/>
      <c r="AB44282" s="38"/>
    </row>
    <row r="44283">
      <c r="P44283" s="42"/>
      <c r="AB44283" s="38"/>
    </row>
    <row r="44284">
      <c r="P44284" s="42"/>
      <c r="AB44284" s="38"/>
    </row>
    <row r="44285">
      <c r="P44285" s="42"/>
      <c r="AB44285" s="38"/>
    </row>
    <row r="44286">
      <c r="P44286" s="42"/>
      <c r="AB44286" s="38"/>
    </row>
    <row r="44287">
      <c r="P44287" s="42"/>
      <c r="AB44287" s="38"/>
    </row>
    <row r="44288">
      <c r="P44288" s="42"/>
      <c r="AB44288" s="38"/>
    </row>
    <row r="44289">
      <c r="P44289" s="42"/>
      <c r="AB44289" s="38"/>
    </row>
    <row r="44290">
      <c r="P44290" s="42"/>
      <c r="AB44290" s="38"/>
    </row>
    <row r="44291">
      <c r="P44291" s="42"/>
      <c r="AB44291" s="38"/>
    </row>
    <row r="44292">
      <c r="P44292" s="42"/>
      <c r="AB44292" s="38"/>
    </row>
    <row r="44293">
      <c r="P44293" s="42"/>
      <c r="AB44293" s="38"/>
    </row>
    <row r="44294">
      <c r="P44294" s="42"/>
      <c r="AB44294" s="38"/>
    </row>
    <row r="44295">
      <c r="P44295" s="42"/>
      <c r="AB44295" s="38"/>
    </row>
    <row r="44296">
      <c r="P44296" s="42"/>
      <c r="AB44296" s="38"/>
    </row>
    <row r="44297">
      <c r="P44297" s="42"/>
      <c r="AB44297" s="38"/>
    </row>
    <row r="44298">
      <c r="P44298" s="42"/>
      <c r="AB44298" s="38"/>
    </row>
    <row r="44299">
      <c r="P44299" s="42"/>
      <c r="AB44299" s="38"/>
    </row>
    <row r="44300">
      <c r="P44300" s="42"/>
      <c r="AB44300" s="38"/>
    </row>
    <row r="44301">
      <c r="P44301" s="42"/>
      <c r="AB44301" s="38"/>
    </row>
    <row r="44302">
      <c r="P44302" s="42"/>
      <c r="AB44302" s="38"/>
    </row>
    <row r="44303">
      <c r="P44303" s="42"/>
      <c r="AB44303" s="38"/>
    </row>
    <row r="44304">
      <c r="P44304" s="42"/>
      <c r="AB44304" s="38"/>
    </row>
    <row r="44305">
      <c r="P44305" s="42"/>
      <c r="AB44305" s="38"/>
    </row>
    <row r="44306">
      <c r="P44306" s="42"/>
      <c r="AB44306" s="38"/>
    </row>
    <row r="44307">
      <c r="P44307" s="42"/>
      <c r="AB44307" s="38"/>
    </row>
    <row r="44308">
      <c r="P44308" s="42"/>
      <c r="AB44308" s="38"/>
    </row>
    <row r="44309">
      <c r="P44309" s="42"/>
      <c r="AB44309" s="38"/>
    </row>
    <row r="44310">
      <c r="P44310" s="42"/>
      <c r="AB44310" s="38"/>
    </row>
    <row r="44311">
      <c r="P44311" s="42"/>
      <c r="AB44311" s="38"/>
    </row>
    <row r="44312">
      <c r="P44312" s="42"/>
      <c r="AB44312" s="38"/>
    </row>
    <row r="44313">
      <c r="P44313" s="42"/>
      <c r="AB44313" s="38"/>
    </row>
    <row r="44314">
      <c r="P44314" s="42"/>
      <c r="AB44314" s="38"/>
    </row>
    <row r="44315">
      <c r="P44315" s="42"/>
      <c r="AB44315" s="38"/>
    </row>
    <row r="44316">
      <c r="P44316" s="42"/>
      <c r="AB44316" s="38"/>
    </row>
    <row r="44317">
      <c r="P44317" s="42"/>
      <c r="AB44317" s="38"/>
    </row>
    <row r="44318">
      <c r="P44318" s="42"/>
      <c r="AB44318" s="38"/>
    </row>
    <row r="44319">
      <c r="P44319" s="42"/>
      <c r="AB44319" s="38"/>
    </row>
    <row r="44320">
      <c r="P44320" s="42"/>
      <c r="AB44320" s="38"/>
    </row>
    <row r="44321">
      <c r="P44321" s="42"/>
      <c r="AB44321" s="38"/>
    </row>
    <row r="44322">
      <c r="P44322" s="42"/>
      <c r="AB44322" s="38"/>
    </row>
    <row r="44323">
      <c r="P44323" s="42"/>
      <c r="AB44323" s="38"/>
    </row>
    <row r="44324">
      <c r="P44324" s="42"/>
      <c r="AB44324" s="38"/>
    </row>
    <row r="44325">
      <c r="P44325" s="42"/>
      <c r="AB44325" s="38"/>
    </row>
    <row r="44326">
      <c r="P44326" s="42"/>
      <c r="AB44326" s="38"/>
    </row>
    <row r="44327">
      <c r="P44327" s="42"/>
      <c r="AB44327" s="38"/>
    </row>
    <row r="44328">
      <c r="P44328" s="42"/>
      <c r="AB44328" s="38"/>
    </row>
    <row r="44329">
      <c r="P44329" s="42"/>
      <c r="AB44329" s="38"/>
    </row>
    <row r="44330">
      <c r="P44330" s="42"/>
      <c r="AB44330" s="38"/>
    </row>
    <row r="44331">
      <c r="P44331" s="42"/>
      <c r="AB44331" s="38"/>
    </row>
    <row r="44332">
      <c r="P44332" s="42"/>
      <c r="AB44332" s="38"/>
    </row>
    <row r="44333">
      <c r="P44333" s="42"/>
      <c r="AB44333" s="38"/>
    </row>
    <row r="44334">
      <c r="P44334" s="42"/>
      <c r="AB44334" s="38"/>
    </row>
    <row r="44335">
      <c r="P44335" s="42"/>
      <c r="AB44335" s="38"/>
    </row>
    <row r="44336">
      <c r="P44336" s="42"/>
      <c r="AB44336" s="38"/>
    </row>
    <row r="44337">
      <c r="P44337" s="42"/>
      <c r="AB44337" s="38"/>
    </row>
    <row r="44338">
      <c r="P44338" s="42"/>
      <c r="AB44338" s="38"/>
    </row>
    <row r="44339">
      <c r="P44339" s="42"/>
      <c r="AB44339" s="38"/>
    </row>
    <row r="44340">
      <c r="P44340" s="42"/>
      <c r="AB44340" s="38"/>
    </row>
    <row r="44341">
      <c r="P44341" s="42"/>
      <c r="AB44341" s="38"/>
    </row>
    <row r="44342">
      <c r="P44342" s="42"/>
      <c r="AB44342" s="38"/>
    </row>
    <row r="44343">
      <c r="P44343" s="42"/>
      <c r="AB44343" s="38"/>
    </row>
    <row r="44344">
      <c r="P44344" s="42"/>
      <c r="AB44344" s="38"/>
    </row>
    <row r="44345">
      <c r="P44345" s="42"/>
      <c r="AB44345" s="38"/>
    </row>
    <row r="44346">
      <c r="P44346" s="42"/>
      <c r="AB44346" s="38"/>
    </row>
    <row r="44347">
      <c r="P44347" s="42"/>
      <c r="AB44347" s="38"/>
    </row>
    <row r="44348">
      <c r="P44348" s="42"/>
      <c r="AB44348" s="38"/>
    </row>
    <row r="44349">
      <c r="P44349" s="42"/>
      <c r="AB44349" s="38"/>
    </row>
    <row r="44350">
      <c r="P44350" s="42"/>
      <c r="AB44350" s="38"/>
    </row>
    <row r="44351">
      <c r="P44351" s="42"/>
      <c r="AB44351" s="38"/>
    </row>
    <row r="44352">
      <c r="P44352" s="42"/>
      <c r="AB44352" s="38"/>
    </row>
    <row r="44353">
      <c r="P44353" s="42"/>
      <c r="AB44353" s="38"/>
    </row>
    <row r="44354">
      <c r="P44354" s="42"/>
      <c r="AB44354" s="38"/>
    </row>
    <row r="44355">
      <c r="P44355" s="42"/>
      <c r="AB44355" s="38"/>
    </row>
    <row r="44356">
      <c r="P44356" s="42"/>
      <c r="AB44356" s="38"/>
    </row>
    <row r="44357">
      <c r="P44357" s="42"/>
      <c r="AB44357" s="38"/>
    </row>
    <row r="44358">
      <c r="P44358" s="42"/>
      <c r="AB44358" s="38"/>
    </row>
    <row r="44359">
      <c r="P44359" s="42"/>
      <c r="AB44359" s="38"/>
    </row>
    <row r="44360">
      <c r="P44360" s="42"/>
      <c r="AB44360" s="38"/>
    </row>
    <row r="44361">
      <c r="P44361" s="42"/>
      <c r="AB44361" s="38"/>
    </row>
    <row r="44362">
      <c r="P44362" s="42"/>
      <c r="AB44362" s="38"/>
    </row>
    <row r="44363">
      <c r="P44363" s="42"/>
      <c r="AB44363" s="38"/>
    </row>
    <row r="44364">
      <c r="P44364" s="42"/>
      <c r="AB44364" s="38"/>
    </row>
    <row r="44365">
      <c r="P44365" s="42"/>
      <c r="AB44365" s="38"/>
    </row>
    <row r="44366">
      <c r="P44366" s="42"/>
      <c r="AB44366" s="38"/>
    </row>
    <row r="44367">
      <c r="P44367" s="42"/>
      <c r="AB44367" s="38"/>
    </row>
    <row r="44368">
      <c r="P44368" s="42"/>
      <c r="AB44368" s="38"/>
    </row>
    <row r="44369">
      <c r="P44369" s="42"/>
      <c r="AB44369" s="38"/>
    </row>
    <row r="44370">
      <c r="P44370" s="42"/>
      <c r="AB44370" s="38"/>
    </row>
    <row r="44371">
      <c r="P44371" s="42"/>
      <c r="AB44371" s="38"/>
    </row>
    <row r="44372">
      <c r="P44372" s="42"/>
      <c r="AB44372" s="38"/>
    </row>
    <row r="44373">
      <c r="P44373" s="42"/>
      <c r="AB44373" s="38"/>
    </row>
    <row r="44374">
      <c r="P44374" s="42"/>
      <c r="AB44374" s="38"/>
    </row>
    <row r="44375">
      <c r="P44375" s="42"/>
      <c r="AB44375" s="38"/>
    </row>
    <row r="44376">
      <c r="P44376" s="42"/>
      <c r="AB44376" s="38"/>
    </row>
    <row r="44377">
      <c r="P44377" s="42"/>
      <c r="AB44377" s="38"/>
    </row>
    <row r="44378">
      <c r="P44378" s="42"/>
      <c r="AB44378" s="38"/>
    </row>
    <row r="44379">
      <c r="P44379" s="42"/>
      <c r="AB44379" s="38"/>
    </row>
    <row r="44380">
      <c r="P44380" s="42"/>
      <c r="AB44380" s="38"/>
    </row>
    <row r="44381">
      <c r="P44381" s="42"/>
      <c r="AB44381" s="38"/>
    </row>
    <row r="44382">
      <c r="P44382" s="42"/>
      <c r="AB44382" s="38"/>
    </row>
    <row r="44383">
      <c r="P44383" s="42"/>
      <c r="AB44383" s="38"/>
    </row>
    <row r="44384">
      <c r="P44384" s="42"/>
      <c r="AB44384" s="38"/>
    </row>
    <row r="44385">
      <c r="P44385" s="42"/>
      <c r="AB44385" s="38"/>
    </row>
    <row r="44386">
      <c r="P44386" s="42"/>
      <c r="AB44386" s="38"/>
    </row>
    <row r="44387">
      <c r="P44387" s="42"/>
      <c r="AB44387" s="38"/>
    </row>
    <row r="44388">
      <c r="P44388" s="42"/>
      <c r="AB44388" s="38"/>
    </row>
    <row r="44389">
      <c r="P44389" s="42"/>
      <c r="AB44389" s="38"/>
    </row>
    <row r="44390">
      <c r="P44390" s="42"/>
      <c r="AB44390" s="38"/>
    </row>
    <row r="44391">
      <c r="P44391" s="42"/>
      <c r="AB44391" s="38"/>
    </row>
    <row r="44392">
      <c r="P44392" s="42"/>
      <c r="AB44392" s="38"/>
    </row>
    <row r="44393">
      <c r="P44393" s="42"/>
      <c r="AB44393" s="38"/>
    </row>
    <row r="44394">
      <c r="P44394" s="42"/>
      <c r="AB44394" s="38"/>
    </row>
    <row r="44395">
      <c r="P44395" s="42"/>
      <c r="AB44395" s="38"/>
    </row>
    <row r="44396">
      <c r="P44396" s="42"/>
      <c r="AB44396" s="38"/>
    </row>
    <row r="44397">
      <c r="P44397" s="42"/>
      <c r="AB44397" s="38"/>
    </row>
    <row r="44398">
      <c r="P44398" s="42"/>
      <c r="AB44398" s="38"/>
    </row>
    <row r="44399">
      <c r="P44399" s="42"/>
      <c r="AB44399" s="38"/>
    </row>
    <row r="44400">
      <c r="P44400" s="42"/>
      <c r="AB44400" s="38"/>
    </row>
    <row r="44401">
      <c r="P44401" s="42"/>
      <c r="AB44401" s="38"/>
    </row>
    <row r="44402">
      <c r="P44402" s="42"/>
      <c r="AB44402" s="38"/>
    </row>
    <row r="44403">
      <c r="P44403" s="42"/>
      <c r="AB44403" s="38"/>
    </row>
    <row r="44404">
      <c r="P44404" s="42"/>
      <c r="AB44404" s="38"/>
    </row>
    <row r="44405">
      <c r="P44405" s="42"/>
      <c r="AB44405" s="38"/>
    </row>
    <row r="44406">
      <c r="P44406" s="42"/>
      <c r="AB44406" s="38"/>
    </row>
    <row r="44407">
      <c r="P44407" s="42"/>
      <c r="AB44407" s="38"/>
    </row>
    <row r="44408">
      <c r="P44408" s="42"/>
      <c r="AB44408" s="38"/>
    </row>
    <row r="44409">
      <c r="P44409" s="42"/>
      <c r="AB44409" s="38"/>
    </row>
    <row r="44410">
      <c r="P44410" s="42"/>
      <c r="AB44410" s="38"/>
    </row>
    <row r="44411">
      <c r="P44411" s="42"/>
      <c r="AB44411" s="38"/>
    </row>
    <row r="44412">
      <c r="P44412" s="42"/>
      <c r="AB44412" s="38"/>
    </row>
    <row r="44413">
      <c r="P44413" s="42"/>
      <c r="AB44413" s="38"/>
    </row>
    <row r="44414">
      <c r="P44414" s="42"/>
      <c r="AB44414" s="38"/>
    </row>
    <row r="44415">
      <c r="P44415" s="42"/>
      <c r="AB44415" s="38"/>
    </row>
    <row r="44416">
      <c r="P44416" s="42"/>
      <c r="AB44416" s="38"/>
    </row>
    <row r="44417">
      <c r="P44417" s="42"/>
      <c r="AB44417" s="38"/>
    </row>
    <row r="44418">
      <c r="P44418" s="42"/>
      <c r="AB44418" s="38"/>
    </row>
    <row r="44419">
      <c r="P44419" s="42"/>
      <c r="AB44419" s="38"/>
    </row>
    <row r="44420">
      <c r="P44420" s="42"/>
      <c r="AB44420" s="38"/>
    </row>
    <row r="44421">
      <c r="P44421" s="42"/>
      <c r="AB44421" s="38"/>
    </row>
    <row r="44422">
      <c r="P44422" s="42"/>
      <c r="AB44422" s="38"/>
    </row>
    <row r="44423">
      <c r="P44423" s="42"/>
      <c r="AB44423" s="38"/>
    </row>
    <row r="44424">
      <c r="P44424" s="42"/>
      <c r="AB44424" s="38"/>
    </row>
    <row r="44425">
      <c r="P44425" s="42"/>
      <c r="AB44425" s="38"/>
    </row>
    <row r="44426">
      <c r="P44426" s="42"/>
      <c r="AB44426" s="38"/>
    </row>
    <row r="44427">
      <c r="P44427" s="42"/>
      <c r="AB44427" s="38"/>
    </row>
    <row r="44428">
      <c r="P44428" s="42"/>
      <c r="AB44428" s="38"/>
    </row>
    <row r="44429">
      <c r="P44429" s="42"/>
      <c r="AB44429" s="38"/>
    </row>
    <row r="44430">
      <c r="P44430" s="42"/>
      <c r="AB44430" s="38"/>
    </row>
    <row r="44431">
      <c r="P44431" s="42"/>
      <c r="AB44431" s="38"/>
    </row>
    <row r="44432">
      <c r="P44432" s="42"/>
      <c r="AB44432" s="38"/>
    </row>
    <row r="44433">
      <c r="P44433" s="42"/>
      <c r="AB44433" s="38"/>
    </row>
    <row r="44434">
      <c r="P44434" s="42"/>
      <c r="AB44434" s="38"/>
    </row>
    <row r="44435">
      <c r="P44435" s="42"/>
      <c r="AB44435" s="38"/>
    </row>
    <row r="44436">
      <c r="P44436" s="42"/>
      <c r="AB44436" s="38"/>
    </row>
    <row r="44437">
      <c r="P44437" s="42"/>
      <c r="AB44437" s="38"/>
    </row>
    <row r="44438">
      <c r="P44438" s="42"/>
      <c r="AB44438" s="38"/>
    </row>
    <row r="44439">
      <c r="P44439" s="42"/>
      <c r="AB44439" s="38"/>
    </row>
    <row r="44440">
      <c r="P44440" s="42"/>
      <c r="AB44440" s="38"/>
    </row>
    <row r="44441">
      <c r="P44441" s="42"/>
      <c r="AB44441" s="38"/>
    </row>
    <row r="44442">
      <c r="P44442" s="42"/>
      <c r="AB44442" s="38"/>
    </row>
    <row r="44443">
      <c r="P44443" s="42"/>
      <c r="AB44443" s="38"/>
    </row>
    <row r="44444">
      <c r="P44444" s="42"/>
      <c r="AB44444" s="38"/>
    </row>
    <row r="44445">
      <c r="P44445" s="42"/>
      <c r="AB44445" s="38"/>
    </row>
    <row r="44446">
      <c r="P44446" s="42"/>
      <c r="AB44446" s="38"/>
    </row>
    <row r="44447">
      <c r="P44447" s="42"/>
      <c r="AB44447" s="38"/>
    </row>
    <row r="44448">
      <c r="P44448" s="42"/>
      <c r="AB44448" s="38"/>
    </row>
    <row r="44449">
      <c r="P44449" s="42"/>
      <c r="AB44449" s="38"/>
    </row>
    <row r="44450">
      <c r="P44450" s="42"/>
      <c r="AB44450" s="38"/>
    </row>
    <row r="44451">
      <c r="P44451" s="42"/>
      <c r="AB44451" s="38"/>
    </row>
    <row r="44452">
      <c r="P44452" s="42"/>
      <c r="AB44452" s="38"/>
    </row>
    <row r="44453">
      <c r="P44453" s="42"/>
      <c r="AB44453" s="38"/>
    </row>
    <row r="44454">
      <c r="P44454" s="42"/>
      <c r="AB44454" s="38"/>
    </row>
    <row r="44455">
      <c r="P44455" s="42"/>
      <c r="AB44455" s="38"/>
    </row>
    <row r="44456">
      <c r="P44456" s="42"/>
      <c r="AB44456" s="38"/>
    </row>
    <row r="44457">
      <c r="P44457" s="42"/>
      <c r="AB44457" s="38"/>
    </row>
    <row r="44458">
      <c r="P44458" s="42"/>
      <c r="AB44458" s="38"/>
    </row>
    <row r="44459">
      <c r="P44459" s="42"/>
      <c r="AB44459" s="38"/>
    </row>
    <row r="44460">
      <c r="P44460" s="42"/>
      <c r="AB44460" s="38"/>
    </row>
    <row r="44461">
      <c r="P44461" s="42"/>
      <c r="AB44461" s="38"/>
    </row>
    <row r="44462">
      <c r="P44462" s="42"/>
      <c r="AB44462" s="38"/>
    </row>
    <row r="44463">
      <c r="P44463" s="42"/>
      <c r="AB44463" s="38"/>
    </row>
    <row r="44464">
      <c r="P44464" s="42"/>
      <c r="AB44464" s="38"/>
    </row>
    <row r="44465">
      <c r="P44465" s="42"/>
      <c r="AB44465" s="38"/>
    </row>
    <row r="44466">
      <c r="P44466" s="42"/>
      <c r="AB44466" s="38"/>
    </row>
    <row r="44467">
      <c r="P44467" s="42"/>
      <c r="AB44467" s="38"/>
    </row>
    <row r="44468">
      <c r="P44468" s="42"/>
      <c r="AB44468" s="38"/>
    </row>
    <row r="44469">
      <c r="P44469" s="42"/>
      <c r="AB44469" s="38"/>
    </row>
    <row r="44470">
      <c r="P44470" s="42"/>
      <c r="AB44470" s="38"/>
    </row>
    <row r="44471">
      <c r="P44471" s="42"/>
      <c r="AB44471" s="38"/>
    </row>
    <row r="44472">
      <c r="P44472" s="42"/>
      <c r="AB44472" s="38"/>
    </row>
    <row r="44473">
      <c r="P44473" s="42"/>
      <c r="AB44473" s="38"/>
    </row>
    <row r="44474">
      <c r="P44474" s="42"/>
      <c r="AB44474" s="38"/>
    </row>
    <row r="44475">
      <c r="P44475" s="42"/>
      <c r="AB44475" s="38"/>
    </row>
    <row r="44476">
      <c r="P44476" s="42"/>
      <c r="AB44476" s="38"/>
    </row>
    <row r="44477">
      <c r="P44477" s="42"/>
      <c r="AB44477" s="38"/>
    </row>
    <row r="44478">
      <c r="P44478" s="42"/>
      <c r="AB44478" s="38"/>
    </row>
    <row r="44479">
      <c r="P44479" s="42"/>
      <c r="AB44479" s="38"/>
    </row>
    <row r="44480">
      <c r="P44480" s="42"/>
      <c r="AB44480" s="38"/>
    </row>
    <row r="44481">
      <c r="P44481" s="42"/>
      <c r="AB44481" s="38"/>
    </row>
    <row r="44482">
      <c r="P44482" s="42"/>
      <c r="AB44482" s="38"/>
    </row>
    <row r="44483">
      <c r="P44483" s="42"/>
      <c r="AB44483" s="38"/>
    </row>
    <row r="44484">
      <c r="P44484" s="42"/>
      <c r="AB44484" s="38"/>
    </row>
    <row r="44485">
      <c r="P44485" s="42"/>
      <c r="AB44485" s="38"/>
    </row>
    <row r="44486">
      <c r="P44486" s="42"/>
      <c r="AB44486" s="38"/>
    </row>
    <row r="44487">
      <c r="P44487" s="42"/>
      <c r="AB44487" s="38"/>
    </row>
    <row r="44488">
      <c r="P44488" s="42"/>
      <c r="AB44488" s="38"/>
    </row>
    <row r="44489">
      <c r="P44489" s="42"/>
      <c r="AB44489" s="38"/>
    </row>
    <row r="44490">
      <c r="P44490" s="42"/>
      <c r="AB44490" s="38"/>
    </row>
    <row r="44491">
      <c r="P44491" s="42"/>
      <c r="AB44491" s="38"/>
    </row>
    <row r="44492">
      <c r="P44492" s="42"/>
      <c r="AB44492" s="38"/>
    </row>
    <row r="44493">
      <c r="P44493" s="42"/>
      <c r="AB44493" s="38"/>
    </row>
    <row r="44494">
      <c r="P44494" s="42"/>
      <c r="AB44494" s="38"/>
    </row>
    <row r="44495">
      <c r="P44495" s="42"/>
      <c r="AB44495" s="38"/>
    </row>
    <row r="44496">
      <c r="P44496" s="42"/>
      <c r="AB44496" s="38"/>
    </row>
    <row r="44497">
      <c r="P44497" s="42"/>
      <c r="AB44497" s="38"/>
    </row>
    <row r="44498">
      <c r="P44498" s="42"/>
      <c r="AB44498" s="38"/>
    </row>
    <row r="44499">
      <c r="P44499" s="42"/>
      <c r="AB44499" s="38"/>
    </row>
    <row r="44500">
      <c r="P44500" s="42"/>
      <c r="AB44500" s="38"/>
    </row>
    <row r="44501">
      <c r="P44501" s="42"/>
      <c r="AB44501" s="38"/>
    </row>
    <row r="44502">
      <c r="P44502" s="42"/>
      <c r="AB44502" s="38"/>
    </row>
    <row r="44503">
      <c r="P44503" s="42"/>
      <c r="AB44503" s="38"/>
    </row>
    <row r="44504">
      <c r="P44504" s="42"/>
      <c r="AB44504" s="38"/>
    </row>
    <row r="44505">
      <c r="P44505" s="42"/>
      <c r="AB44505" s="38"/>
    </row>
    <row r="44506">
      <c r="P44506" s="42"/>
      <c r="AB44506" s="38"/>
    </row>
    <row r="44507">
      <c r="P44507" s="42"/>
      <c r="AB44507" s="38"/>
    </row>
    <row r="44508">
      <c r="P44508" s="42"/>
      <c r="AB44508" s="38"/>
    </row>
    <row r="44509">
      <c r="P44509" s="42"/>
      <c r="AB44509" s="38"/>
    </row>
    <row r="44510">
      <c r="P44510" s="42"/>
      <c r="AB44510" s="38"/>
    </row>
    <row r="44511">
      <c r="P44511" s="42"/>
      <c r="AB44511" s="38"/>
    </row>
    <row r="44512">
      <c r="P44512" s="42"/>
      <c r="AB44512" s="38"/>
    </row>
    <row r="44513">
      <c r="P44513" s="42"/>
      <c r="AB44513" s="38"/>
    </row>
    <row r="44514">
      <c r="P44514" s="42"/>
      <c r="AB44514" s="38"/>
    </row>
    <row r="44515">
      <c r="P44515" s="42"/>
      <c r="AB44515" s="38"/>
    </row>
    <row r="44516">
      <c r="P44516" s="42"/>
      <c r="AB44516" s="38"/>
    </row>
    <row r="44517">
      <c r="P44517" s="42"/>
      <c r="AB44517" s="38"/>
    </row>
    <row r="44518">
      <c r="P44518" s="42"/>
      <c r="AB44518" s="38"/>
    </row>
    <row r="44519">
      <c r="P44519" s="42"/>
      <c r="AB44519" s="38"/>
    </row>
    <row r="44520">
      <c r="P44520" s="42"/>
      <c r="AB44520" s="38"/>
    </row>
    <row r="44521">
      <c r="P44521" s="42"/>
      <c r="AB44521" s="38"/>
    </row>
    <row r="44522">
      <c r="P44522" s="42"/>
      <c r="AB44522" s="38"/>
    </row>
    <row r="44523">
      <c r="P44523" s="42"/>
      <c r="AB44523" s="38"/>
    </row>
    <row r="44524">
      <c r="P44524" s="42"/>
      <c r="AB44524" s="38"/>
    </row>
    <row r="44525">
      <c r="P44525" s="42"/>
      <c r="AB44525" s="38"/>
    </row>
    <row r="44526">
      <c r="P44526" s="42"/>
      <c r="AB44526" s="38"/>
    </row>
    <row r="44527">
      <c r="P44527" s="42"/>
      <c r="AB44527" s="38"/>
    </row>
    <row r="44528">
      <c r="P44528" s="42"/>
      <c r="AB44528" s="38"/>
    </row>
    <row r="44529">
      <c r="P44529" s="42"/>
      <c r="AB44529" s="38"/>
    </row>
    <row r="44530">
      <c r="P44530" s="42"/>
      <c r="AB44530" s="38"/>
    </row>
    <row r="44531">
      <c r="P44531" s="42"/>
      <c r="AB44531" s="38"/>
    </row>
    <row r="44532">
      <c r="P44532" s="42"/>
      <c r="AB44532" s="38"/>
    </row>
    <row r="44533">
      <c r="P44533" s="42"/>
      <c r="AB44533" s="38"/>
    </row>
    <row r="44534">
      <c r="P44534" s="42"/>
      <c r="AB44534" s="38"/>
    </row>
    <row r="44535">
      <c r="P44535" s="42"/>
      <c r="AB44535" s="38"/>
    </row>
    <row r="44536">
      <c r="P44536" s="42"/>
      <c r="AB44536" s="38"/>
    </row>
    <row r="44537">
      <c r="P44537" s="42"/>
      <c r="AB44537" s="38"/>
    </row>
    <row r="44538">
      <c r="P44538" s="42"/>
      <c r="AB44538" s="38"/>
    </row>
    <row r="44539">
      <c r="P44539" s="42"/>
      <c r="AB44539" s="38"/>
    </row>
    <row r="44540">
      <c r="P44540" s="42"/>
      <c r="AB44540" s="38"/>
    </row>
    <row r="44541">
      <c r="P44541" s="42"/>
      <c r="AB44541" s="38"/>
    </row>
    <row r="44542">
      <c r="P44542" s="42"/>
      <c r="AB44542" s="38"/>
    </row>
    <row r="44543">
      <c r="P44543" s="42"/>
      <c r="AB44543" s="38"/>
    </row>
    <row r="44544">
      <c r="P44544" s="42"/>
      <c r="AB44544" s="38"/>
    </row>
    <row r="44545">
      <c r="P44545" s="42"/>
      <c r="AB44545" s="38"/>
    </row>
    <row r="44546">
      <c r="P44546" s="42"/>
      <c r="AB44546" s="38"/>
    </row>
    <row r="44547">
      <c r="P44547" s="42"/>
      <c r="AB44547" s="38"/>
    </row>
    <row r="44548">
      <c r="P44548" s="42"/>
      <c r="AB44548" s="38"/>
    </row>
    <row r="44549">
      <c r="P44549" s="42"/>
      <c r="AB44549" s="38"/>
    </row>
    <row r="44550">
      <c r="P44550" s="42"/>
      <c r="AB44550" s="38"/>
    </row>
    <row r="44551">
      <c r="P44551" s="42"/>
      <c r="AB44551" s="38"/>
    </row>
    <row r="44552">
      <c r="P44552" s="42"/>
      <c r="AB44552" s="38"/>
    </row>
    <row r="44553">
      <c r="P44553" s="42"/>
      <c r="AB44553" s="38"/>
    </row>
    <row r="44554">
      <c r="P44554" s="42"/>
      <c r="AB44554" s="38"/>
    </row>
    <row r="44555">
      <c r="P44555" s="42"/>
      <c r="AB44555" s="38"/>
    </row>
    <row r="44556">
      <c r="P44556" s="42"/>
      <c r="AB44556" s="38"/>
    </row>
    <row r="44557">
      <c r="P44557" s="42"/>
      <c r="AB44557" s="38"/>
    </row>
    <row r="44558">
      <c r="P44558" s="42"/>
      <c r="AB44558" s="38"/>
    </row>
    <row r="44559">
      <c r="P44559" s="42"/>
      <c r="AB44559" s="38"/>
    </row>
    <row r="44560">
      <c r="P44560" s="42"/>
      <c r="AB44560" s="38"/>
    </row>
    <row r="44561">
      <c r="P44561" s="42"/>
      <c r="AB44561" s="38"/>
    </row>
    <row r="44562">
      <c r="P44562" s="42"/>
      <c r="AB44562" s="38"/>
    </row>
    <row r="44563">
      <c r="P44563" s="42"/>
      <c r="AB44563" s="38"/>
    </row>
    <row r="44564">
      <c r="P44564" s="42"/>
      <c r="AB44564" s="38"/>
    </row>
    <row r="44565">
      <c r="P44565" s="42"/>
      <c r="AB44565" s="38"/>
    </row>
    <row r="44566">
      <c r="P44566" s="42"/>
      <c r="AB44566" s="38"/>
    </row>
    <row r="44567">
      <c r="P44567" s="42"/>
      <c r="AB44567" s="38"/>
    </row>
    <row r="44568">
      <c r="P44568" s="42"/>
      <c r="AB44568" s="38"/>
    </row>
    <row r="44569">
      <c r="P44569" s="42"/>
      <c r="AB44569" s="38"/>
    </row>
    <row r="44570">
      <c r="P44570" s="42"/>
      <c r="AB44570" s="38"/>
    </row>
    <row r="44571">
      <c r="P44571" s="42"/>
      <c r="AB44571" s="38"/>
    </row>
    <row r="44572">
      <c r="P44572" s="42"/>
      <c r="AB44572" s="38"/>
    </row>
    <row r="44573">
      <c r="P44573" s="42"/>
      <c r="AB44573" s="38"/>
    </row>
    <row r="44574">
      <c r="P44574" s="42"/>
      <c r="AB44574" s="38"/>
    </row>
    <row r="44575">
      <c r="P44575" s="42"/>
      <c r="AB44575" s="38"/>
    </row>
    <row r="44576">
      <c r="P44576" s="42"/>
      <c r="AB44576" s="38"/>
    </row>
    <row r="44577">
      <c r="P44577" s="42"/>
      <c r="AB44577" s="38"/>
    </row>
    <row r="44578">
      <c r="P44578" s="42"/>
      <c r="AB44578" s="38"/>
    </row>
    <row r="44579">
      <c r="P44579" s="42"/>
      <c r="AB44579" s="38"/>
    </row>
    <row r="44580">
      <c r="P44580" s="42"/>
      <c r="AB44580" s="38"/>
    </row>
    <row r="44581">
      <c r="P44581" s="42"/>
      <c r="AB44581" s="38"/>
    </row>
    <row r="44582">
      <c r="P44582" s="42"/>
      <c r="AB44582" s="38"/>
    </row>
    <row r="44583">
      <c r="P44583" s="42"/>
      <c r="AB44583" s="38"/>
    </row>
    <row r="44584">
      <c r="P44584" s="42"/>
      <c r="AB44584" s="38"/>
    </row>
    <row r="44585">
      <c r="P44585" s="42"/>
      <c r="AB44585" s="38"/>
    </row>
    <row r="44586">
      <c r="P44586" s="42"/>
      <c r="AB44586" s="38"/>
    </row>
    <row r="44587">
      <c r="P44587" s="42"/>
      <c r="AB44587" s="38"/>
    </row>
    <row r="44588">
      <c r="P44588" s="42"/>
      <c r="AB44588" s="38"/>
    </row>
    <row r="44589">
      <c r="P44589" s="42"/>
      <c r="AB44589" s="38"/>
    </row>
    <row r="44590">
      <c r="P44590" s="42"/>
      <c r="AB44590" s="38"/>
    </row>
    <row r="44591">
      <c r="P44591" s="42"/>
      <c r="AB44591" s="38"/>
    </row>
    <row r="44592">
      <c r="P44592" s="42"/>
      <c r="AB44592" s="38"/>
    </row>
    <row r="44593">
      <c r="P44593" s="42"/>
      <c r="AB44593" s="38"/>
    </row>
    <row r="44594">
      <c r="P44594" s="42"/>
      <c r="AB44594" s="38"/>
    </row>
    <row r="44595">
      <c r="P44595" s="42"/>
      <c r="AB44595" s="38"/>
    </row>
    <row r="44596">
      <c r="P44596" s="42"/>
      <c r="AB44596" s="38"/>
    </row>
    <row r="44597">
      <c r="P44597" s="42"/>
      <c r="AB44597" s="38"/>
    </row>
    <row r="44598">
      <c r="P44598" s="42"/>
      <c r="AB44598" s="38"/>
    </row>
    <row r="44599">
      <c r="P44599" s="42"/>
      <c r="AB44599" s="38"/>
    </row>
    <row r="44600">
      <c r="P44600" s="42"/>
      <c r="AB44600" s="38"/>
    </row>
    <row r="44601">
      <c r="P44601" s="42"/>
      <c r="AB44601" s="38"/>
    </row>
    <row r="44602">
      <c r="P44602" s="42"/>
      <c r="AB44602" s="38"/>
    </row>
    <row r="44603">
      <c r="P44603" s="42"/>
      <c r="AB44603" s="38"/>
    </row>
    <row r="44604">
      <c r="P44604" s="42"/>
      <c r="AB44604" s="38"/>
    </row>
    <row r="44605">
      <c r="P44605" s="42"/>
      <c r="AB44605" s="38"/>
    </row>
    <row r="44606">
      <c r="P44606" s="42"/>
      <c r="AB44606" s="38"/>
    </row>
    <row r="44607">
      <c r="P44607" s="42"/>
      <c r="AB44607" s="38"/>
    </row>
    <row r="44608">
      <c r="P44608" s="42"/>
      <c r="AB44608" s="38"/>
    </row>
    <row r="44609">
      <c r="P44609" s="42"/>
      <c r="AB44609" s="38"/>
    </row>
    <row r="44610">
      <c r="P44610" s="42"/>
      <c r="AB44610" s="38"/>
    </row>
    <row r="44611">
      <c r="P44611" s="42"/>
      <c r="AB44611" s="38"/>
    </row>
    <row r="44612">
      <c r="P44612" s="42"/>
      <c r="AB44612" s="38"/>
    </row>
    <row r="44613">
      <c r="P44613" s="42"/>
      <c r="AB44613" s="38"/>
    </row>
    <row r="44614">
      <c r="P44614" s="42"/>
      <c r="AB44614" s="38"/>
    </row>
    <row r="44615">
      <c r="P44615" s="42"/>
      <c r="AB44615" s="38"/>
    </row>
    <row r="44616">
      <c r="P44616" s="42"/>
      <c r="AB44616" s="38"/>
    </row>
    <row r="44617">
      <c r="P44617" s="42"/>
      <c r="AB44617" s="38"/>
    </row>
    <row r="44618">
      <c r="P44618" s="42"/>
      <c r="AB44618" s="38"/>
    </row>
    <row r="44619">
      <c r="P44619" s="42"/>
      <c r="AB44619" s="38"/>
    </row>
    <row r="44620">
      <c r="P44620" s="42"/>
      <c r="AB44620" s="38"/>
    </row>
    <row r="44621">
      <c r="P44621" s="42"/>
      <c r="AB44621" s="38"/>
    </row>
    <row r="44622">
      <c r="P44622" s="42"/>
      <c r="AB44622" s="38"/>
    </row>
    <row r="44623">
      <c r="P44623" s="42"/>
      <c r="AB44623" s="38"/>
    </row>
    <row r="44624">
      <c r="P44624" s="42"/>
      <c r="AB44624" s="38"/>
    </row>
    <row r="44625">
      <c r="P44625" s="42"/>
      <c r="AB44625" s="38"/>
    </row>
    <row r="44626">
      <c r="P44626" s="42"/>
      <c r="AB44626" s="38"/>
    </row>
    <row r="44627">
      <c r="P44627" s="42"/>
      <c r="AB44627" s="38"/>
    </row>
    <row r="44628">
      <c r="P44628" s="42"/>
      <c r="AB44628" s="38"/>
    </row>
    <row r="44629">
      <c r="P44629" s="42"/>
      <c r="AB44629" s="38"/>
    </row>
    <row r="44630">
      <c r="P44630" s="42"/>
      <c r="AB44630" s="38"/>
    </row>
    <row r="44631">
      <c r="P44631" s="42"/>
      <c r="AB44631" s="38"/>
    </row>
    <row r="44632">
      <c r="P44632" s="42"/>
      <c r="AB44632" s="38"/>
    </row>
    <row r="44633">
      <c r="P44633" s="42"/>
      <c r="AB44633" s="38"/>
    </row>
    <row r="44634">
      <c r="P44634" s="42"/>
      <c r="AB44634" s="38"/>
    </row>
    <row r="44635">
      <c r="P44635" s="42"/>
      <c r="AB44635" s="38"/>
    </row>
    <row r="44636">
      <c r="P44636" s="42"/>
      <c r="AB44636" s="38"/>
    </row>
    <row r="44637">
      <c r="P44637" s="42"/>
      <c r="AB44637" s="38"/>
    </row>
    <row r="44638">
      <c r="P44638" s="42"/>
      <c r="AB44638" s="38"/>
    </row>
    <row r="44639">
      <c r="P44639" s="42"/>
      <c r="AB44639" s="38"/>
    </row>
    <row r="44640">
      <c r="P44640" s="42"/>
      <c r="AB44640" s="38"/>
    </row>
    <row r="44641">
      <c r="P44641" s="42"/>
      <c r="AB44641" s="38"/>
    </row>
    <row r="44642">
      <c r="P44642" s="42"/>
      <c r="AB44642" s="38"/>
    </row>
    <row r="44643">
      <c r="P44643" s="42"/>
      <c r="AB44643" s="38"/>
    </row>
    <row r="44644">
      <c r="P44644" s="42"/>
      <c r="AB44644" s="38"/>
    </row>
    <row r="44645">
      <c r="P44645" s="42"/>
      <c r="AB44645" s="38"/>
    </row>
    <row r="44646">
      <c r="P44646" s="42"/>
      <c r="AB44646" s="38"/>
    </row>
    <row r="44647">
      <c r="P44647" s="42"/>
      <c r="AB44647" s="38"/>
    </row>
    <row r="44648">
      <c r="P44648" s="42"/>
      <c r="AB44648" s="38"/>
    </row>
    <row r="44649">
      <c r="P44649" s="42"/>
      <c r="AB44649" s="38"/>
    </row>
    <row r="44650">
      <c r="P44650" s="42"/>
      <c r="AB44650" s="38"/>
    </row>
    <row r="44651">
      <c r="P44651" s="42"/>
      <c r="AB44651" s="38"/>
    </row>
    <row r="44652">
      <c r="P44652" s="42"/>
      <c r="AB44652" s="38"/>
    </row>
    <row r="44653">
      <c r="P44653" s="42"/>
      <c r="AB44653" s="38"/>
    </row>
    <row r="44654">
      <c r="P44654" s="42"/>
      <c r="AB44654" s="38"/>
    </row>
    <row r="44655">
      <c r="P44655" s="42"/>
      <c r="AB44655" s="38"/>
    </row>
    <row r="44656">
      <c r="P44656" s="42"/>
      <c r="AB44656" s="38"/>
    </row>
    <row r="44657">
      <c r="P44657" s="42"/>
      <c r="AB44657" s="38"/>
    </row>
    <row r="44658">
      <c r="P44658" s="42"/>
      <c r="AB44658" s="38"/>
    </row>
    <row r="44659">
      <c r="P44659" s="42"/>
      <c r="AB44659" s="38"/>
    </row>
    <row r="44660">
      <c r="P44660" s="42"/>
      <c r="AB44660" s="38"/>
    </row>
    <row r="44661">
      <c r="P44661" s="42"/>
      <c r="AB44661" s="38"/>
    </row>
    <row r="44662">
      <c r="P44662" s="42"/>
      <c r="AB44662" s="38"/>
    </row>
    <row r="44663">
      <c r="P44663" s="42"/>
      <c r="AB44663" s="38"/>
    </row>
    <row r="44664">
      <c r="P44664" s="42"/>
      <c r="AB44664" s="38"/>
    </row>
    <row r="44665">
      <c r="P44665" s="42"/>
      <c r="AB44665" s="38"/>
    </row>
    <row r="44666">
      <c r="P44666" s="42"/>
      <c r="AB44666" s="38"/>
    </row>
    <row r="44667">
      <c r="P44667" s="42"/>
      <c r="AB44667" s="38"/>
    </row>
    <row r="44668">
      <c r="P44668" s="42"/>
      <c r="AB44668" s="38"/>
    </row>
    <row r="44669">
      <c r="P44669" s="42"/>
      <c r="AB44669" s="38"/>
    </row>
    <row r="44670">
      <c r="P44670" s="42"/>
      <c r="AB44670" s="38"/>
    </row>
    <row r="44671">
      <c r="P44671" s="42"/>
      <c r="AB44671" s="38"/>
    </row>
    <row r="44672">
      <c r="P44672" s="42"/>
      <c r="AB44672" s="38"/>
    </row>
    <row r="44673">
      <c r="P44673" s="42"/>
      <c r="AB44673" s="38"/>
    </row>
    <row r="44674">
      <c r="P44674" s="42"/>
      <c r="AB44674" s="38"/>
    </row>
    <row r="44675">
      <c r="P44675" s="42"/>
      <c r="AB44675" s="38"/>
    </row>
    <row r="44676">
      <c r="P44676" s="42"/>
      <c r="AB44676" s="38"/>
    </row>
    <row r="44677">
      <c r="P44677" s="42"/>
      <c r="AB44677" s="38"/>
    </row>
    <row r="44678">
      <c r="P44678" s="42"/>
      <c r="AB44678" s="38"/>
    </row>
    <row r="44679">
      <c r="P44679" s="42"/>
      <c r="AB44679" s="38"/>
    </row>
    <row r="44680">
      <c r="P44680" s="42"/>
      <c r="AB44680" s="38"/>
    </row>
    <row r="44681">
      <c r="P44681" s="42"/>
      <c r="AB44681" s="38"/>
    </row>
    <row r="44682">
      <c r="P44682" s="42"/>
      <c r="AB44682" s="38"/>
    </row>
    <row r="44683">
      <c r="P44683" s="42"/>
      <c r="AB44683" s="38"/>
    </row>
    <row r="44684">
      <c r="P44684" s="42"/>
      <c r="AB44684" s="38"/>
    </row>
    <row r="44685">
      <c r="P44685" s="42"/>
      <c r="AB44685" s="38"/>
    </row>
    <row r="44686">
      <c r="P44686" s="42"/>
      <c r="AB44686" s="38"/>
    </row>
    <row r="44687">
      <c r="P44687" s="42"/>
      <c r="AB44687" s="38"/>
    </row>
    <row r="44688">
      <c r="P44688" s="42"/>
      <c r="AB44688" s="38"/>
    </row>
    <row r="44689">
      <c r="P44689" s="42"/>
      <c r="AB44689" s="38"/>
    </row>
    <row r="44690">
      <c r="P44690" s="42"/>
      <c r="AB44690" s="38"/>
    </row>
    <row r="44691">
      <c r="P44691" s="42"/>
      <c r="AB44691" s="38"/>
    </row>
    <row r="44692">
      <c r="P44692" s="42"/>
      <c r="AB44692" s="38"/>
    </row>
    <row r="44693">
      <c r="P44693" s="42"/>
      <c r="AB44693" s="38"/>
    </row>
    <row r="44694">
      <c r="P44694" s="42"/>
      <c r="AB44694" s="38"/>
    </row>
    <row r="44695">
      <c r="P44695" s="42"/>
      <c r="AB44695" s="38"/>
    </row>
    <row r="44696">
      <c r="P44696" s="42"/>
      <c r="AB44696" s="38"/>
    </row>
    <row r="44697">
      <c r="P44697" s="42"/>
      <c r="AB44697" s="38"/>
    </row>
    <row r="44698">
      <c r="P44698" s="42"/>
      <c r="AB44698" s="38"/>
    </row>
    <row r="44699">
      <c r="P44699" s="42"/>
      <c r="AB44699" s="38"/>
    </row>
    <row r="44700">
      <c r="P44700" s="42"/>
      <c r="AB44700" s="38"/>
    </row>
    <row r="44701">
      <c r="P44701" s="42"/>
      <c r="AB44701" s="38"/>
    </row>
    <row r="44702">
      <c r="P44702" s="42"/>
      <c r="AB44702" s="38"/>
    </row>
    <row r="44703">
      <c r="P44703" s="42"/>
      <c r="AB44703" s="38"/>
    </row>
    <row r="44704">
      <c r="P44704" s="42"/>
      <c r="AB44704" s="38"/>
    </row>
    <row r="44705">
      <c r="P44705" s="42"/>
      <c r="AB44705" s="38"/>
    </row>
    <row r="44706">
      <c r="P44706" s="42"/>
      <c r="AB44706" s="38"/>
    </row>
    <row r="44707">
      <c r="P44707" s="42"/>
      <c r="AB44707" s="38"/>
    </row>
    <row r="44708">
      <c r="P44708" s="42"/>
      <c r="AB44708" s="38"/>
    </row>
    <row r="44709">
      <c r="P44709" s="42"/>
      <c r="AB44709" s="38"/>
    </row>
    <row r="44710">
      <c r="P44710" s="42"/>
      <c r="AB44710" s="38"/>
    </row>
    <row r="44711">
      <c r="P44711" s="42"/>
      <c r="AB44711" s="38"/>
    </row>
    <row r="44712">
      <c r="P44712" s="42"/>
      <c r="AB44712" s="38"/>
    </row>
    <row r="44713">
      <c r="P44713" s="42"/>
      <c r="AB44713" s="38"/>
    </row>
    <row r="44714">
      <c r="P44714" s="42"/>
      <c r="AB44714" s="38"/>
    </row>
    <row r="44715">
      <c r="P44715" s="42"/>
      <c r="AB44715" s="38"/>
    </row>
    <row r="44716">
      <c r="P44716" s="42"/>
      <c r="AB44716" s="38"/>
    </row>
    <row r="44717">
      <c r="P44717" s="42"/>
      <c r="AB44717" s="38"/>
    </row>
    <row r="44718">
      <c r="P44718" s="42"/>
      <c r="AB44718" s="38"/>
    </row>
    <row r="44719">
      <c r="P44719" s="42"/>
      <c r="AB44719" s="38"/>
    </row>
    <row r="44720">
      <c r="P44720" s="42"/>
      <c r="AB44720" s="38"/>
    </row>
    <row r="44721">
      <c r="P44721" s="42"/>
      <c r="AB44721" s="38"/>
    </row>
    <row r="44722">
      <c r="P44722" s="42"/>
      <c r="AB44722" s="38"/>
    </row>
    <row r="44723">
      <c r="P44723" s="42"/>
      <c r="AB44723" s="38"/>
    </row>
    <row r="44724">
      <c r="P44724" s="42"/>
      <c r="AB44724" s="38"/>
    </row>
    <row r="44725">
      <c r="P44725" s="42"/>
      <c r="AB44725" s="38"/>
    </row>
    <row r="44726">
      <c r="P44726" s="42"/>
      <c r="AB44726" s="38"/>
    </row>
    <row r="44727">
      <c r="P44727" s="42"/>
      <c r="AB44727" s="38"/>
    </row>
    <row r="44728">
      <c r="P44728" s="42"/>
      <c r="AB44728" s="38"/>
    </row>
    <row r="44729">
      <c r="P44729" s="42"/>
      <c r="AB44729" s="38"/>
    </row>
    <row r="44730">
      <c r="P44730" s="42"/>
      <c r="AB44730" s="38"/>
    </row>
    <row r="44731">
      <c r="P44731" s="42"/>
      <c r="AB44731" s="38"/>
    </row>
    <row r="44732">
      <c r="P44732" s="42"/>
      <c r="AB44732" s="38"/>
    </row>
    <row r="44733">
      <c r="P44733" s="42"/>
      <c r="AB44733" s="38"/>
    </row>
    <row r="44734">
      <c r="P44734" s="42"/>
      <c r="AB44734" s="38"/>
    </row>
    <row r="44735">
      <c r="P44735" s="42"/>
      <c r="AB44735" s="38"/>
    </row>
    <row r="44736">
      <c r="P44736" s="42"/>
      <c r="AB44736" s="38"/>
    </row>
    <row r="44737">
      <c r="P44737" s="42"/>
      <c r="AB44737" s="38"/>
    </row>
    <row r="44738">
      <c r="P44738" s="42"/>
      <c r="AB44738" s="38"/>
    </row>
    <row r="44739">
      <c r="P44739" s="42"/>
      <c r="AB44739" s="38"/>
    </row>
    <row r="44740">
      <c r="P44740" s="42"/>
      <c r="AB44740" s="38"/>
    </row>
    <row r="44741">
      <c r="P44741" s="42"/>
      <c r="AB44741" s="38"/>
    </row>
    <row r="44742">
      <c r="P44742" s="42"/>
      <c r="AB44742" s="38"/>
    </row>
    <row r="44743">
      <c r="P44743" s="42"/>
      <c r="AB44743" s="38"/>
    </row>
    <row r="44744">
      <c r="P44744" s="42"/>
      <c r="AB44744" s="38"/>
    </row>
    <row r="44745">
      <c r="P44745" s="42"/>
      <c r="AB44745" s="38"/>
    </row>
    <row r="44746">
      <c r="P44746" s="42"/>
      <c r="AB44746" s="38"/>
    </row>
    <row r="44747">
      <c r="P44747" s="42"/>
      <c r="AB44747" s="38"/>
    </row>
    <row r="44748">
      <c r="P44748" s="42"/>
      <c r="AB44748" s="38"/>
    </row>
    <row r="44749">
      <c r="P44749" s="42"/>
      <c r="AB44749" s="38"/>
    </row>
    <row r="44750">
      <c r="P44750" s="42"/>
      <c r="AB44750" s="38"/>
    </row>
    <row r="44751">
      <c r="P44751" s="42"/>
      <c r="AB44751" s="38"/>
    </row>
    <row r="44752">
      <c r="P44752" s="42"/>
      <c r="AB44752" s="38"/>
    </row>
    <row r="44753">
      <c r="P44753" s="42"/>
      <c r="AB44753" s="38"/>
    </row>
    <row r="44754">
      <c r="P44754" s="42"/>
      <c r="AB44754" s="38"/>
    </row>
    <row r="44755">
      <c r="P44755" s="42"/>
      <c r="AB44755" s="38"/>
    </row>
    <row r="44756">
      <c r="P44756" s="42"/>
      <c r="AB44756" s="38"/>
    </row>
    <row r="44757">
      <c r="P44757" s="42"/>
      <c r="AB44757" s="38"/>
    </row>
    <row r="44758">
      <c r="P44758" s="42"/>
      <c r="AB44758" s="38"/>
    </row>
    <row r="44759">
      <c r="P44759" s="42"/>
      <c r="AB44759" s="38"/>
    </row>
    <row r="44760">
      <c r="P44760" s="42"/>
      <c r="AB44760" s="38"/>
    </row>
    <row r="44761">
      <c r="P44761" s="42"/>
      <c r="AB44761" s="38"/>
    </row>
    <row r="44762">
      <c r="P44762" s="42"/>
      <c r="AB44762" s="38"/>
    </row>
    <row r="44763">
      <c r="P44763" s="42"/>
      <c r="AB44763" s="38"/>
    </row>
    <row r="44764">
      <c r="P44764" s="42"/>
      <c r="AB44764" s="38"/>
    </row>
    <row r="44765">
      <c r="P44765" s="42"/>
      <c r="AB44765" s="38"/>
    </row>
    <row r="44766">
      <c r="P44766" s="42"/>
      <c r="AB44766" s="38"/>
    </row>
    <row r="44767">
      <c r="P44767" s="42"/>
      <c r="AB44767" s="38"/>
    </row>
    <row r="44768">
      <c r="P44768" s="42"/>
      <c r="AB44768" s="38"/>
    </row>
    <row r="44769">
      <c r="P44769" s="42"/>
      <c r="AB44769" s="38"/>
    </row>
    <row r="44770">
      <c r="P44770" s="42"/>
      <c r="AB44770" s="38"/>
    </row>
    <row r="44771">
      <c r="P44771" s="42"/>
      <c r="AB44771" s="38"/>
    </row>
    <row r="44772">
      <c r="P44772" s="42"/>
      <c r="AB44772" s="38"/>
    </row>
    <row r="44773">
      <c r="P44773" s="42"/>
      <c r="AB44773" s="38"/>
    </row>
    <row r="44774">
      <c r="P44774" s="42"/>
      <c r="AB44774" s="38"/>
    </row>
    <row r="44775">
      <c r="P44775" s="42"/>
      <c r="AB44775" s="38"/>
    </row>
    <row r="44776">
      <c r="P44776" s="42"/>
      <c r="AB44776" s="38"/>
    </row>
    <row r="44777">
      <c r="P44777" s="42"/>
      <c r="AB44777" s="38"/>
    </row>
    <row r="44778">
      <c r="P44778" s="42"/>
      <c r="AB44778" s="38"/>
    </row>
    <row r="44779">
      <c r="P44779" s="42"/>
      <c r="AB44779" s="38"/>
    </row>
    <row r="44780">
      <c r="P44780" s="42"/>
      <c r="AB44780" s="38"/>
    </row>
    <row r="44781">
      <c r="P44781" s="42"/>
      <c r="AB44781" s="38"/>
    </row>
    <row r="44782">
      <c r="P44782" s="42"/>
      <c r="AB44782" s="38"/>
    </row>
    <row r="44783">
      <c r="P44783" s="42"/>
      <c r="AB44783" s="38"/>
    </row>
    <row r="44784">
      <c r="P44784" s="42"/>
      <c r="AB44784" s="38"/>
    </row>
    <row r="44785">
      <c r="P44785" s="42"/>
      <c r="AB44785" s="38"/>
    </row>
    <row r="44786">
      <c r="P44786" s="42"/>
      <c r="AB44786" s="38"/>
    </row>
    <row r="44787">
      <c r="P44787" s="42"/>
      <c r="AB44787" s="38"/>
    </row>
    <row r="44788">
      <c r="P44788" s="42"/>
      <c r="AB44788" s="38"/>
    </row>
    <row r="44789">
      <c r="P44789" s="42"/>
      <c r="AB44789" s="38"/>
    </row>
    <row r="44790">
      <c r="P44790" s="42"/>
      <c r="AB44790" s="38"/>
    </row>
    <row r="44791">
      <c r="P44791" s="42"/>
      <c r="AB44791" s="38"/>
    </row>
    <row r="44792">
      <c r="P44792" s="42"/>
      <c r="AB44792" s="38"/>
    </row>
    <row r="44793">
      <c r="P44793" s="42"/>
      <c r="AB44793" s="38"/>
    </row>
    <row r="44794">
      <c r="P44794" s="42"/>
      <c r="AB44794" s="38"/>
    </row>
    <row r="44795">
      <c r="P44795" s="42"/>
      <c r="AB44795" s="38"/>
    </row>
    <row r="44796">
      <c r="P44796" s="42"/>
      <c r="AB44796" s="38"/>
    </row>
    <row r="44797">
      <c r="P44797" s="42"/>
      <c r="AB44797" s="38"/>
    </row>
    <row r="44798">
      <c r="P44798" s="42"/>
      <c r="AB44798" s="38"/>
    </row>
    <row r="44799">
      <c r="P44799" s="42"/>
      <c r="AB44799" s="38"/>
    </row>
    <row r="44800">
      <c r="P44800" s="42"/>
      <c r="AB44800" s="38"/>
    </row>
    <row r="44801">
      <c r="P44801" s="42"/>
      <c r="AB44801" s="38"/>
    </row>
    <row r="44802">
      <c r="P44802" s="42"/>
      <c r="AB44802" s="38"/>
    </row>
    <row r="44803">
      <c r="P44803" s="42"/>
      <c r="AB44803" s="38"/>
    </row>
    <row r="44804">
      <c r="P44804" s="42"/>
      <c r="AB44804" s="38"/>
    </row>
    <row r="44805">
      <c r="P44805" s="42"/>
      <c r="AB44805" s="38"/>
    </row>
    <row r="44806">
      <c r="P44806" s="42"/>
      <c r="AB44806" s="38"/>
    </row>
    <row r="44807">
      <c r="P44807" s="42"/>
      <c r="AB44807" s="38"/>
    </row>
    <row r="44808">
      <c r="P44808" s="42"/>
      <c r="AB44808" s="38"/>
    </row>
    <row r="44809">
      <c r="P44809" s="42"/>
      <c r="AB44809" s="38"/>
    </row>
    <row r="44810">
      <c r="P44810" s="42"/>
      <c r="AB44810" s="38"/>
    </row>
    <row r="44811">
      <c r="P44811" s="42"/>
      <c r="AB44811" s="38"/>
    </row>
    <row r="44812">
      <c r="P44812" s="42"/>
      <c r="AB44812" s="38"/>
    </row>
    <row r="44813">
      <c r="P44813" s="42"/>
      <c r="AB44813" s="38"/>
    </row>
    <row r="44814">
      <c r="P44814" s="42"/>
      <c r="AB44814" s="38"/>
    </row>
    <row r="44815">
      <c r="P44815" s="42"/>
      <c r="AB44815" s="38"/>
    </row>
    <row r="44816">
      <c r="P44816" s="42"/>
      <c r="AB44816" s="38"/>
    </row>
    <row r="44817">
      <c r="P44817" s="42"/>
      <c r="AB44817" s="38"/>
    </row>
    <row r="44818">
      <c r="P44818" s="42"/>
      <c r="AB44818" s="38"/>
    </row>
    <row r="44819">
      <c r="P44819" s="42"/>
      <c r="AB44819" s="38"/>
    </row>
    <row r="44820">
      <c r="P44820" s="42"/>
      <c r="AB44820" s="38"/>
    </row>
    <row r="44821">
      <c r="P44821" s="42"/>
      <c r="AB44821" s="38"/>
    </row>
    <row r="44822">
      <c r="P44822" s="42"/>
      <c r="AB44822" s="38"/>
    </row>
    <row r="44823">
      <c r="P44823" s="42"/>
      <c r="AB44823" s="38"/>
    </row>
    <row r="44824">
      <c r="P44824" s="42"/>
      <c r="AB44824" s="38"/>
    </row>
    <row r="44825">
      <c r="P44825" s="42"/>
      <c r="AB44825" s="38"/>
    </row>
    <row r="44826">
      <c r="P44826" s="42"/>
      <c r="AB44826" s="38"/>
    </row>
    <row r="44827">
      <c r="P44827" s="42"/>
      <c r="AB44827" s="38"/>
    </row>
    <row r="44828">
      <c r="P44828" s="42"/>
      <c r="AB44828" s="38"/>
    </row>
    <row r="44829">
      <c r="P44829" s="42"/>
      <c r="AB44829" s="38"/>
    </row>
    <row r="44830">
      <c r="P44830" s="42"/>
      <c r="AB44830" s="38"/>
    </row>
    <row r="44831">
      <c r="P44831" s="42"/>
      <c r="AB44831" s="38"/>
    </row>
    <row r="44832">
      <c r="P44832" s="42"/>
      <c r="AB44832" s="38"/>
    </row>
    <row r="44833">
      <c r="P44833" s="42"/>
      <c r="AB44833" s="38"/>
    </row>
    <row r="44834">
      <c r="P44834" s="42"/>
      <c r="AB44834" s="38"/>
    </row>
    <row r="44835">
      <c r="P44835" s="42"/>
      <c r="AB44835" s="38"/>
    </row>
    <row r="44836">
      <c r="P44836" s="42"/>
      <c r="AB44836" s="38"/>
    </row>
    <row r="44837">
      <c r="P44837" s="42"/>
      <c r="AB44837" s="38"/>
    </row>
    <row r="44838">
      <c r="P44838" s="42"/>
      <c r="AB44838" s="38"/>
    </row>
    <row r="44839">
      <c r="P44839" s="42"/>
      <c r="AB44839" s="38"/>
    </row>
    <row r="44840">
      <c r="P44840" s="42"/>
      <c r="AB44840" s="38"/>
    </row>
    <row r="44841">
      <c r="P44841" s="42"/>
      <c r="AB44841" s="38"/>
    </row>
    <row r="44842">
      <c r="P44842" s="42"/>
      <c r="AB44842" s="38"/>
    </row>
    <row r="44843">
      <c r="P44843" s="42"/>
      <c r="AB44843" s="38"/>
    </row>
    <row r="44844">
      <c r="P44844" s="42"/>
      <c r="AB44844" s="38"/>
    </row>
    <row r="44845">
      <c r="P44845" s="42"/>
      <c r="AB44845" s="38"/>
    </row>
    <row r="44846">
      <c r="P44846" s="42"/>
      <c r="AB44846" s="38"/>
    </row>
    <row r="44847">
      <c r="P44847" s="42"/>
      <c r="AB44847" s="38"/>
    </row>
    <row r="44848">
      <c r="P44848" s="42"/>
      <c r="AB44848" s="38"/>
    </row>
    <row r="44849">
      <c r="P44849" s="42"/>
      <c r="AB44849" s="38"/>
    </row>
    <row r="44850">
      <c r="P44850" s="42"/>
      <c r="AB44850" s="38"/>
    </row>
    <row r="44851">
      <c r="P44851" s="42"/>
      <c r="AB44851" s="38"/>
    </row>
    <row r="44852">
      <c r="P44852" s="42"/>
      <c r="AB44852" s="38"/>
    </row>
    <row r="44853">
      <c r="P44853" s="42"/>
      <c r="AB44853" s="38"/>
    </row>
    <row r="44854">
      <c r="P44854" s="42"/>
      <c r="AB44854" s="38"/>
    </row>
    <row r="44855">
      <c r="P44855" s="42"/>
      <c r="AB44855" s="38"/>
    </row>
    <row r="44856">
      <c r="P44856" s="42"/>
      <c r="AB44856" s="38"/>
    </row>
    <row r="44857">
      <c r="P44857" s="42"/>
      <c r="AB44857" s="38"/>
    </row>
    <row r="44858">
      <c r="P44858" s="42"/>
      <c r="AB44858" s="38"/>
    </row>
    <row r="44859">
      <c r="P44859" s="42"/>
      <c r="AB44859" s="38"/>
    </row>
    <row r="44860">
      <c r="P44860" s="42"/>
      <c r="AB44860" s="38"/>
    </row>
    <row r="44861">
      <c r="P44861" s="42"/>
      <c r="AB44861" s="38"/>
    </row>
    <row r="44862">
      <c r="P44862" s="42"/>
      <c r="AB44862" s="38"/>
    </row>
    <row r="44863">
      <c r="P44863" s="42"/>
      <c r="AB44863" s="38"/>
    </row>
    <row r="44864">
      <c r="P44864" s="42"/>
      <c r="AB44864" s="38"/>
    </row>
    <row r="44865">
      <c r="P44865" s="42"/>
      <c r="AB44865" s="38"/>
    </row>
    <row r="44866">
      <c r="P44866" s="42"/>
      <c r="AB44866" s="38"/>
    </row>
    <row r="44867">
      <c r="P44867" s="42"/>
      <c r="AB44867" s="38"/>
    </row>
    <row r="44868">
      <c r="P44868" s="42"/>
      <c r="AB44868" s="38"/>
    </row>
    <row r="44869">
      <c r="P44869" s="42"/>
      <c r="AB44869" s="38"/>
    </row>
    <row r="44870">
      <c r="P44870" s="42"/>
      <c r="AB44870" s="38"/>
    </row>
    <row r="44871">
      <c r="P44871" s="42"/>
      <c r="AB44871" s="38"/>
    </row>
    <row r="44872">
      <c r="P44872" s="42"/>
      <c r="AB44872" s="38"/>
    </row>
    <row r="44873">
      <c r="P44873" s="42"/>
      <c r="AB44873" s="38"/>
    </row>
    <row r="44874">
      <c r="P44874" s="42"/>
      <c r="AB44874" s="38"/>
    </row>
    <row r="44875">
      <c r="P44875" s="42"/>
      <c r="AB44875" s="38"/>
    </row>
    <row r="44876">
      <c r="P44876" s="42"/>
      <c r="AB44876" s="38"/>
    </row>
    <row r="44877">
      <c r="P44877" s="42"/>
      <c r="AB44877" s="38"/>
    </row>
    <row r="44878">
      <c r="P44878" s="42"/>
      <c r="AB44878" s="38"/>
    </row>
    <row r="44879">
      <c r="P44879" s="42"/>
      <c r="AB44879" s="38"/>
    </row>
    <row r="44880">
      <c r="P44880" s="42"/>
      <c r="AB44880" s="38"/>
    </row>
    <row r="44881">
      <c r="P44881" s="42"/>
      <c r="AB44881" s="38"/>
    </row>
    <row r="44882">
      <c r="P44882" s="42"/>
      <c r="AB44882" s="38"/>
    </row>
    <row r="44883">
      <c r="P44883" s="42"/>
      <c r="AB44883" s="38"/>
    </row>
    <row r="44884">
      <c r="P44884" s="42"/>
      <c r="AB44884" s="38"/>
    </row>
    <row r="44885">
      <c r="P44885" s="42"/>
      <c r="AB44885" s="38"/>
    </row>
    <row r="44886">
      <c r="P44886" s="42"/>
      <c r="AB44886" s="38"/>
    </row>
    <row r="44887">
      <c r="P44887" s="42"/>
      <c r="AB44887" s="38"/>
    </row>
    <row r="44888">
      <c r="P44888" s="42"/>
      <c r="AB44888" s="38"/>
    </row>
    <row r="44889">
      <c r="P44889" s="42"/>
      <c r="AB44889" s="38"/>
    </row>
    <row r="44890">
      <c r="P44890" s="42"/>
      <c r="AB44890" s="38"/>
    </row>
    <row r="44891">
      <c r="P44891" s="42"/>
      <c r="AB44891" s="38"/>
    </row>
    <row r="44892">
      <c r="P44892" s="42"/>
      <c r="AB44892" s="38"/>
    </row>
    <row r="44893">
      <c r="P44893" s="42"/>
      <c r="AB44893" s="38"/>
    </row>
    <row r="44894">
      <c r="P44894" s="42"/>
      <c r="AB44894" s="38"/>
    </row>
    <row r="44895">
      <c r="P44895" s="42"/>
      <c r="AB44895" s="38"/>
    </row>
    <row r="44896">
      <c r="P44896" s="42"/>
      <c r="AB44896" s="38"/>
    </row>
    <row r="44897">
      <c r="P44897" s="42"/>
      <c r="AB44897" s="38"/>
    </row>
    <row r="44898">
      <c r="P44898" s="42"/>
      <c r="AB44898" s="38"/>
    </row>
    <row r="44899">
      <c r="P44899" s="42"/>
      <c r="AB44899" s="38"/>
    </row>
    <row r="44900">
      <c r="P44900" s="42"/>
      <c r="AB44900" s="38"/>
    </row>
    <row r="44901">
      <c r="P44901" s="42"/>
      <c r="AB44901" s="38"/>
    </row>
    <row r="44902">
      <c r="P44902" s="42"/>
      <c r="AB44902" s="38"/>
    </row>
    <row r="44903">
      <c r="P44903" s="42"/>
      <c r="AB44903" s="38"/>
    </row>
    <row r="44904">
      <c r="P44904" s="42"/>
      <c r="AB44904" s="38"/>
    </row>
    <row r="44905">
      <c r="P44905" s="42"/>
      <c r="AB44905" s="38"/>
    </row>
    <row r="44906">
      <c r="P44906" s="42"/>
      <c r="AB44906" s="38"/>
    </row>
    <row r="44907">
      <c r="P44907" s="42"/>
      <c r="AB44907" s="38"/>
    </row>
    <row r="44908">
      <c r="P44908" s="42"/>
      <c r="AB44908" s="38"/>
    </row>
    <row r="44909">
      <c r="P44909" s="42"/>
      <c r="AB44909" s="38"/>
    </row>
    <row r="44910">
      <c r="P44910" s="42"/>
      <c r="AB44910" s="38"/>
    </row>
    <row r="44911">
      <c r="P44911" s="42"/>
      <c r="AB44911" s="38"/>
    </row>
    <row r="44912">
      <c r="P44912" s="42"/>
      <c r="AB44912" s="38"/>
    </row>
    <row r="44913">
      <c r="P44913" s="42"/>
      <c r="AB44913" s="38"/>
    </row>
    <row r="44914">
      <c r="P44914" s="42"/>
      <c r="AB44914" s="38"/>
    </row>
    <row r="44915">
      <c r="P44915" s="42"/>
      <c r="AB44915" s="38"/>
    </row>
    <row r="44916">
      <c r="P44916" s="42"/>
      <c r="AB44916" s="38"/>
    </row>
    <row r="44917">
      <c r="P44917" s="42"/>
      <c r="AB44917" s="38"/>
    </row>
    <row r="44918">
      <c r="P44918" s="42"/>
      <c r="AB44918" s="38"/>
    </row>
    <row r="44919">
      <c r="P44919" s="42"/>
      <c r="AB44919" s="38"/>
    </row>
    <row r="44920">
      <c r="P44920" s="42"/>
      <c r="AB44920" s="38"/>
    </row>
    <row r="44921">
      <c r="P44921" s="42"/>
      <c r="AB44921" s="38"/>
    </row>
    <row r="44922">
      <c r="P44922" s="42"/>
      <c r="AB44922" s="38"/>
    </row>
    <row r="44923">
      <c r="P44923" s="42"/>
      <c r="AB44923" s="38"/>
    </row>
    <row r="44924">
      <c r="P44924" s="42"/>
      <c r="AB44924" s="38"/>
    </row>
    <row r="44925">
      <c r="P44925" s="42"/>
      <c r="AB44925" s="38"/>
    </row>
    <row r="44926">
      <c r="P44926" s="42"/>
      <c r="AB44926" s="38"/>
    </row>
    <row r="44927">
      <c r="P44927" s="42"/>
      <c r="AB44927" s="38"/>
    </row>
    <row r="44928">
      <c r="P44928" s="42"/>
      <c r="AB44928" s="38"/>
    </row>
    <row r="44929">
      <c r="P44929" s="42"/>
      <c r="AB44929" s="38"/>
    </row>
    <row r="44930">
      <c r="P44930" s="42"/>
      <c r="AB44930" s="38"/>
    </row>
    <row r="44931">
      <c r="P44931" s="42"/>
      <c r="AB44931" s="38"/>
    </row>
    <row r="44932">
      <c r="P44932" s="42"/>
      <c r="AB44932" s="38"/>
    </row>
    <row r="44933">
      <c r="P44933" s="42"/>
      <c r="AB44933" s="38"/>
    </row>
    <row r="44934">
      <c r="P44934" s="42"/>
      <c r="AB44934" s="38"/>
    </row>
    <row r="44935">
      <c r="P44935" s="42"/>
      <c r="AB44935" s="38"/>
    </row>
    <row r="44936">
      <c r="P44936" s="42"/>
      <c r="AB44936" s="38"/>
    </row>
    <row r="44937">
      <c r="P44937" s="42"/>
      <c r="AB44937" s="38"/>
    </row>
    <row r="44938">
      <c r="P44938" s="42"/>
      <c r="AB44938" s="38"/>
    </row>
    <row r="44939">
      <c r="P44939" s="42"/>
      <c r="AB44939" s="38"/>
    </row>
    <row r="44940">
      <c r="P44940" s="42"/>
      <c r="AB44940" s="38"/>
    </row>
    <row r="44941">
      <c r="P44941" s="42"/>
      <c r="AB44941" s="38"/>
    </row>
    <row r="44942">
      <c r="P44942" s="42"/>
      <c r="AB44942" s="38"/>
    </row>
    <row r="44943">
      <c r="P44943" s="42"/>
      <c r="AB44943" s="38"/>
    </row>
    <row r="44944">
      <c r="P44944" s="42"/>
      <c r="AB44944" s="38"/>
    </row>
    <row r="44945">
      <c r="P44945" s="42"/>
      <c r="AB44945" s="38"/>
    </row>
    <row r="44946">
      <c r="P44946" s="42"/>
      <c r="AB44946" s="38"/>
    </row>
    <row r="44947">
      <c r="P44947" s="42"/>
      <c r="AB44947" s="38"/>
    </row>
    <row r="44948">
      <c r="P44948" s="42"/>
      <c r="AB44948" s="38"/>
    </row>
    <row r="44949">
      <c r="P44949" s="42"/>
      <c r="AB44949" s="38"/>
    </row>
    <row r="44950">
      <c r="P44950" s="42"/>
      <c r="AB44950" s="38"/>
    </row>
    <row r="44951">
      <c r="P44951" s="42"/>
      <c r="AB44951" s="38"/>
    </row>
    <row r="44952">
      <c r="P44952" s="42"/>
      <c r="AB44952" s="38"/>
    </row>
    <row r="44953">
      <c r="P44953" s="42"/>
      <c r="AB44953" s="38"/>
    </row>
    <row r="44954">
      <c r="P44954" s="42"/>
      <c r="AB44954" s="38"/>
    </row>
    <row r="44955">
      <c r="P44955" s="42"/>
      <c r="AB44955" s="38"/>
    </row>
    <row r="44956">
      <c r="P44956" s="42"/>
      <c r="AB44956" s="38"/>
    </row>
    <row r="44957">
      <c r="P44957" s="42"/>
      <c r="AB44957" s="38"/>
    </row>
    <row r="44958">
      <c r="P44958" s="42"/>
      <c r="AB44958" s="38"/>
    </row>
    <row r="44959">
      <c r="P44959" s="42"/>
      <c r="AB44959" s="38"/>
    </row>
    <row r="44960">
      <c r="P44960" s="42"/>
      <c r="AB44960" s="38"/>
    </row>
    <row r="44961">
      <c r="P44961" s="42"/>
      <c r="AB44961" s="38"/>
    </row>
    <row r="44962">
      <c r="P44962" s="42"/>
      <c r="AB44962" s="38"/>
    </row>
    <row r="44963">
      <c r="P44963" s="42"/>
      <c r="AB44963" s="38"/>
    </row>
    <row r="44964">
      <c r="P44964" s="42"/>
      <c r="AB44964" s="38"/>
    </row>
    <row r="44965">
      <c r="P44965" s="42"/>
      <c r="AB44965" s="38"/>
    </row>
    <row r="44966">
      <c r="P44966" s="42"/>
      <c r="AB44966" s="38"/>
    </row>
    <row r="44967">
      <c r="P44967" s="42"/>
      <c r="AB44967" s="38"/>
    </row>
    <row r="44968">
      <c r="P44968" s="42"/>
      <c r="AB44968" s="38"/>
    </row>
    <row r="44969">
      <c r="P44969" s="42"/>
      <c r="AB44969" s="38"/>
    </row>
    <row r="44970">
      <c r="P44970" s="42"/>
      <c r="AB44970" s="38"/>
    </row>
    <row r="44971">
      <c r="P44971" s="42"/>
      <c r="AB44971" s="38"/>
    </row>
    <row r="44972">
      <c r="P44972" s="42"/>
      <c r="AB44972" s="38"/>
    </row>
    <row r="44973">
      <c r="P44973" s="42"/>
      <c r="AB44973" s="38"/>
    </row>
    <row r="44974">
      <c r="P44974" s="42"/>
      <c r="AB44974" s="38"/>
    </row>
    <row r="44975">
      <c r="P44975" s="42"/>
      <c r="AB44975" s="38"/>
    </row>
    <row r="44976">
      <c r="P44976" s="42"/>
      <c r="AB44976" s="38"/>
    </row>
    <row r="44977">
      <c r="P44977" s="42"/>
      <c r="AB44977" s="38"/>
    </row>
    <row r="44978">
      <c r="P44978" s="42"/>
      <c r="AB44978" s="38"/>
    </row>
    <row r="44979">
      <c r="P44979" s="42"/>
      <c r="AB44979" s="38"/>
    </row>
    <row r="44980">
      <c r="P44980" s="42"/>
      <c r="AB44980" s="38"/>
    </row>
    <row r="44981">
      <c r="P44981" s="42"/>
      <c r="AB44981" s="38"/>
    </row>
    <row r="44982">
      <c r="P44982" s="42"/>
      <c r="AB44982" s="38"/>
    </row>
    <row r="44983">
      <c r="P44983" s="42"/>
      <c r="AB44983" s="38"/>
    </row>
    <row r="44984">
      <c r="P44984" s="42"/>
      <c r="AB44984" s="38"/>
    </row>
    <row r="44985">
      <c r="P44985" s="42"/>
      <c r="AB44985" s="38"/>
    </row>
    <row r="44986">
      <c r="P44986" s="42"/>
      <c r="AB44986" s="38"/>
    </row>
    <row r="44987">
      <c r="P44987" s="42"/>
      <c r="AB44987" s="38"/>
    </row>
    <row r="44988">
      <c r="P44988" s="42"/>
      <c r="AB44988" s="38"/>
    </row>
    <row r="44989">
      <c r="P44989" s="42"/>
      <c r="AB44989" s="38"/>
    </row>
    <row r="44990">
      <c r="P44990" s="42"/>
      <c r="AB44990" s="38"/>
    </row>
    <row r="44991">
      <c r="P44991" s="42"/>
      <c r="AB44991" s="38"/>
    </row>
    <row r="44992">
      <c r="P44992" s="42"/>
      <c r="AB44992" s="38"/>
    </row>
    <row r="44993">
      <c r="P44993" s="42"/>
      <c r="AB44993" s="38"/>
    </row>
    <row r="44994">
      <c r="P44994" s="42"/>
      <c r="AB44994" s="38"/>
    </row>
    <row r="44995">
      <c r="P44995" s="42"/>
      <c r="AB44995" s="38"/>
    </row>
    <row r="44996">
      <c r="P44996" s="42"/>
      <c r="AB44996" s="38"/>
    </row>
    <row r="44997">
      <c r="P44997" s="42"/>
      <c r="AB44997" s="38"/>
    </row>
    <row r="44998">
      <c r="P44998" s="42"/>
      <c r="AB44998" s="38"/>
    </row>
    <row r="44999">
      <c r="P44999" s="42"/>
      <c r="AB44999" s="38"/>
    </row>
    <row r="45000">
      <c r="P45000" s="42"/>
      <c r="AB45000" s="38"/>
    </row>
    <row r="45001">
      <c r="P45001" s="42"/>
      <c r="AB45001" s="38"/>
    </row>
    <row r="45002">
      <c r="P45002" s="42"/>
      <c r="AB45002" s="38"/>
    </row>
    <row r="45003">
      <c r="P45003" s="42"/>
      <c r="AB45003" s="38"/>
    </row>
    <row r="45004">
      <c r="P45004" s="42"/>
      <c r="AB45004" s="38"/>
    </row>
    <row r="45005">
      <c r="P45005" s="42"/>
      <c r="AB45005" s="38"/>
    </row>
    <row r="45006">
      <c r="P45006" s="42"/>
      <c r="AB45006" s="38"/>
    </row>
    <row r="45007">
      <c r="P45007" s="42"/>
      <c r="AB45007" s="38"/>
    </row>
    <row r="45008">
      <c r="P45008" s="42"/>
      <c r="AB45008" s="38"/>
    </row>
    <row r="45009">
      <c r="P45009" s="42"/>
      <c r="AB45009" s="38"/>
    </row>
    <row r="45010">
      <c r="P45010" s="42"/>
      <c r="AB45010" s="38"/>
    </row>
    <row r="45011">
      <c r="P45011" s="42"/>
      <c r="AB45011" s="38"/>
    </row>
    <row r="45012">
      <c r="P45012" s="42"/>
      <c r="AB45012" s="38"/>
    </row>
    <row r="45013">
      <c r="P45013" s="42"/>
      <c r="AB45013" s="38"/>
    </row>
    <row r="45014">
      <c r="P45014" s="42"/>
      <c r="AB45014" s="38"/>
    </row>
    <row r="45015">
      <c r="P45015" s="42"/>
      <c r="AB45015" s="38"/>
    </row>
    <row r="45016">
      <c r="P45016" s="42"/>
      <c r="AB45016" s="38"/>
    </row>
    <row r="45017">
      <c r="P45017" s="42"/>
      <c r="AB45017" s="38"/>
    </row>
    <row r="45018">
      <c r="P45018" s="42"/>
      <c r="AB45018" s="38"/>
    </row>
    <row r="45019">
      <c r="P45019" s="42"/>
      <c r="AB45019" s="38"/>
    </row>
    <row r="45020">
      <c r="P45020" s="42"/>
      <c r="AB45020" s="38"/>
    </row>
    <row r="45021">
      <c r="P45021" s="42"/>
      <c r="AB45021" s="38"/>
    </row>
    <row r="45022">
      <c r="P45022" s="42"/>
      <c r="AB45022" s="38"/>
    </row>
    <row r="45023">
      <c r="P45023" s="42"/>
      <c r="AB45023" s="38"/>
    </row>
    <row r="45024">
      <c r="P45024" s="42"/>
      <c r="AB45024" s="38"/>
    </row>
    <row r="45025">
      <c r="P45025" s="42"/>
      <c r="AB45025" s="38"/>
    </row>
    <row r="45026">
      <c r="P45026" s="42"/>
      <c r="AB45026" s="38"/>
    </row>
    <row r="45027">
      <c r="P45027" s="42"/>
      <c r="AB45027" s="38"/>
    </row>
    <row r="45028">
      <c r="P45028" s="42"/>
      <c r="AB45028" s="38"/>
    </row>
    <row r="45029">
      <c r="P45029" s="42"/>
      <c r="AB45029" s="38"/>
    </row>
    <row r="45030">
      <c r="P45030" s="42"/>
      <c r="AB45030" s="38"/>
    </row>
    <row r="45031">
      <c r="P45031" s="42"/>
      <c r="AB45031" s="38"/>
    </row>
    <row r="45032">
      <c r="P45032" s="42"/>
      <c r="AB45032" s="38"/>
    </row>
    <row r="45033">
      <c r="P45033" s="42"/>
      <c r="AB45033" s="38"/>
    </row>
    <row r="45034">
      <c r="P45034" s="42"/>
      <c r="AB45034" s="38"/>
    </row>
    <row r="45035">
      <c r="P45035" s="42"/>
      <c r="AB45035" s="38"/>
    </row>
    <row r="45036">
      <c r="P45036" s="42"/>
      <c r="AB45036" s="38"/>
    </row>
    <row r="45037">
      <c r="P45037" s="42"/>
      <c r="AB45037" s="38"/>
    </row>
    <row r="45038">
      <c r="P45038" s="42"/>
      <c r="AB45038" s="38"/>
    </row>
    <row r="45039">
      <c r="P45039" s="42"/>
      <c r="AB45039" s="38"/>
    </row>
    <row r="45040">
      <c r="P45040" s="42"/>
      <c r="AB45040" s="38"/>
    </row>
    <row r="45041">
      <c r="P45041" s="42"/>
      <c r="AB45041" s="38"/>
    </row>
    <row r="45042">
      <c r="P45042" s="42"/>
      <c r="AB45042" s="38"/>
    </row>
    <row r="45043">
      <c r="P45043" s="42"/>
      <c r="AB45043" s="38"/>
    </row>
    <row r="45044">
      <c r="P45044" s="42"/>
      <c r="AB45044" s="38"/>
    </row>
    <row r="45045">
      <c r="P45045" s="42"/>
      <c r="AB45045" s="38"/>
    </row>
    <row r="45046">
      <c r="P45046" s="42"/>
      <c r="AB45046" s="38"/>
    </row>
    <row r="45047">
      <c r="P45047" s="42"/>
      <c r="AB45047" s="38"/>
    </row>
    <row r="45048">
      <c r="P45048" s="42"/>
      <c r="AB45048" s="38"/>
    </row>
    <row r="45049">
      <c r="P45049" s="42"/>
      <c r="AB45049" s="38"/>
    </row>
    <row r="45050">
      <c r="P45050" s="42"/>
      <c r="AB45050" s="38"/>
    </row>
    <row r="45051">
      <c r="P45051" s="42"/>
      <c r="AB45051" s="38"/>
    </row>
    <row r="45052">
      <c r="P45052" s="42"/>
      <c r="AB45052" s="38"/>
    </row>
    <row r="45053">
      <c r="P45053" s="42"/>
      <c r="AB45053" s="38"/>
    </row>
    <row r="45054">
      <c r="P45054" s="42"/>
      <c r="AB45054" s="38"/>
    </row>
    <row r="45055">
      <c r="P45055" s="42"/>
      <c r="AB45055" s="38"/>
    </row>
    <row r="45056">
      <c r="P45056" s="42"/>
      <c r="AB45056" s="38"/>
    </row>
    <row r="45057">
      <c r="P45057" s="42"/>
      <c r="AB45057" s="38"/>
    </row>
    <row r="45058">
      <c r="P45058" s="42"/>
      <c r="AB45058" s="38"/>
    </row>
    <row r="45059">
      <c r="P45059" s="42"/>
      <c r="AB45059" s="38"/>
    </row>
    <row r="45060">
      <c r="P45060" s="42"/>
      <c r="AB45060" s="38"/>
    </row>
    <row r="45061">
      <c r="P45061" s="42"/>
      <c r="AB45061" s="38"/>
    </row>
    <row r="45062">
      <c r="P45062" s="42"/>
      <c r="AB45062" s="38"/>
    </row>
    <row r="45063">
      <c r="P45063" s="42"/>
      <c r="AB45063" s="38"/>
    </row>
    <row r="45064">
      <c r="P45064" s="42"/>
      <c r="AB45064" s="38"/>
    </row>
    <row r="45065">
      <c r="P45065" s="42"/>
      <c r="AB45065" s="38"/>
    </row>
    <row r="45066">
      <c r="P45066" s="42"/>
      <c r="AB45066" s="38"/>
    </row>
    <row r="45067">
      <c r="P45067" s="42"/>
      <c r="AB45067" s="38"/>
    </row>
    <row r="45068">
      <c r="P45068" s="42"/>
      <c r="AB45068" s="38"/>
    </row>
    <row r="45069">
      <c r="P45069" s="42"/>
      <c r="AB45069" s="38"/>
    </row>
    <row r="45070">
      <c r="P45070" s="42"/>
      <c r="AB45070" s="38"/>
    </row>
    <row r="45071">
      <c r="P45071" s="42"/>
      <c r="AB45071" s="38"/>
    </row>
    <row r="45072">
      <c r="P45072" s="42"/>
      <c r="AB45072" s="38"/>
    </row>
    <row r="45073">
      <c r="P45073" s="42"/>
      <c r="AB45073" s="38"/>
    </row>
    <row r="45074">
      <c r="P45074" s="42"/>
      <c r="AB45074" s="38"/>
    </row>
    <row r="45075">
      <c r="P45075" s="42"/>
      <c r="AB45075" s="38"/>
    </row>
    <row r="45076">
      <c r="P45076" s="42"/>
      <c r="AB45076" s="38"/>
    </row>
    <row r="45077">
      <c r="P45077" s="42"/>
      <c r="AB45077" s="38"/>
    </row>
    <row r="45078">
      <c r="P45078" s="42"/>
      <c r="AB45078" s="38"/>
    </row>
    <row r="45079">
      <c r="P45079" s="42"/>
      <c r="AB45079" s="38"/>
    </row>
    <row r="45080">
      <c r="P45080" s="42"/>
      <c r="AB45080" s="38"/>
    </row>
    <row r="45081">
      <c r="P45081" s="42"/>
      <c r="AB45081" s="38"/>
    </row>
    <row r="45082">
      <c r="P45082" s="42"/>
      <c r="AB45082" s="38"/>
    </row>
    <row r="45083">
      <c r="P45083" s="42"/>
      <c r="AB45083" s="38"/>
    </row>
    <row r="45084">
      <c r="P45084" s="42"/>
      <c r="AB45084" s="38"/>
    </row>
    <row r="45085">
      <c r="P45085" s="42"/>
      <c r="AB45085" s="38"/>
    </row>
    <row r="45086">
      <c r="P45086" s="42"/>
      <c r="AB45086" s="38"/>
    </row>
    <row r="45087">
      <c r="P45087" s="42"/>
      <c r="AB45087" s="38"/>
    </row>
    <row r="45088">
      <c r="P45088" s="42"/>
      <c r="AB45088" s="38"/>
    </row>
    <row r="45089">
      <c r="P45089" s="42"/>
      <c r="AB45089" s="38"/>
    </row>
    <row r="45090">
      <c r="P45090" s="42"/>
      <c r="AB45090" s="38"/>
    </row>
    <row r="45091">
      <c r="P45091" s="42"/>
      <c r="AB45091" s="38"/>
    </row>
    <row r="45092">
      <c r="P45092" s="42"/>
      <c r="AB45092" s="38"/>
    </row>
    <row r="45093">
      <c r="P45093" s="42"/>
      <c r="AB45093" s="38"/>
    </row>
    <row r="45094">
      <c r="P45094" s="42"/>
      <c r="AB45094" s="38"/>
    </row>
    <row r="45095">
      <c r="P45095" s="42"/>
      <c r="AB45095" s="38"/>
    </row>
    <row r="45096">
      <c r="P45096" s="42"/>
      <c r="AB45096" s="38"/>
    </row>
    <row r="45097">
      <c r="P45097" s="42"/>
      <c r="AB45097" s="38"/>
    </row>
    <row r="45098">
      <c r="P45098" s="42"/>
      <c r="AB45098" s="38"/>
    </row>
    <row r="45099">
      <c r="P45099" s="42"/>
      <c r="AB45099" s="38"/>
    </row>
    <row r="45100">
      <c r="P45100" s="42"/>
      <c r="AB45100" s="38"/>
    </row>
    <row r="45101">
      <c r="P45101" s="42"/>
      <c r="AB45101" s="38"/>
    </row>
    <row r="45102">
      <c r="P45102" s="42"/>
      <c r="AB45102" s="38"/>
    </row>
    <row r="45103">
      <c r="P45103" s="42"/>
      <c r="AB45103" s="38"/>
    </row>
    <row r="45104">
      <c r="P45104" s="42"/>
      <c r="AB45104" s="38"/>
    </row>
    <row r="45105">
      <c r="P45105" s="42"/>
      <c r="AB45105" s="38"/>
    </row>
    <row r="45106">
      <c r="P45106" s="42"/>
      <c r="AB45106" s="38"/>
    </row>
    <row r="45107">
      <c r="P45107" s="42"/>
      <c r="AB45107" s="38"/>
    </row>
    <row r="45108">
      <c r="P45108" s="42"/>
      <c r="AB45108" s="38"/>
    </row>
    <row r="45109">
      <c r="P45109" s="42"/>
      <c r="AB45109" s="38"/>
    </row>
    <row r="45110">
      <c r="P45110" s="42"/>
      <c r="AB45110" s="38"/>
    </row>
    <row r="45111">
      <c r="P45111" s="42"/>
      <c r="AB45111" s="38"/>
    </row>
    <row r="45112">
      <c r="P45112" s="42"/>
      <c r="AB45112" s="38"/>
    </row>
    <row r="45113">
      <c r="P45113" s="42"/>
      <c r="AB45113" s="38"/>
    </row>
    <row r="45114">
      <c r="P45114" s="42"/>
      <c r="AB45114" s="38"/>
    </row>
    <row r="45115">
      <c r="P45115" s="42"/>
      <c r="AB45115" s="38"/>
    </row>
    <row r="45116">
      <c r="P45116" s="42"/>
      <c r="AB45116" s="38"/>
    </row>
    <row r="45117">
      <c r="P45117" s="42"/>
      <c r="AB45117" s="38"/>
    </row>
    <row r="45118">
      <c r="P45118" s="42"/>
      <c r="AB45118" s="38"/>
    </row>
    <row r="45119">
      <c r="P45119" s="42"/>
      <c r="AB45119" s="38"/>
    </row>
    <row r="45120">
      <c r="P45120" s="42"/>
      <c r="AB45120" s="38"/>
    </row>
    <row r="45121">
      <c r="P45121" s="42"/>
      <c r="AB45121" s="38"/>
    </row>
    <row r="45122">
      <c r="P45122" s="42"/>
      <c r="AB45122" s="38"/>
    </row>
    <row r="45123">
      <c r="P45123" s="42"/>
      <c r="AB45123" s="38"/>
    </row>
    <row r="45124">
      <c r="P45124" s="42"/>
      <c r="AB45124" s="38"/>
    </row>
    <row r="45125">
      <c r="P45125" s="42"/>
      <c r="AB45125" s="38"/>
    </row>
    <row r="45126">
      <c r="P45126" s="42"/>
      <c r="AB45126" s="38"/>
    </row>
    <row r="45127">
      <c r="P45127" s="42"/>
      <c r="AB45127" s="38"/>
    </row>
    <row r="45128">
      <c r="P45128" s="42"/>
      <c r="AB45128" s="38"/>
    </row>
    <row r="45129">
      <c r="P45129" s="42"/>
      <c r="AB45129" s="38"/>
    </row>
    <row r="45130">
      <c r="P45130" s="42"/>
      <c r="AB45130" s="38"/>
    </row>
    <row r="45131">
      <c r="P45131" s="42"/>
      <c r="AB45131" s="38"/>
    </row>
    <row r="45132">
      <c r="P45132" s="42"/>
      <c r="AB45132" s="38"/>
    </row>
    <row r="45133">
      <c r="P45133" s="42"/>
      <c r="AB45133" s="38"/>
    </row>
    <row r="45134">
      <c r="P45134" s="42"/>
      <c r="AB45134" s="38"/>
    </row>
    <row r="45135">
      <c r="P45135" s="42"/>
      <c r="AB45135" s="38"/>
    </row>
    <row r="45136">
      <c r="P45136" s="42"/>
      <c r="AB45136" s="38"/>
    </row>
    <row r="45137">
      <c r="P45137" s="42"/>
      <c r="AB45137" s="38"/>
    </row>
    <row r="45138">
      <c r="P45138" s="42"/>
      <c r="AB45138" s="38"/>
    </row>
    <row r="45139">
      <c r="P45139" s="42"/>
      <c r="AB45139" s="38"/>
    </row>
    <row r="45140">
      <c r="P45140" s="42"/>
      <c r="AB45140" s="38"/>
    </row>
    <row r="45141">
      <c r="P45141" s="42"/>
      <c r="AB45141" s="38"/>
    </row>
    <row r="45142">
      <c r="P45142" s="42"/>
      <c r="AB45142" s="38"/>
    </row>
    <row r="45143">
      <c r="P45143" s="42"/>
      <c r="AB45143" s="38"/>
    </row>
    <row r="45144">
      <c r="P45144" s="42"/>
      <c r="AB45144" s="38"/>
    </row>
    <row r="45145">
      <c r="P45145" s="42"/>
      <c r="AB45145" s="38"/>
    </row>
    <row r="45146">
      <c r="P45146" s="42"/>
      <c r="AB45146" s="38"/>
    </row>
    <row r="45147">
      <c r="P45147" s="42"/>
      <c r="AB45147" s="38"/>
    </row>
    <row r="45148">
      <c r="P45148" s="42"/>
      <c r="AB45148" s="38"/>
    </row>
    <row r="45149">
      <c r="P45149" s="42"/>
      <c r="AB45149" s="38"/>
    </row>
    <row r="45150">
      <c r="P45150" s="42"/>
      <c r="AB45150" s="38"/>
    </row>
    <row r="45151">
      <c r="P45151" s="42"/>
      <c r="AB45151" s="38"/>
    </row>
    <row r="45152">
      <c r="P45152" s="42"/>
      <c r="AB45152" s="38"/>
    </row>
    <row r="45153">
      <c r="P45153" s="42"/>
      <c r="AB45153" s="38"/>
    </row>
    <row r="45154">
      <c r="P45154" s="42"/>
      <c r="AB45154" s="38"/>
    </row>
    <row r="45155">
      <c r="P45155" s="42"/>
      <c r="AB45155" s="38"/>
    </row>
    <row r="45156">
      <c r="P45156" s="42"/>
      <c r="AB45156" s="38"/>
    </row>
    <row r="45157">
      <c r="P45157" s="42"/>
      <c r="AB45157" s="38"/>
    </row>
    <row r="45158">
      <c r="P45158" s="42"/>
      <c r="AB45158" s="38"/>
    </row>
    <row r="45159">
      <c r="P45159" s="42"/>
      <c r="AB45159" s="38"/>
    </row>
    <row r="45160">
      <c r="P45160" s="42"/>
      <c r="AB45160" s="38"/>
    </row>
    <row r="45161">
      <c r="P45161" s="42"/>
      <c r="AB45161" s="38"/>
    </row>
    <row r="45162">
      <c r="P45162" s="42"/>
      <c r="AB45162" s="38"/>
    </row>
    <row r="45163">
      <c r="P45163" s="42"/>
      <c r="AB45163" s="38"/>
    </row>
    <row r="45164">
      <c r="P45164" s="42"/>
      <c r="AB45164" s="38"/>
    </row>
    <row r="45165">
      <c r="P45165" s="42"/>
      <c r="AB45165" s="38"/>
    </row>
    <row r="45166">
      <c r="P45166" s="42"/>
      <c r="AB45166" s="38"/>
    </row>
    <row r="45167">
      <c r="P45167" s="42"/>
      <c r="AB45167" s="38"/>
    </row>
    <row r="45168">
      <c r="P45168" s="42"/>
      <c r="AB45168" s="38"/>
    </row>
    <row r="45169">
      <c r="P45169" s="42"/>
      <c r="AB45169" s="38"/>
    </row>
    <row r="45170">
      <c r="P45170" s="42"/>
      <c r="AB45170" s="38"/>
    </row>
    <row r="45171">
      <c r="P45171" s="42"/>
      <c r="AB45171" s="38"/>
    </row>
    <row r="45172">
      <c r="P45172" s="42"/>
      <c r="AB45172" s="38"/>
    </row>
    <row r="45173">
      <c r="P45173" s="42"/>
      <c r="AB45173" s="38"/>
    </row>
    <row r="45174">
      <c r="P45174" s="42"/>
      <c r="AB45174" s="38"/>
    </row>
    <row r="45175">
      <c r="P45175" s="42"/>
      <c r="AB45175" s="38"/>
    </row>
    <row r="45176">
      <c r="P45176" s="42"/>
      <c r="AB45176" s="38"/>
    </row>
    <row r="45177">
      <c r="P45177" s="42"/>
      <c r="AB45177" s="38"/>
    </row>
    <row r="45178">
      <c r="P45178" s="42"/>
      <c r="AB45178" s="38"/>
    </row>
    <row r="45179">
      <c r="P45179" s="42"/>
      <c r="AB45179" s="38"/>
    </row>
    <row r="45180">
      <c r="P45180" s="42"/>
      <c r="AB45180" s="38"/>
    </row>
    <row r="45181">
      <c r="P45181" s="42"/>
      <c r="AB45181" s="38"/>
    </row>
    <row r="45182">
      <c r="P45182" s="42"/>
      <c r="AB45182" s="38"/>
    </row>
    <row r="45183">
      <c r="P45183" s="42"/>
      <c r="AB45183" s="38"/>
    </row>
    <row r="45184">
      <c r="P45184" s="42"/>
      <c r="AB45184" s="38"/>
    </row>
    <row r="45185">
      <c r="P45185" s="42"/>
      <c r="AB45185" s="38"/>
    </row>
    <row r="45186">
      <c r="P45186" s="42"/>
      <c r="AB45186" s="38"/>
    </row>
    <row r="45187">
      <c r="P45187" s="42"/>
      <c r="AB45187" s="38"/>
    </row>
    <row r="45188">
      <c r="P45188" s="42"/>
      <c r="AB45188" s="38"/>
    </row>
    <row r="45189">
      <c r="P45189" s="42"/>
      <c r="AB45189" s="38"/>
    </row>
    <row r="45190">
      <c r="P45190" s="42"/>
      <c r="AB45190" s="38"/>
    </row>
    <row r="45191">
      <c r="P45191" s="42"/>
      <c r="AB45191" s="38"/>
    </row>
    <row r="45192">
      <c r="P45192" s="42"/>
      <c r="AB45192" s="38"/>
    </row>
    <row r="45193">
      <c r="P45193" s="42"/>
      <c r="AB45193" s="38"/>
    </row>
    <row r="45194">
      <c r="P45194" s="42"/>
      <c r="AB45194" s="38"/>
    </row>
    <row r="45195">
      <c r="P45195" s="42"/>
      <c r="AB45195" s="38"/>
    </row>
    <row r="45196">
      <c r="P45196" s="42"/>
      <c r="AB45196" s="38"/>
    </row>
    <row r="45197">
      <c r="P45197" s="42"/>
      <c r="AB45197" s="38"/>
    </row>
    <row r="45198">
      <c r="P45198" s="42"/>
      <c r="AB45198" s="38"/>
    </row>
    <row r="45199">
      <c r="P45199" s="42"/>
      <c r="AB45199" s="38"/>
    </row>
    <row r="45200">
      <c r="P45200" s="42"/>
      <c r="AB45200" s="38"/>
    </row>
    <row r="45201">
      <c r="P45201" s="42"/>
      <c r="AB45201" s="38"/>
    </row>
    <row r="45202">
      <c r="P45202" s="42"/>
      <c r="AB45202" s="38"/>
    </row>
    <row r="45203">
      <c r="P45203" s="42"/>
      <c r="AB45203" s="38"/>
    </row>
    <row r="45204">
      <c r="P45204" s="42"/>
      <c r="AB45204" s="38"/>
    </row>
    <row r="45205">
      <c r="P45205" s="42"/>
      <c r="AB45205" s="38"/>
    </row>
    <row r="45206">
      <c r="P45206" s="42"/>
      <c r="AB45206" s="38"/>
    </row>
    <row r="45207">
      <c r="P45207" s="42"/>
      <c r="AB45207" s="38"/>
    </row>
    <row r="45208">
      <c r="P45208" s="42"/>
      <c r="AB45208" s="38"/>
    </row>
    <row r="45209">
      <c r="P45209" s="42"/>
      <c r="AB45209" s="38"/>
    </row>
    <row r="45210">
      <c r="P45210" s="42"/>
      <c r="AB45210" s="38"/>
    </row>
    <row r="45211">
      <c r="P45211" s="42"/>
      <c r="AB45211" s="38"/>
    </row>
    <row r="45212">
      <c r="P45212" s="42"/>
      <c r="AB45212" s="38"/>
    </row>
    <row r="45213">
      <c r="P45213" s="42"/>
      <c r="AB45213" s="38"/>
    </row>
    <row r="45214">
      <c r="P45214" s="42"/>
      <c r="AB45214" s="38"/>
    </row>
    <row r="45215">
      <c r="P45215" s="42"/>
      <c r="AB45215" s="38"/>
    </row>
    <row r="45216">
      <c r="P45216" s="42"/>
      <c r="AB45216" s="38"/>
    </row>
    <row r="45217">
      <c r="P45217" s="42"/>
      <c r="AB45217" s="38"/>
    </row>
    <row r="45218">
      <c r="P45218" s="42"/>
      <c r="AB45218" s="38"/>
    </row>
    <row r="45219">
      <c r="P45219" s="42"/>
      <c r="AB45219" s="38"/>
    </row>
    <row r="45220">
      <c r="P45220" s="42"/>
      <c r="AB45220" s="38"/>
    </row>
    <row r="45221">
      <c r="P45221" s="42"/>
      <c r="AB45221" s="38"/>
    </row>
    <row r="45222">
      <c r="P45222" s="42"/>
      <c r="AB45222" s="38"/>
    </row>
    <row r="45223">
      <c r="P45223" s="42"/>
      <c r="AB45223" s="38"/>
    </row>
    <row r="45224">
      <c r="P45224" s="42"/>
      <c r="AB45224" s="38"/>
    </row>
    <row r="45225">
      <c r="P45225" s="42"/>
      <c r="AB45225" s="38"/>
    </row>
    <row r="45226">
      <c r="P45226" s="42"/>
      <c r="AB45226" s="38"/>
    </row>
    <row r="45227">
      <c r="P45227" s="42"/>
      <c r="AB45227" s="38"/>
    </row>
    <row r="45228">
      <c r="P45228" s="42"/>
      <c r="AB45228" s="38"/>
    </row>
    <row r="45229">
      <c r="P45229" s="42"/>
      <c r="AB45229" s="38"/>
    </row>
    <row r="45230">
      <c r="P45230" s="42"/>
      <c r="AB45230" s="38"/>
    </row>
    <row r="45231">
      <c r="P45231" s="42"/>
      <c r="AB45231" s="38"/>
    </row>
    <row r="45232">
      <c r="P45232" s="42"/>
      <c r="AB45232" s="38"/>
    </row>
    <row r="45233">
      <c r="P45233" s="42"/>
      <c r="AB45233" s="38"/>
    </row>
    <row r="45234">
      <c r="P45234" s="42"/>
      <c r="AB45234" s="38"/>
    </row>
    <row r="45235">
      <c r="P45235" s="42"/>
      <c r="AB45235" s="38"/>
    </row>
    <row r="45236">
      <c r="P45236" s="42"/>
      <c r="AB45236" s="38"/>
    </row>
    <row r="45237">
      <c r="P45237" s="42"/>
      <c r="AB45237" s="38"/>
    </row>
    <row r="45238">
      <c r="P45238" s="42"/>
      <c r="AB45238" s="38"/>
    </row>
    <row r="45239">
      <c r="P45239" s="42"/>
      <c r="AB45239" s="38"/>
    </row>
    <row r="45240">
      <c r="P45240" s="42"/>
      <c r="AB45240" s="38"/>
    </row>
    <row r="45241">
      <c r="P45241" s="42"/>
      <c r="AB45241" s="38"/>
    </row>
    <row r="45242">
      <c r="P45242" s="42"/>
      <c r="AB45242" s="38"/>
    </row>
    <row r="45243">
      <c r="P45243" s="42"/>
      <c r="AB45243" s="38"/>
    </row>
    <row r="45244">
      <c r="P45244" s="42"/>
      <c r="AB45244" s="38"/>
    </row>
    <row r="45245">
      <c r="P45245" s="42"/>
      <c r="AB45245" s="38"/>
    </row>
    <row r="45246">
      <c r="P45246" s="42"/>
      <c r="AB45246" s="38"/>
    </row>
    <row r="45247">
      <c r="P45247" s="42"/>
      <c r="AB45247" s="38"/>
    </row>
    <row r="45248">
      <c r="P45248" s="42"/>
      <c r="AB45248" s="38"/>
    </row>
    <row r="45249">
      <c r="P45249" s="42"/>
      <c r="AB45249" s="38"/>
    </row>
    <row r="45250">
      <c r="P45250" s="42"/>
      <c r="AB45250" s="38"/>
    </row>
    <row r="45251">
      <c r="P45251" s="42"/>
      <c r="AB45251" s="38"/>
    </row>
    <row r="45252">
      <c r="P45252" s="42"/>
      <c r="AB45252" s="38"/>
    </row>
    <row r="45253">
      <c r="P45253" s="42"/>
      <c r="AB45253" s="38"/>
    </row>
    <row r="45254">
      <c r="P45254" s="42"/>
      <c r="AB45254" s="38"/>
    </row>
    <row r="45255">
      <c r="P45255" s="42"/>
      <c r="AB45255" s="38"/>
    </row>
    <row r="45256">
      <c r="P45256" s="42"/>
      <c r="AB45256" s="38"/>
    </row>
    <row r="45257">
      <c r="P45257" s="42"/>
      <c r="AB45257" s="38"/>
    </row>
    <row r="45258">
      <c r="P45258" s="42"/>
      <c r="AB45258" s="38"/>
    </row>
    <row r="45259">
      <c r="P45259" s="42"/>
      <c r="AB45259" s="38"/>
    </row>
    <row r="45260">
      <c r="P45260" s="42"/>
      <c r="AB45260" s="38"/>
    </row>
    <row r="45261">
      <c r="P45261" s="42"/>
      <c r="AB45261" s="38"/>
    </row>
    <row r="45262">
      <c r="P45262" s="42"/>
      <c r="AB45262" s="38"/>
    </row>
    <row r="45263">
      <c r="P45263" s="42"/>
      <c r="AB45263" s="38"/>
    </row>
    <row r="45264">
      <c r="P45264" s="42"/>
      <c r="AB45264" s="38"/>
    </row>
    <row r="45265">
      <c r="P45265" s="42"/>
      <c r="AB45265" s="38"/>
    </row>
    <row r="45266">
      <c r="P45266" s="42"/>
      <c r="AB45266" s="38"/>
    </row>
    <row r="45267">
      <c r="P45267" s="42"/>
      <c r="AB45267" s="38"/>
    </row>
    <row r="45268">
      <c r="P45268" s="42"/>
      <c r="AB45268" s="38"/>
    </row>
    <row r="45269">
      <c r="P45269" s="42"/>
      <c r="AB45269" s="38"/>
    </row>
    <row r="45270">
      <c r="P45270" s="42"/>
      <c r="AB45270" s="38"/>
    </row>
    <row r="45271">
      <c r="P45271" s="42"/>
      <c r="AB45271" s="38"/>
    </row>
    <row r="45272">
      <c r="P45272" s="42"/>
      <c r="AB45272" s="38"/>
    </row>
    <row r="45273">
      <c r="P45273" s="42"/>
      <c r="AB45273" s="38"/>
    </row>
    <row r="45274">
      <c r="P45274" s="42"/>
      <c r="AB45274" s="38"/>
    </row>
    <row r="45275">
      <c r="P45275" s="42"/>
      <c r="AB45275" s="38"/>
    </row>
    <row r="45276">
      <c r="P45276" s="42"/>
      <c r="AB45276" s="38"/>
    </row>
    <row r="45277">
      <c r="P45277" s="42"/>
      <c r="AB45277" s="38"/>
    </row>
    <row r="45278">
      <c r="P45278" s="42"/>
      <c r="AB45278" s="38"/>
    </row>
    <row r="45279">
      <c r="P45279" s="42"/>
      <c r="AB45279" s="38"/>
    </row>
    <row r="45280">
      <c r="P45280" s="42"/>
      <c r="AB45280" s="38"/>
    </row>
    <row r="45281">
      <c r="P45281" s="42"/>
      <c r="AB45281" s="38"/>
    </row>
    <row r="45282">
      <c r="P45282" s="42"/>
      <c r="AB45282" s="38"/>
    </row>
    <row r="45283">
      <c r="P45283" s="42"/>
      <c r="AB45283" s="38"/>
    </row>
    <row r="45284">
      <c r="P45284" s="42"/>
      <c r="AB45284" s="38"/>
    </row>
    <row r="45285">
      <c r="P45285" s="42"/>
      <c r="AB45285" s="38"/>
    </row>
    <row r="45286">
      <c r="P45286" s="42"/>
      <c r="AB45286" s="38"/>
    </row>
    <row r="45287">
      <c r="P45287" s="42"/>
      <c r="AB45287" s="38"/>
    </row>
    <row r="45288">
      <c r="P45288" s="42"/>
      <c r="AB45288" s="38"/>
    </row>
    <row r="45289">
      <c r="P45289" s="42"/>
      <c r="AB45289" s="38"/>
    </row>
    <row r="45290">
      <c r="P45290" s="42"/>
      <c r="AB45290" s="38"/>
    </row>
    <row r="45291">
      <c r="P45291" s="42"/>
      <c r="AB45291" s="38"/>
    </row>
    <row r="45292">
      <c r="P45292" s="42"/>
      <c r="AB45292" s="38"/>
    </row>
    <row r="45293">
      <c r="P45293" s="42"/>
      <c r="AB45293" s="38"/>
    </row>
    <row r="45294">
      <c r="P45294" s="42"/>
      <c r="AB45294" s="38"/>
    </row>
    <row r="45295">
      <c r="P45295" s="42"/>
      <c r="AB45295" s="38"/>
    </row>
    <row r="45296">
      <c r="P45296" s="42"/>
      <c r="AB45296" s="38"/>
    </row>
    <row r="45297">
      <c r="P45297" s="42"/>
      <c r="AB45297" s="38"/>
    </row>
    <row r="45298">
      <c r="P45298" s="42"/>
      <c r="AB45298" s="38"/>
    </row>
    <row r="45299">
      <c r="P45299" s="42"/>
      <c r="AB45299" s="38"/>
    </row>
    <row r="45300">
      <c r="P45300" s="42"/>
      <c r="AB45300" s="38"/>
    </row>
    <row r="45301">
      <c r="P45301" s="42"/>
      <c r="AB45301" s="38"/>
    </row>
    <row r="45302">
      <c r="P45302" s="42"/>
      <c r="AB45302" s="38"/>
    </row>
    <row r="45303">
      <c r="P45303" s="42"/>
      <c r="AB45303" s="38"/>
    </row>
    <row r="45304">
      <c r="P45304" s="42"/>
      <c r="AB45304" s="38"/>
    </row>
    <row r="45305">
      <c r="P45305" s="42"/>
      <c r="AB45305" s="38"/>
    </row>
    <row r="45306">
      <c r="P45306" s="42"/>
      <c r="AB45306" s="38"/>
    </row>
    <row r="45307">
      <c r="P45307" s="42"/>
      <c r="AB45307" s="38"/>
    </row>
    <row r="45308">
      <c r="P45308" s="42"/>
      <c r="AB45308" s="38"/>
    </row>
    <row r="45309">
      <c r="P45309" s="42"/>
      <c r="AB45309" s="38"/>
    </row>
    <row r="45310">
      <c r="P45310" s="42"/>
      <c r="AB45310" s="38"/>
    </row>
    <row r="45311">
      <c r="P45311" s="42"/>
      <c r="AB45311" s="38"/>
    </row>
    <row r="45312">
      <c r="P45312" s="42"/>
      <c r="AB45312" s="38"/>
    </row>
    <row r="45313">
      <c r="P45313" s="42"/>
      <c r="AB45313" s="38"/>
    </row>
    <row r="45314">
      <c r="P45314" s="42"/>
      <c r="AB45314" s="38"/>
    </row>
    <row r="45315">
      <c r="P45315" s="42"/>
      <c r="AB45315" s="38"/>
    </row>
    <row r="45316">
      <c r="P45316" s="42"/>
      <c r="AB45316" s="38"/>
    </row>
    <row r="45317">
      <c r="P45317" s="42"/>
      <c r="AB45317" s="38"/>
    </row>
    <row r="45318">
      <c r="P45318" s="42"/>
      <c r="AB45318" s="38"/>
    </row>
    <row r="45319">
      <c r="P45319" s="42"/>
      <c r="AB45319" s="38"/>
    </row>
    <row r="45320">
      <c r="P45320" s="42"/>
      <c r="AB45320" s="38"/>
    </row>
    <row r="45321">
      <c r="P45321" s="42"/>
      <c r="AB45321" s="38"/>
    </row>
    <row r="45322">
      <c r="P45322" s="42"/>
      <c r="AB45322" s="38"/>
    </row>
    <row r="45323">
      <c r="P45323" s="42"/>
      <c r="AB45323" s="38"/>
    </row>
    <row r="45324">
      <c r="P45324" s="42"/>
      <c r="AB45324" s="38"/>
    </row>
    <row r="45325">
      <c r="P45325" s="42"/>
      <c r="AB45325" s="38"/>
    </row>
    <row r="45326">
      <c r="P45326" s="42"/>
      <c r="AB45326" s="38"/>
    </row>
    <row r="45327">
      <c r="P45327" s="42"/>
      <c r="AB45327" s="38"/>
    </row>
    <row r="45328">
      <c r="P45328" s="42"/>
      <c r="AB45328" s="38"/>
    </row>
    <row r="45329">
      <c r="P45329" s="42"/>
      <c r="AB45329" s="38"/>
    </row>
    <row r="45330">
      <c r="P45330" s="42"/>
      <c r="AB45330" s="38"/>
    </row>
    <row r="45331">
      <c r="P45331" s="42"/>
      <c r="AB45331" s="38"/>
    </row>
    <row r="45332">
      <c r="P45332" s="42"/>
      <c r="AB45332" s="38"/>
    </row>
    <row r="45333">
      <c r="P45333" s="42"/>
      <c r="AB45333" s="38"/>
    </row>
    <row r="45334">
      <c r="P45334" s="42"/>
      <c r="AB45334" s="38"/>
    </row>
    <row r="45335">
      <c r="P45335" s="42"/>
      <c r="AB45335" s="38"/>
    </row>
    <row r="45336">
      <c r="P45336" s="42"/>
      <c r="AB45336" s="38"/>
    </row>
    <row r="45337">
      <c r="P45337" s="42"/>
      <c r="AB45337" s="38"/>
    </row>
    <row r="45338">
      <c r="P45338" s="42"/>
      <c r="AB45338" s="38"/>
    </row>
    <row r="45339">
      <c r="P45339" s="42"/>
      <c r="AB45339" s="38"/>
    </row>
    <row r="45340">
      <c r="P45340" s="42"/>
      <c r="AB45340" s="38"/>
    </row>
    <row r="45341">
      <c r="P45341" s="42"/>
      <c r="AB45341" s="38"/>
    </row>
    <row r="45342">
      <c r="P45342" s="42"/>
      <c r="AB45342" s="38"/>
    </row>
    <row r="45343">
      <c r="P45343" s="42"/>
      <c r="AB45343" s="38"/>
    </row>
    <row r="45344">
      <c r="P45344" s="42"/>
      <c r="AB45344" s="38"/>
    </row>
    <row r="45345">
      <c r="P45345" s="42"/>
      <c r="AB45345" s="38"/>
    </row>
    <row r="45346">
      <c r="P45346" s="42"/>
      <c r="AB45346" s="38"/>
    </row>
    <row r="45347">
      <c r="P45347" s="42"/>
      <c r="AB45347" s="38"/>
    </row>
    <row r="45348">
      <c r="P45348" s="42"/>
      <c r="AB45348" s="38"/>
    </row>
    <row r="45349">
      <c r="P45349" s="42"/>
      <c r="AB45349" s="38"/>
    </row>
    <row r="45350">
      <c r="P45350" s="42"/>
      <c r="AB45350" s="38"/>
    </row>
    <row r="45351">
      <c r="P45351" s="42"/>
      <c r="AB45351" s="38"/>
    </row>
    <row r="45352">
      <c r="P45352" s="42"/>
      <c r="AB45352" s="38"/>
    </row>
    <row r="45353">
      <c r="P45353" s="42"/>
      <c r="AB45353" s="38"/>
    </row>
    <row r="45354">
      <c r="P45354" s="42"/>
      <c r="AB45354" s="38"/>
    </row>
    <row r="45355">
      <c r="P45355" s="42"/>
      <c r="AB45355" s="38"/>
    </row>
    <row r="45356">
      <c r="P45356" s="42"/>
      <c r="AB45356" s="38"/>
    </row>
    <row r="45357">
      <c r="P45357" s="42"/>
      <c r="AB45357" s="38"/>
    </row>
    <row r="45358">
      <c r="P45358" s="42"/>
      <c r="AB45358" s="38"/>
    </row>
    <row r="45359">
      <c r="P45359" s="42"/>
      <c r="AB45359" s="38"/>
    </row>
    <row r="45360">
      <c r="P45360" s="42"/>
      <c r="AB45360" s="38"/>
    </row>
    <row r="45361">
      <c r="P45361" s="42"/>
      <c r="AB45361" s="38"/>
    </row>
    <row r="45362">
      <c r="P45362" s="42"/>
      <c r="AB45362" s="38"/>
    </row>
    <row r="45363">
      <c r="P45363" s="42"/>
      <c r="AB45363" s="38"/>
    </row>
    <row r="45364">
      <c r="P45364" s="42"/>
      <c r="AB45364" s="38"/>
    </row>
    <row r="45365">
      <c r="P45365" s="42"/>
      <c r="AB45365" s="38"/>
    </row>
    <row r="45366">
      <c r="P45366" s="42"/>
      <c r="AB45366" s="38"/>
    </row>
    <row r="45367">
      <c r="P45367" s="42"/>
      <c r="AB45367" s="38"/>
    </row>
    <row r="45368">
      <c r="P45368" s="42"/>
      <c r="AB45368" s="38"/>
    </row>
    <row r="45369">
      <c r="P45369" s="42"/>
      <c r="AB45369" s="38"/>
    </row>
    <row r="45370">
      <c r="P45370" s="42"/>
      <c r="AB45370" s="38"/>
    </row>
    <row r="45371">
      <c r="P45371" s="42"/>
      <c r="AB45371" s="38"/>
    </row>
    <row r="45372">
      <c r="P45372" s="42"/>
      <c r="AB45372" s="38"/>
    </row>
    <row r="45373">
      <c r="P45373" s="42"/>
      <c r="AB45373" s="38"/>
    </row>
    <row r="45374">
      <c r="P45374" s="42"/>
      <c r="AB45374" s="38"/>
    </row>
    <row r="45375">
      <c r="P45375" s="42"/>
      <c r="AB45375" s="38"/>
    </row>
    <row r="45376">
      <c r="P45376" s="42"/>
      <c r="AB45376" s="38"/>
    </row>
    <row r="45377">
      <c r="P45377" s="42"/>
      <c r="AB45377" s="38"/>
    </row>
    <row r="45378">
      <c r="P45378" s="42"/>
      <c r="AB45378" s="38"/>
    </row>
    <row r="45379">
      <c r="P45379" s="42"/>
      <c r="AB45379" s="38"/>
    </row>
    <row r="45380">
      <c r="P45380" s="42"/>
      <c r="AB45380" s="38"/>
    </row>
    <row r="45381">
      <c r="P45381" s="42"/>
      <c r="AB45381" s="38"/>
    </row>
    <row r="45382">
      <c r="P45382" s="42"/>
      <c r="AB45382" s="38"/>
    </row>
    <row r="45383">
      <c r="P45383" s="42"/>
      <c r="AB45383" s="38"/>
    </row>
    <row r="45384">
      <c r="P45384" s="42"/>
      <c r="AB45384" s="38"/>
    </row>
    <row r="45385">
      <c r="P45385" s="42"/>
      <c r="AB45385" s="38"/>
    </row>
    <row r="45386">
      <c r="P45386" s="42"/>
      <c r="AB45386" s="38"/>
    </row>
    <row r="45387">
      <c r="P45387" s="42"/>
      <c r="AB45387" s="38"/>
    </row>
    <row r="45388">
      <c r="P45388" s="42"/>
      <c r="AB45388" s="38"/>
    </row>
    <row r="45389">
      <c r="P45389" s="42"/>
      <c r="AB45389" s="38"/>
    </row>
    <row r="45390">
      <c r="P45390" s="42"/>
      <c r="AB45390" s="38"/>
    </row>
    <row r="45391">
      <c r="P45391" s="42"/>
      <c r="AB45391" s="38"/>
    </row>
    <row r="45392">
      <c r="P45392" s="42"/>
      <c r="AB45392" s="38"/>
    </row>
    <row r="45393">
      <c r="P45393" s="42"/>
      <c r="AB45393" s="38"/>
    </row>
    <row r="45394">
      <c r="P45394" s="42"/>
      <c r="AB45394" s="38"/>
    </row>
    <row r="45395">
      <c r="P45395" s="42"/>
      <c r="AB45395" s="38"/>
    </row>
    <row r="45396">
      <c r="P45396" s="42"/>
      <c r="AB45396" s="38"/>
    </row>
    <row r="45397">
      <c r="P45397" s="42"/>
      <c r="AB45397" s="38"/>
    </row>
    <row r="45398">
      <c r="P45398" s="42"/>
      <c r="AB45398" s="38"/>
    </row>
    <row r="45399">
      <c r="P45399" s="42"/>
      <c r="AB45399" s="38"/>
    </row>
    <row r="45400">
      <c r="P45400" s="42"/>
      <c r="AB45400" s="38"/>
    </row>
    <row r="45401">
      <c r="P45401" s="42"/>
      <c r="AB45401" s="38"/>
    </row>
    <row r="45402">
      <c r="P45402" s="42"/>
      <c r="AB45402" s="38"/>
    </row>
    <row r="45403">
      <c r="P45403" s="42"/>
      <c r="AB45403" s="38"/>
    </row>
    <row r="45404">
      <c r="P45404" s="42"/>
      <c r="AB45404" s="38"/>
    </row>
    <row r="45405">
      <c r="P45405" s="42"/>
      <c r="AB45405" s="38"/>
    </row>
    <row r="45406">
      <c r="P45406" s="42"/>
      <c r="AB45406" s="38"/>
    </row>
    <row r="45407">
      <c r="P45407" s="42"/>
      <c r="AB45407" s="38"/>
    </row>
    <row r="45408">
      <c r="P45408" s="42"/>
      <c r="AB45408" s="38"/>
    </row>
    <row r="45409">
      <c r="P45409" s="42"/>
      <c r="AB45409" s="38"/>
    </row>
    <row r="45410">
      <c r="P45410" s="42"/>
      <c r="AB45410" s="38"/>
    </row>
    <row r="45411">
      <c r="P45411" s="42"/>
      <c r="AB45411" s="38"/>
    </row>
    <row r="45412">
      <c r="P45412" s="42"/>
      <c r="AB45412" s="38"/>
    </row>
    <row r="45413">
      <c r="P45413" s="42"/>
      <c r="AB45413" s="38"/>
    </row>
    <row r="45414">
      <c r="P45414" s="42"/>
      <c r="AB45414" s="38"/>
    </row>
    <row r="45415">
      <c r="P45415" s="42"/>
      <c r="AB45415" s="38"/>
    </row>
    <row r="45416">
      <c r="P45416" s="42"/>
      <c r="AB45416" s="38"/>
    </row>
    <row r="45417">
      <c r="P45417" s="42"/>
      <c r="AB45417" s="38"/>
    </row>
    <row r="45418">
      <c r="P45418" s="42"/>
      <c r="AB45418" s="38"/>
    </row>
    <row r="45419">
      <c r="P45419" s="42"/>
      <c r="AB45419" s="38"/>
    </row>
    <row r="45420">
      <c r="P45420" s="42"/>
      <c r="AB45420" s="38"/>
    </row>
    <row r="45421">
      <c r="P45421" s="42"/>
      <c r="AB45421" s="38"/>
    </row>
    <row r="45422">
      <c r="P45422" s="42"/>
      <c r="AB45422" s="38"/>
    </row>
    <row r="45423">
      <c r="P45423" s="42"/>
      <c r="AB45423" s="38"/>
    </row>
    <row r="45424">
      <c r="P45424" s="42"/>
      <c r="AB45424" s="38"/>
    </row>
    <row r="45425">
      <c r="P45425" s="42"/>
      <c r="AB45425" s="38"/>
    </row>
    <row r="45426">
      <c r="P45426" s="42"/>
      <c r="AB45426" s="38"/>
    </row>
    <row r="45427">
      <c r="P45427" s="42"/>
      <c r="AB45427" s="38"/>
    </row>
    <row r="45428">
      <c r="P45428" s="42"/>
      <c r="AB45428" s="38"/>
    </row>
    <row r="45429">
      <c r="P45429" s="42"/>
      <c r="AB45429" s="38"/>
    </row>
    <row r="45430">
      <c r="P45430" s="42"/>
      <c r="AB45430" s="38"/>
    </row>
    <row r="45431">
      <c r="P45431" s="42"/>
      <c r="AB45431" s="38"/>
    </row>
    <row r="45432">
      <c r="P45432" s="42"/>
      <c r="AB45432" s="38"/>
    </row>
    <row r="45433">
      <c r="P45433" s="42"/>
      <c r="AB45433" s="38"/>
    </row>
    <row r="45434">
      <c r="P45434" s="42"/>
      <c r="AB45434" s="38"/>
    </row>
    <row r="45435">
      <c r="P45435" s="42"/>
      <c r="AB45435" s="38"/>
    </row>
    <row r="45436">
      <c r="P45436" s="42"/>
      <c r="AB45436" s="38"/>
    </row>
    <row r="45437">
      <c r="P45437" s="42"/>
      <c r="AB45437" s="38"/>
    </row>
    <row r="45438">
      <c r="P45438" s="42"/>
      <c r="AB45438" s="38"/>
    </row>
    <row r="45439">
      <c r="P45439" s="42"/>
      <c r="AB45439" s="38"/>
    </row>
    <row r="45440">
      <c r="P45440" s="42"/>
      <c r="AB45440" s="38"/>
    </row>
    <row r="45441">
      <c r="P45441" s="42"/>
      <c r="AB45441" s="38"/>
    </row>
    <row r="45442">
      <c r="P45442" s="42"/>
      <c r="AB45442" s="38"/>
    </row>
    <row r="45443">
      <c r="P45443" s="42"/>
      <c r="AB45443" s="38"/>
    </row>
    <row r="45444">
      <c r="P45444" s="42"/>
      <c r="AB45444" s="38"/>
    </row>
    <row r="45445">
      <c r="P45445" s="42"/>
      <c r="AB45445" s="38"/>
    </row>
    <row r="45446">
      <c r="P45446" s="42"/>
      <c r="AB45446" s="38"/>
    </row>
    <row r="45447">
      <c r="P45447" s="42"/>
      <c r="AB45447" s="38"/>
    </row>
    <row r="45448">
      <c r="P45448" s="42"/>
      <c r="AB45448" s="38"/>
    </row>
    <row r="45449">
      <c r="P45449" s="42"/>
      <c r="AB45449" s="38"/>
    </row>
    <row r="45450">
      <c r="P45450" s="42"/>
      <c r="AB45450" s="38"/>
    </row>
    <row r="45451">
      <c r="P45451" s="42"/>
      <c r="AB45451" s="38"/>
    </row>
    <row r="45452">
      <c r="P45452" s="42"/>
      <c r="AB45452" s="38"/>
    </row>
    <row r="45453">
      <c r="P45453" s="42"/>
      <c r="AB45453" s="38"/>
    </row>
    <row r="45454">
      <c r="P45454" s="42"/>
      <c r="AB45454" s="38"/>
    </row>
    <row r="45455">
      <c r="P45455" s="42"/>
      <c r="AB45455" s="38"/>
    </row>
    <row r="45456">
      <c r="P45456" s="42"/>
      <c r="AB45456" s="38"/>
    </row>
    <row r="45457">
      <c r="P45457" s="42"/>
      <c r="AB45457" s="38"/>
    </row>
    <row r="45458">
      <c r="P45458" s="42"/>
      <c r="AB45458" s="38"/>
    </row>
    <row r="45459">
      <c r="P45459" s="42"/>
      <c r="AB45459" s="38"/>
    </row>
    <row r="45460">
      <c r="P45460" s="42"/>
      <c r="AB45460" s="38"/>
    </row>
    <row r="45461">
      <c r="P45461" s="42"/>
      <c r="AB45461" s="38"/>
    </row>
    <row r="45462">
      <c r="P45462" s="42"/>
      <c r="AB45462" s="38"/>
    </row>
    <row r="45463">
      <c r="P45463" s="42"/>
      <c r="AB45463" s="38"/>
    </row>
    <row r="45464">
      <c r="P45464" s="42"/>
      <c r="AB45464" s="38"/>
    </row>
    <row r="45465">
      <c r="P45465" s="42"/>
      <c r="AB45465" s="38"/>
    </row>
    <row r="45466">
      <c r="P45466" s="42"/>
      <c r="AB45466" s="38"/>
    </row>
    <row r="45467">
      <c r="P45467" s="42"/>
      <c r="AB45467" s="38"/>
    </row>
    <row r="45468">
      <c r="P45468" s="42"/>
      <c r="AB45468" s="38"/>
    </row>
    <row r="45469">
      <c r="P45469" s="42"/>
      <c r="AB45469" s="38"/>
    </row>
    <row r="45470">
      <c r="P45470" s="42"/>
      <c r="AB45470" s="38"/>
    </row>
    <row r="45471">
      <c r="P45471" s="42"/>
      <c r="AB45471" s="38"/>
    </row>
    <row r="45472">
      <c r="P45472" s="42"/>
      <c r="AB45472" s="38"/>
    </row>
    <row r="45473">
      <c r="P45473" s="42"/>
      <c r="AB45473" s="38"/>
    </row>
    <row r="45474">
      <c r="P45474" s="42"/>
      <c r="AB45474" s="38"/>
    </row>
    <row r="45475">
      <c r="P45475" s="42"/>
      <c r="AB45475" s="38"/>
    </row>
    <row r="45476">
      <c r="P45476" s="42"/>
      <c r="AB45476" s="38"/>
    </row>
    <row r="45477">
      <c r="P45477" s="42"/>
      <c r="AB45477" s="38"/>
    </row>
    <row r="45478">
      <c r="P45478" s="42"/>
      <c r="AB45478" s="38"/>
    </row>
    <row r="45479">
      <c r="P45479" s="42"/>
      <c r="AB45479" s="38"/>
    </row>
    <row r="45480">
      <c r="P45480" s="42"/>
      <c r="AB45480" s="38"/>
    </row>
    <row r="45481">
      <c r="P45481" s="42"/>
      <c r="AB45481" s="38"/>
    </row>
    <row r="45482">
      <c r="P45482" s="42"/>
      <c r="AB45482" s="38"/>
    </row>
    <row r="45483">
      <c r="P45483" s="42"/>
      <c r="AB45483" s="38"/>
    </row>
    <row r="45484">
      <c r="P45484" s="42"/>
      <c r="AB45484" s="38"/>
    </row>
    <row r="45485">
      <c r="P45485" s="42"/>
      <c r="AB45485" s="38"/>
    </row>
    <row r="45486">
      <c r="P45486" s="42"/>
      <c r="AB45486" s="38"/>
    </row>
    <row r="45487">
      <c r="P45487" s="42"/>
      <c r="AB45487" s="38"/>
    </row>
    <row r="45488">
      <c r="P45488" s="42"/>
      <c r="AB45488" s="38"/>
    </row>
    <row r="45489">
      <c r="P45489" s="42"/>
      <c r="AB45489" s="38"/>
    </row>
    <row r="45490">
      <c r="P45490" s="42"/>
      <c r="AB45490" s="38"/>
    </row>
    <row r="45491">
      <c r="P45491" s="42"/>
      <c r="AB45491" s="38"/>
    </row>
    <row r="45492">
      <c r="P45492" s="42"/>
      <c r="AB45492" s="38"/>
    </row>
    <row r="45493">
      <c r="P45493" s="42"/>
      <c r="AB45493" s="38"/>
    </row>
    <row r="45494">
      <c r="P45494" s="42"/>
      <c r="AB45494" s="38"/>
    </row>
    <row r="45495">
      <c r="P45495" s="42"/>
      <c r="AB45495" s="38"/>
    </row>
    <row r="45496">
      <c r="P45496" s="42"/>
      <c r="AB45496" s="38"/>
    </row>
    <row r="45497">
      <c r="P45497" s="42"/>
      <c r="AB45497" s="38"/>
    </row>
    <row r="45498">
      <c r="P45498" s="42"/>
      <c r="AB45498" s="38"/>
    </row>
    <row r="45499">
      <c r="P45499" s="42"/>
      <c r="AB45499" s="38"/>
    </row>
    <row r="45500">
      <c r="P45500" s="42"/>
      <c r="AB45500" s="38"/>
    </row>
    <row r="45501">
      <c r="P45501" s="42"/>
      <c r="AB45501" s="38"/>
    </row>
    <row r="45502">
      <c r="P45502" s="42"/>
      <c r="AB45502" s="38"/>
    </row>
    <row r="45503">
      <c r="P45503" s="42"/>
      <c r="AB45503" s="38"/>
    </row>
    <row r="45504">
      <c r="P45504" s="42"/>
      <c r="AB45504" s="38"/>
    </row>
    <row r="45505">
      <c r="P45505" s="42"/>
      <c r="AB45505" s="38"/>
    </row>
    <row r="45506">
      <c r="P45506" s="42"/>
      <c r="AB45506" s="38"/>
    </row>
    <row r="45507">
      <c r="P45507" s="42"/>
      <c r="AB45507" s="38"/>
    </row>
    <row r="45508">
      <c r="P45508" s="42"/>
      <c r="AB45508" s="38"/>
    </row>
    <row r="45509">
      <c r="P45509" s="42"/>
      <c r="AB45509" s="38"/>
    </row>
    <row r="45510">
      <c r="P45510" s="42"/>
      <c r="AB45510" s="38"/>
    </row>
    <row r="45511">
      <c r="P45511" s="42"/>
      <c r="AB45511" s="38"/>
    </row>
    <row r="45512">
      <c r="P45512" s="42"/>
      <c r="AB45512" s="38"/>
    </row>
    <row r="45513">
      <c r="P45513" s="42"/>
      <c r="AB45513" s="38"/>
    </row>
    <row r="45514">
      <c r="P45514" s="42"/>
      <c r="AB45514" s="38"/>
    </row>
    <row r="45515">
      <c r="P45515" s="42"/>
      <c r="AB45515" s="38"/>
    </row>
    <row r="45516">
      <c r="P45516" s="42"/>
      <c r="AB45516" s="38"/>
    </row>
    <row r="45517">
      <c r="P45517" s="42"/>
      <c r="AB45517" s="38"/>
    </row>
    <row r="45518">
      <c r="P45518" s="42"/>
      <c r="AB45518" s="38"/>
    </row>
    <row r="45519">
      <c r="P45519" s="42"/>
      <c r="AB45519" s="38"/>
    </row>
    <row r="45520">
      <c r="P45520" s="42"/>
      <c r="AB45520" s="38"/>
    </row>
    <row r="45521">
      <c r="P45521" s="42"/>
      <c r="AB45521" s="38"/>
    </row>
    <row r="45522">
      <c r="P45522" s="42"/>
      <c r="AB45522" s="38"/>
    </row>
    <row r="45523">
      <c r="P45523" s="42"/>
      <c r="AB45523" s="38"/>
    </row>
    <row r="45524">
      <c r="P45524" s="42"/>
      <c r="AB45524" s="38"/>
    </row>
    <row r="45525">
      <c r="P45525" s="42"/>
      <c r="AB45525" s="38"/>
    </row>
    <row r="45526">
      <c r="P45526" s="42"/>
      <c r="AB45526" s="38"/>
    </row>
    <row r="45527">
      <c r="P45527" s="42"/>
      <c r="AB45527" s="38"/>
    </row>
    <row r="45528">
      <c r="P45528" s="42"/>
      <c r="AB45528" s="38"/>
    </row>
    <row r="45529">
      <c r="P45529" s="42"/>
      <c r="AB45529" s="38"/>
    </row>
    <row r="45530">
      <c r="P45530" s="42"/>
      <c r="AB45530" s="38"/>
    </row>
    <row r="45531">
      <c r="P45531" s="42"/>
      <c r="AB45531" s="38"/>
    </row>
    <row r="45532">
      <c r="P45532" s="42"/>
      <c r="AB45532" s="38"/>
    </row>
    <row r="45533">
      <c r="P45533" s="42"/>
      <c r="AB45533" s="38"/>
    </row>
    <row r="45534">
      <c r="P45534" s="42"/>
      <c r="AB45534" s="38"/>
    </row>
    <row r="45535">
      <c r="P45535" s="42"/>
      <c r="AB45535" s="38"/>
    </row>
    <row r="45536">
      <c r="P45536" s="42"/>
      <c r="AB45536" s="38"/>
    </row>
    <row r="45537">
      <c r="P45537" s="42"/>
      <c r="AB45537" s="38"/>
    </row>
    <row r="45538">
      <c r="P45538" s="42"/>
      <c r="AB45538" s="38"/>
    </row>
    <row r="45539">
      <c r="P45539" s="42"/>
      <c r="AB45539" s="38"/>
    </row>
    <row r="45540">
      <c r="P45540" s="42"/>
      <c r="AB45540" s="38"/>
    </row>
    <row r="45541">
      <c r="P45541" s="42"/>
      <c r="AB45541" s="38"/>
    </row>
    <row r="45542">
      <c r="P45542" s="42"/>
      <c r="AB45542" s="38"/>
    </row>
    <row r="45543">
      <c r="P45543" s="42"/>
      <c r="AB45543" s="38"/>
    </row>
    <row r="45544">
      <c r="P45544" s="42"/>
      <c r="AB45544" s="38"/>
    </row>
    <row r="45545">
      <c r="P45545" s="42"/>
      <c r="AB45545" s="38"/>
    </row>
    <row r="45546">
      <c r="P45546" s="42"/>
      <c r="AB45546" s="38"/>
    </row>
    <row r="45547">
      <c r="P45547" s="42"/>
      <c r="AB45547" s="38"/>
    </row>
    <row r="45548">
      <c r="P45548" s="42"/>
      <c r="AB45548" s="38"/>
    </row>
    <row r="45549">
      <c r="P45549" s="42"/>
      <c r="AB45549" s="38"/>
    </row>
    <row r="45550">
      <c r="P45550" s="42"/>
      <c r="AB45550" s="38"/>
    </row>
    <row r="45551">
      <c r="P45551" s="42"/>
      <c r="AB45551" s="38"/>
    </row>
    <row r="45552">
      <c r="P45552" s="42"/>
      <c r="AB45552" s="38"/>
    </row>
    <row r="45553">
      <c r="P45553" s="42"/>
      <c r="AB45553" s="38"/>
    </row>
    <row r="45554">
      <c r="P45554" s="42"/>
      <c r="AB45554" s="38"/>
    </row>
    <row r="45555">
      <c r="P45555" s="42"/>
      <c r="AB45555" s="38"/>
    </row>
    <row r="45556">
      <c r="P45556" s="42"/>
      <c r="AB45556" s="38"/>
    </row>
    <row r="45557">
      <c r="P45557" s="42"/>
      <c r="AB45557" s="38"/>
    </row>
    <row r="45558">
      <c r="P45558" s="42"/>
      <c r="AB45558" s="38"/>
    </row>
    <row r="45559">
      <c r="P45559" s="42"/>
      <c r="AB45559" s="38"/>
    </row>
    <row r="45560">
      <c r="P45560" s="42"/>
      <c r="AB45560" s="38"/>
    </row>
    <row r="45561">
      <c r="P45561" s="42"/>
      <c r="AB45561" s="38"/>
    </row>
    <row r="45562">
      <c r="P45562" s="42"/>
      <c r="AB45562" s="38"/>
    </row>
    <row r="45563">
      <c r="P45563" s="42"/>
      <c r="AB45563" s="38"/>
    </row>
    <row r="45564">
      <c r="P45564" s="42"/>
      <c r="AB45564" s="38"/>
    </row>
    <row r="45565">
      <c r="P45565" s="42"/>
      <c r="AB45565" s="38"/>
    </row>
    <row r="45566">
      <c r="P45566" s="42"/>
      <c r="AB45566" s="38"/>
    </row>
    <row r="45567">
      <c r="P45567" s="42"/>
      <c r="AB45567" s="38"/>
    </row>
    <row r="45568">
      <c r="P45568" s="42"/>
      <c r="AB45568" s="38"/>
    </row>
    <row r="45569">
      <c r="P45569" s="42"/>
      <c r="AB45569" s="38"/>
    </row>
    <row r="45570">
      <c r="P45570" s="42"/>
      <c r="AB45570" s="38"/>
    </row>
    <row r="45571">
      <c r="P45571" s="42"/>
      <c r="AB45571" s="38"/>
    </row>
    <row r="45572">
      <c r="P45572" s="42"/>
      <c r="AB45572" s="38"/>
    </row>
    <row r="45573">
      <c r="P45573" s="42"/>
      <c r="AB45573" s="38"/>
    </row>
    <row r="45574">
      <c r="P45574" s="42"/>
      <c r="AB45574" s="38"/>
    </row>
    <row r="45575">
      <c r="P45575" s="42"/>
      <c r="AB45575" s="38"/>
    </row>
    <row r="45576">
      <c r="P45576" s="42"/>
      <c r="AB45576" s="38"/>
    </row>
    <row r="45577">
      <c r="P45577" s="42"/>
      <c r="AB45577" s="38"/>
    </row>
    <row r="45578">
      <c r="P45578" s="42"/>
      <c r="AB45578" s="38"/>
    </row>
    <row r="45579">
      <c r="P45579" s="42"/>
      <c r="AB45579" s="38"/>
    </row>
    <row r="45580">
      <c r="P45580" s="42"/>
      <c r="AB45580" s="38"/>
    </row>
    <row r="45581">
      <c r="P45581" s="42"/>
      <c r="AB45581" s="38"/>
    </row>
    <row r="45582">
      <c r="P45582" s="42"/>
      <c r="AB45582" s="38"/>
    </row>
    <row r="45583">
      <c r="P45583" s="42"/>
      <c r="AB45583" s="38"/>
    </row>
    <row r="45584">
      <c r="P45584" s="42"/>
      <c r="AB45584" s="38"/>
    </row>
    <row r="45585">
      <c r="P45585" s="42"/>
      <c r="AB45585" s="38"/>
    </row>
    <row r="45586">
      <c r="P45586" s="42"/>
      <c r="AB45586" s="38"/>
    </row>
    <row r="45587">
      <c r="P45587" s="42"/>
      <c r="AB45587" s="38"/>
    </row>
    <row r="45588">
      <c r="P45588" s="42"/>
      <c r="AB45588" s="38"/>
    </row>
    <row r="45589">
      <c r="P45589" s="42"/>
      <c r="AB45589" s="38"/>
    </row>
    <row r="45590">
      <c r="P45590" s="42"/>
      <c r="AB45590" s="38"/>
    </row>
    <row r="45591">
      <c r="P45591" s="42"/>
      <c r="AB45591" s="38"/>
    </row>
    <row r="45592">
      <c r="P45592" s="42"/>
      <c r="AB45592" s="38"/>
    </row>
    <row r="45593">
      <c r="P45593" s="42"/>
      <c r="AB45593" s="38"/>
    </row>
    <row r="45594">
      <c r="P45594" s="42"/>
      <c r="AB45594" s="38"/>
    </row>
    <row r="45595">
      <c r="P45595" s="42"/>
      <c r="AB45595" s="38"/>
    </row>
    <row r="45596">
      <c r="P45596" s="42"/>
      <c r="AB45596" s="38"/>
    </row>
    <row r="45597">
      <c r="P45597" s="42"/>
      <c r="AB45597" s="38"/>
    </row>
    <row r="45598">
      <c r="P45598" s="42"/>
      <c r="AB45598" s="38"/>
    </row>
    <row r="45599">
      <c r="P45599" s="42"/>
      <c r="AB45599" s="38"/>
    </row>
    <row r="45600">
      <c r="P45600" s="42"/>
      <c r="AB45600" s="38"/>
    </row>
    <row r="45601">
      <c r="P45601" s="42"/>
      <c r="AB45601" s="38"/>
    </row>
    <row r="45602">
      <c r="P45602" s="42"/>
      <c r="AB45602" s="38"/>
    </row>
    <row r="45603">
      <c r="P45603" s="42"/>
      <c r="AB45603" s="38"/>
    </row>
    <row r="45604">
      <c r="P45604" s="42"/>
      <c r="AB45604" s="38"/>
    </row>
    <row r="45605">
      <c r="P45605" s="42"/>
      <c r="AB45605" s="38"/>
    </row>
    <row r="45606">
      <c r="P45606" s="42"/>
      <c r="AB45606" s="38"/>
    </row>
    <row r="45607">
      <c r="P45607" s="42"/>
      <c r="AB45607" s="38"/>
    </row>
    <row r="45608">
      <c r="P45608" s="42"/>
      <c r="AB45608" s="38"/>
    </row>
    <row r="45609">
      <c r="P45609" s="42"/>
      <c r="AB45609" s="38"/>
    </row>
    <row r="45610">
      <c r="P45610" s="42"/>
      <c r="AB45610" s="38"/>
    </row>
    <row r="45611">
      <c r="P45611" s="42"/>
      <c r="AB45611" s="38"/>
    </row>
    <row r="45612">
      <c r="P45612" s="42"/>
      <c r="AB45612" s="38"/>
    </row>
    <row r="45613">
      <c r="P45613" s="42"/>
      <c r="AB45613" s="38"/>
    </row>
    <row r="45614">
      <c r="P45614" s="42"/>
      <c r="AB45614" s="38"/>
    </row>
    <row r="45615">
      <c r="P45615" s="42"/>
      <c r="AB45615" s="38"/>
    </row>
    <row r="45616">
      <c r="P45616" s="42"/>
      <c r="AB45616" s="38"/>
    </row>
    <row r="45617">
      <c r="P45617" s="42"/>
      <c r="AB45617" s="38"/>
    </row>
    <row r="45618">
      <c r="P45618" s="42"/>
      <c r="AB45618" s="38"/>
    </row>
    <row r="45619">
      <c r="P45619" s="42"/>
      <c r="AB45619" s="38"/>
    </row>
    <row r="45620">
      <c r="P45620" s="42"/>
      <c r="AB45620" s="38"/>
    </row>
    <row r="45621">
      <c r="P45621" s="42"/>
      <c r="AB45621" s="38"/>
    </row>
    <row r="45622">
      <c r="P45622" s="42"/>
      <c r="AB45622" s="38"/>
    </row>
    <row r="45623">
      <c r="P45623" s="42"/>
      <c r="AB45623" s="38"/>
    </row>
    <row r="45624">
      <c r="P45624" s="42"/>
      <c r="AB45624" s="38"/>
    </row>
    <row r="45625">
      <c r="P45625" s="42"/>
      <c r="AB45625" s="38"/>
    </row>
    <row r="45626">
      <c r="P45626" s="42"/>
      <c r="AB45626" s="38"/>
    </row>
    <row r="45627">
      <c r="P45627" s="42"/>
      <c r="AB45627" s="38"/>
    </row>
    <row r="45628">
      <c r="P45628" s="42"/>
      <c r="AB45628" s="38"/>
    </row>
    <row r="45629">
      <c r="P45629" s="42"/>
      <c r="AB45629" s="38"/>
    </row>
    <row r="45630">
      <c r="P45630" s="42"/>
      <c r="AB45630" s="38"/>
    </row>
    <row r="45631">
      <c r="P45631" s="42"/>
      <c r="AB45631" s="38"/>
    </row>
    <row r="45632">
      <c r="P45632" s="42"/>
      <c r="AB45632" s="38"/>
    </row>
    <row r="45633">
      <c r="P45633" s="42"/>
      <c r="AB45633" s="38"/>
    </row>
    <row r="45634">
      <c r="P45634" s="42"/>
      <c r="AB45634" s="38"/>
    </row>
    <row r="45635">
      <c r="P45635" s="42"/>
      <c r="AB45635" s="38"/>
    </row>
    <row r="45636">
      <c r="P45636" s="42"/>
      <c r="AB45636" s="38"/>
    </row>
    <row r="45637">
      <c r="P45637" s="42"/>
      <c r="AB45637" s="38"/>
    </row>
    <row r="45638">
      <c r="P45638" s="42"/>
      <c r="AB45638" s="38"/>
    </row>
    <row r="45639">
      <c r="P45639" s="42"/>
      <c r="AB45639" s="38"/>
    </row>
    <row r="45640">
      <c r="P45640" s="42"/>
      <c r="AB45640" s="38"/>
    </row>
    <row r="45641">
      <c r="P45641" s="42"/>
      <c r="AB45641" s="38"/>
    </row>
    <row r="45642">
      <c r="P45642" s="42"/>
      <c r="AB45642" s="38"/>
    </row>
    <row r="45643">
      <c r="P45643" s="42"/>
      <c r="AB45643" s="38"/>
    </row>
    <row r="45644">
      <c r="P45644" s="42"/>
      <c r="AB45644" s="38"/>
    </row>
    <row r="45645">
      <c r="P45645" s="42"/>
      <c r="AB45645" s="38"/>
    </row>
    <row r="45646">
      <c r="P45646" s="42"/>
      <c r="AB45646" s="38"/>
    </row>
    <row r="45647">
      <c r="P45647" s="42"/>
      <c r="AB45647" s="38"/>
    </row>
    <row r="45648">
      <c r="P45648" s="42"/>
      <c r="AB45648" s="38"/>
    </row>
    <row r="45649">
      <c r="P45649" s="42"/>
      <c r="AB45649" s="38"/>
    </row>
    <row r="45650">
      <c r="P45650" s="42"/>
      <c r="AB45650" s="38"/>
    </row>
    <row r="45651">
      <c r="P45651" s="42"/>
      <c r="AB45651" s="38"/>
    </row>
    <row r="45652">
      <c r="P45652" s="42"/>
      <c r="AB45652" s="38"/>
    </row>
    <row r="45653">
      <c r="P45653" s="42"/>
      <c r="AB45653" s="38"/>
    </row>
    <row r="45654">
      <c r="P45654" s="42"/>
      <c r="AB45654" s="38"/>
    </row>
    <row r="45655">
      <c r="P45655" s="42"/>
      <c r="AB45655" s="38"/>
    </row>
    <row r="45656">
      <c r="P45656" s="42"/>
      <c r="AB45656" s="38"/>
    </row>
    <row r="45657">
      <c r="P45657" s="42"/>
      <c r="AB45657" s="38"/>
    </row>
    <row r="45658">
      <c r="P45658" s="42"/>
      <c r="AB45658" s="38"/>
    </row>
    <row r="45659">
      <c r="P45659" s="42"/>
      <c r="AB45659" s="38"/>
    </row>
    <row r="45660">
      <c r="P45660" s="42"/>
      <c r="AB45660" s="38"/>
    </row>
    <row r="45661">
      <c r="P45661" s="42"/>
      <c r="AB45661" s="38"/>
    </row>
    <row r="45662">
      <c r="P45662" s="42"/>
      <c r="AB45662" s="38"/>
    </row>
    <row r="45663">
      <c r="P45663" s="42"/>
      <c r="AB45663" s="38"/>
    </row>
    <row r="45664">
      <c r="P45664" s="42"/>
      <c r="AB45664" s="38"/>
    </row>
    <row r="45665">
      <c r="P45665" s="42"/>
      <c r="AB45665" s="38"/>
    </row>
    <row r="45666">
      <c r="P45666" s="42"/>
      <c r="AB45666" s="38"/>
    </row>
    <row r="45667">
      <c r="P45667" s="42"/>
      <c r="AB45667" s="38"/>
    </row>
    <row r="45668">
      <c r="P45668" s="42"/>
      <c r="AB45668" s="38"/>
    </row>
    <row r="45669">
      <c r="P45669" s="42"/>
      <c r="AB45669" s="38"/>
    </row>
    <row r="45670">
      <c r="P45670" s="42"/>
      <c r="AB45670" s="38"/>
    </row>
    <row r="45671">
      <c r="P45671" s="42"/>
      <c r="AB45671" s="38"/>
    </row>
    <row r="45672">
      <c r="P45672" s="42"/>
      <c r="AB45672" s="38"/>
    </row>
    <row r="45673">
      <c r="P45673" s="42"/>
      <c r="AB45673" s="38"/>
    </row>
    <row r="45674">
      <c r="P45674" s="42"/>
      <c r="AB45674" s="38"/>
    </row>
    <row r="45675">
      <c r="P45675" s="42"/>
      <c r="AB45675" s="38"/>
    </row>
    <row r="45676">
      <c r="P45676" s="42"/>
      <c r="AB45676" s="38"/>
    </row>
    <row r="45677">
      <c r="P45677" s="42"/>
      <c r="AB45677" s="38"/>
    </row>
    <row r="45678">
      <c r="P45678" s="42"/>
      <c r="AB45678" s="38"/>
    </row>
    <row r="45679">
      <c r="P45679" s="42"/>
      <c r="AB45679" s="38"/>
    </row>
    <row r="45680">
      <c r="P45680" s="42"/>
      <c r="AB45680" s="38"/>
    </row>
    <row r="45681">
      <c r="P45681" s="42"/>
      <c r="AB45681" s="38"/>
    </row>
    <row r="45682">
      <c r="P45682" s="42"/>
      <c r="AB45682" s="38"/>
    </row>
    <row r="45683">
      <c r="P45683" s="42"/>
      <c r="AB45683" s="38"/>
    </row>
    <row r="45684">
      <c r="P45684" s="42"/>
      <c r="AB45684" s="38"/>
    </row>
    <row r="45685">
      <c r="P45685" s="42"/>
      <c r="AB45685" s="38"/>
    </row>
    <row r="45686">
      <c r="P45686" s="42"/>
      <c r="AB45686" s="38"/>
    </row>
    <row r="45687">
      <c r="P45687" s="42"/>
      <c r="AB45687" s="38"/>
    </row>
    <row r="45688">
      <c r="P45688" s="42"/>
      <c r="AB45688" s="38"/>
    </row>
    <row r="45689">
      <c r="P45689" s="42"/>
      <c r="AB45689" s="38"/>
    </row>
    <row r="45690">
      <c r="P45690" s="42"/>
      <c r="AB45690" s="38"/>
    </row>
    <row r="45691">
      <c r="P45691" s="42"/>
      <c r="AB45691" s="38"/>
    </row>
    <row r="45692">
      <c r="P45692" s="42"/>
      <c r="AB45692" s="38"/>
    </row>
    <row r="45693">
      <c r="P45693" s="42"/>
      <c r="AB45693" s="38"/>
    </row>
    <row r="45694">
      <c r="P45694" s="42"/>
      <c r="AB45694" s="38"/>
    </row>
    <row r="45695">
      <c r="P45695" s="42"/>
      <c r="AB45695" s="38"/>
    </row>
    <row r="45696">
      <c r="P45696" s="42"/>
      <c r="AB45696" s="38"/>
    </row>
    <row r="45697">
      <c r="P45697" s="42"/>
      <c r="AB45697" s="38"/>
    </row>
    <row r="45698">
      <c r="P45698" s="42"/>
      <c r="AB45698" s="38"/>
    </row>
    <row r="45699">
      <c r="P45699" s="42"/>
      <c r="AB45699" s="38"/>
    </row>
    <row r="45700">
      <c r="P45700" s="42"/>
      <c r="AB45700" s="38"/>
    </row>
    <row r="45701">
      <c r="P45701" s="42"/>
      <c r="AB45701" s="38"/>
    </row>
    <row r="45702">
      <c r="P45702" s="42"/>
      <c r="AB45702" s="38"/>
    </row>
    <row r="45703">
      <c r="P45703" s="42"/>
      <c r="AB45703" s="38"/>
    </row>
    <row r="45704">
      <c r="P45704" s="42"/>
      <c r="AB45704" s="38"/>
    </row>
    <row r="45705">
      <c r="P45705" s="42"/>
      <c r="AB45705" s="38"/>
    </row>
    <row r="45706">
      <c r="P45706" s="42"/>
      <c r="AB45706" s="38"/>
    </row>
    <row r="45707">
      <c r="P45707" s="42"/>
      <c r="AB45707" s="38"/>
    </row>
    <row r="45708">
      <c r="P45708" s="42"/>
      <c r="AB45708" s="38"/>
    </row>
    <row r="45709">
      <c r="P45709" s="42"/>
      <c r="AB45709" s="38"/>
    </row>
    <row r="45710">
      <c r="P45710" s="42"/>
      <c r="AB45710" s="38"/>
    </row>
    <row r="45711">
      <c r="P45711" s="42"/>
      <c r="AB45711" s="38"/>
    </row>
    <row r="45712">
      <c r="P45712" s="42"/>
      <c r="AB45712" s="38"/>
    </row>
    <row r="45713">
      <c r="P45713" s="42"/>
      <c r="AB45713" s="38"/>
    </row>
    <row r="45714">
      <c r="P45714" s="42"/>
      <c r="AB45714" s="38"/>
    </row>
    <row r="45715">
      <c r="P45715" s="42"/>
      <c r="AB45715" s="38"/>
    </row>
    <row r="45716">
      <c r="P45716" s="42"/>
      <c r="AB45716" s="38"/>
    </row>
    <row r="45717">
      <c r="P45717" s="42"/>
      <c r="AB45717" s="38"/>
    </row>
    <row r="45718">
      <c r="P45718" s="42"/>
      <c r="AB45718" s="38"/>
    </row>
    <row r="45719">
      <c r="P45719" s="42"/>
      <c r="AB45719" s="38"/>
    </row>
    <row r="45720">
      <c r="P45720" s="42"/>
      <c r="AB45720" s="38"/>
    </row>
    <row r="45721">
      <c r="P45721" s="42"/>
      <c r="AB45721" s="38"/>
    </row>
    <row r="45722">
      <c r="P45722" s="42"/>
      <c r="AB45722" s="38"/>
    </row>
    <row r="45723">
      <c r="P45723" s="42"/>
      <c r="AB45723" s="38"/>
    </row>
    <row r="45724">
      <c r="P45724" s="42"/>
      <c r="AB45724" s="38"/>
    </row>
    <row r="45725">
      <c r="P45725" s="42"/>
      <c r="AB45725" s="38"/>
    </row>
    <row r="45726">
      <c r="P45726" s="42"/>
      <c r="AB45726" s="38"/>
    </row>
    <row r="45727">
      <c r="P45727" s="42"/>
      <c r="AB45727" s="38"/>
    </row>
    <row r="45728">
      <c r="P45728" s="42"/>
      <c r="AB45728" s="38"/>
    </row>
    <row r="45729">
      <c r="P45729" s="42"/>
      <c r="AB45729" s="38"/>
    </row>
    <row r="45730">
      <c r="P45730" s="42"/>
      <c r="AB45730" s="38"/>
    </row>
    <row r="45731">
      <c r="P45731" s="42"/>
      <c r="AB45731" s="38"/>
    </row>
    <row r="45732">
      <c r="P45732" s="42"/>
      <c r="AB45732" s="38"/>
    </row>
    <row r="45733">
      <c r="P45733" s="42"/>
      <c r="AB45733" s="38"/>
    </row>
    <row r="45734">
      <c r="P45734" s="42"/>
      <c r="AB45734" s="38"/>
    </row>
    <row r="45735">
      <c r="P45735" s="42"/>
      <c r="AB45735" s="38"/>
    </row>
    <row r="45736">
      <c r="P45736" s="42"/>
      <c r="AB45736" s="38"/>
    </row>
    <row r="45737">
      <c r="P45737" s="42"/>
      <c r="AB45737" s="38"/>
    </row>
    <row r="45738">
      <c r="P45738" s="42"/>
      <c r="AB45738" s="38"/>
    </row>
    <row r="45739">
      <c r="P45739" s="42"/>
      <c r="AB45739" s="38"/>
    </row>
    <row r="45740">
      <c r="P45740" s="42"/>
      <c r="AB45740" s="38"/>
    </row>
    <row r="45741">
      <c r="P45741" s="42"/>
      <c r="AB45741" s="38"/>
    </row>
    <row r="45742">
      <c r="P45742" s="42"/>
      <c r="AB45742" s="38"/>
    </row>
    <row r="45743">
      <c r="P45743" s="42"/>
      <c r="AB45743" s="38"/>
    </row>
    <row r="45744">
      <c r="P45744" s="42"/>
      <c r="AB45744" s="38"/>
    </row>
    <row r="45745">
      <c r="P45745" s="42"/>
      <c r="AB45745" s="38"/>
    </row>
    <row r="45746">
      <c r="P45746" s="42"/>
      <c r="AB45746" s="38"/>
    </row>
    <row r="45747">
      <c r="P45747" s="42"/>
      <c r="AB45747" s="38"/>
    </row>
    <row r="45748">
      <c r="P45748" s="42"/>
      <c r="AB45748" s="38"/>
    </row>
    <row r="45749">
      <c r="P45749" s="42"/>
      <c r="AB45749" s="38"/>
    </row>
    <row r="45750">
      <c r="P45750" s="42"/>
      <c r="AB45750" s="38"/>
    </row>
    <row r="45751">
      <c r="P45751" s="42"/>
      <c r="AB45751" s="38"/>
    </row>
    <row r="45752">
      <c r="P45752" s="42"/>
      <c r="AB45752" s="38"/>
    </row>
    <row r="45753">
      <c r="P45753" s="42"/>
      <c r="AB45753" s="38"/>
    </row>
    <row r="45754">
      <c r="P45754" s="42"/>
      <c r="AB45754" s="38"/>
    </row>
    <row r="45755">
      <c r="P45755" s="42"/>
      <c r="AB45755" s="38"/>
    </row>
    <row r="45756">
      <c r="P45756" s="42"/>
      <c r="AB45756" s="38"/>
    </row>
    <row r="45757">
      <c r="P45757" s="42"/>
      <c r="AB45757" s="38"/>
    </row>
    <row r="45758">
      <c r="P45758" s="42"/>
      <c r="AB45758" s="38"/>
    </row>
    <row r="45759">
      <c r="P45759" s="42"/>
      <c r="AB45759" s="38"/>
    </row>
    <row r="45760">
      <c r="P45760" s="42"/>
      <c r="AB45760" s="38"/>
    </row>
    <row r="45761">
      <c r="P45761" s="42"/>
      <c r="AB45761" s="38"/>
    </row>
    <row r="45762">
      <c r="P45762" s="42"/>
      <c r="AB45762" s="38"/>
    </row>
    <row r="45763">
      <c r="P45763" s="42"/>
      <c r="AB45763" s="38"/>
    </row>
    <row r="45764">
      <c r="P45764" s="42"/>
      <c r="AB45764" s="38"/>
    </row>
    <row r="45765">
      <c r="P45765" s="42"/>
      <c r="AB45765" s="38"/>
    </row>
    <row r="45766">
      <c r="P45766" s="42"/>
      <c r="AB45766" s="38"/>
    </row>
    <row r="45767">
      <c r="P45767" s="42"/>
      <c r="AB45767" s="38"/>
    </row>
    <row r="45768">
      <c r="P45768" s="42"/>
      <c r="AB45768" s="38"/>
    </row>
    <row r="45769">
      <c r="P45769" s="42"/>
      <c r="AB45769" s="38"/>
    </row>
    <row r="45770">
      <c r="P45770" s="42"/>
      <c r="AB45770" s="38"/>
    </row>
    <row r="45771">
      <c r="P45771" s="42"/>
      <c r="AB45771" s="38"/>
    </row>
    <row r="45772">
      <c r="P45772" s="42"/>
      <c r="AB45772" s="38"/>
    </row>
    <row r="45773">
      <c r="P45773" s="42"/>
      <c r="AB45773" s="38"/>
    </row>
    <row r="45774">
      <c r="P45774" s="42"/>
      <c r="AB45774" s="38"/>
    </row>
    <row r="45775">
      <c r="P45775" s="42"/>
      <c r="AB45775" s="38"/>
    </row>
    <row r="45776">
      <c r="P45776" s="42"/>
      <c r="AB45776" s="38"/>
    </row>
    <row r="45777">
      <c r="P45777" s="42"/>
      <c r="AB45777" s="38"/>
    </row>
    <row r="45778">
      <c r="P45778" s="42"/>
      <c r="AB45778" s="38"/>
    </row>
    <row r="45779">
      <c r="P45779" s="42"/>
      <c r="AB45779" s="38"/>
    </row>
    <row r="45780">
      <c r="P45780" s="42"/>
      <c r="AB45780" s="38"/>
    </row>
    <row r="45781">
      <c r="P45781" s="42"/>
      <c r="AB45781" s="38"/>
    </row>
    <row r="45782">
      <c r="P45782" s="42"/>
      <c r="AB45782" s="38"/>
    </row>
    <row r="45783">
      <c r="P45783" s="42"/>
      <c r="AB45783" s="38"/>
    </row>
    <row r="45784">
      <c r="P45784" s="42"/>
      <c r="AB45784" s="38"/>
    </row>
    <row r="45785">
      <c r="P45785" s="42"/>
      <c r="AB45785" s="38"/>
    </row>
    <row r="45786">
      <c r="P45786" s="42"/>
      <c r="AB45786" s="38"/>
    </row>
    <row r="45787">
      <c r="P45787" s="42"/>
      <c r="AB45787" s="38"/>
    </row>
    <row r="45788">
      <c r="P45788" s="42"/>
      <c r="AB45788" s="38"/>
    </row>
    <row r="45789">
      <c r="P45789" s="42"/>
      <c r="AB45789" s="38"/>
    </row>
    <row r="45790">
      <c r="P45790" s="42"/>
      <c r="AB45790" s="38"/>
    </row>
    <row r="45791">
      <c r="P45791" s="42"/>
      <c r="AB45791" s="38"/>
    </row>
    <row r="45792">
      <c r="P45792" s="42"/>
      <c r="AB45792" s="38"/>
    </row>
    <row r="45793">
      <c r="P45793" s="42"/>
      <c r="AB45793" s="38"/>
    </row>
    <row r="45794">
      <c r="P45794" s="42"/>
      <c r="AB45794" s="38"/>
    </row>
    <row r="45795">
      <c r="P45795" s="42"/>
      <c r="AB45795" s="38"/>
    </row>
    <row r="45796">
      <c r="P45796" s="42"/>
      <c r="AB45796" s="38"/>
    </row>
    <row r="45797">
      <c r="P45797" s="42"/>
      <c r="AB45797" s="38"/>
    </row>
    <row r="45798">
      <c r="P45798" s="42"/>
      <c r="AB45798" s="38"/>
    </row>
    <row r="45799">
      <c r="P45799" s="42"/>
      <c r="AB45799" s="38"/>
    </row>
    <row r="45800">
      <c r="P45800" s="42"/>
      <c r="AB45800" s="38"/>
    </row>
    <row r="45801">
      <c r="P45801" s="42"/>
      <c r="AB45801" s="38"/>
    </row>
    <row r="45802">
      <c r="P45802" s="42"/>
      <c r="AB45802" s="38"/>
    </row>
    <row r="45803">
      <c r="P45803" s="42"/>
      <c r="AB45803" s="38"/>
    </row>
    <row r="45804">
      <c r="P45804" s="42"/>
      <c r="AB45804" s="38"/>
    </row>
    <row r="45805">
      <c r="P45805" s="42"/>
      <c r="AB45805" s="38"/>
    </row>
    <row r="45806">
      <c r="P45806" s="42"/>
      <c r="AB45806" s="38"/>
    </row>
    <row r="45807">
      <c r="P45807" s="42"/>
      <c r="AB45807" s="38"/>
    </row>
    <row r="45808">
      <c r="P45808" s="42"/>
      <c r="AB45808" s="38"/>
    </row>
    <row r="45809">
      <c r="P45809" s="42"/>
      <c r="AB45809" s="38"/>
    </row>
    <row r="45810">
      <c r="P45810" s="42"/>
      <c r="AB45810" s="38"/>
    </row>
    <row r="45811">
      <c r="P45811" s="42"/>
      <c r="AB45811" s="38"/>
    </row>
    <row r="45812">
      <c r="P45812" s="42"/>
      <c r="AB45812" s="38"/>
    </row>
    <row r="45813">
      <c r="P45813" s="42"/>
      <c r="AB45813" s="38"/>
    </row>
    <row r="45814">
      <c r="P45814" s="42"/>
      <c r="AB45814" s="38"/>
    </row>
    <row r="45815">
      <c r="P45815" s="42"/>
      <c r="AB45815" s="38"/>
    </row>
    <row r="45816">
      <c r="P45816" s="42"/>
      <c r="AB45816" s="38"/>
    </row>
    <row r="45817">
      <c r="P45817" s="42"/>
      <c r="AB45817" s="38"/>
    </row>
    <row r="45818">
      <c r="P45818" s="42"/>
      <c r="AB45818" s="38"/>
    </row>
    <row r="45819">
      <c r="P45819" s="42"/>
      <c r="AB45819" s="38"/>
    </row>
    <row r="45820">
      <c r="P45820" s="42"/>
      <c r="AB45820" s="38"/>
    </row>
    <row r="45821">
      <c r="P45821" s="42"/>
      <c r="AB45821" s="38"/>
    </row>
    <row r="45822">
      <c r="P45822" s="42"/>
      <c r="AB45822" s="38"/>
    </row>
    <row r="45823">
      <c r="P45823" s="42"/>
      <c r="AB45823" s="38"/>
    </row>
    <row r="45824">
      <c r="P45824" s="42"/>
      <c r="AB45824" s="38"/>
    </row>
    <row r="45825">
      <c r="P45825" s="42"/>
      <c r="AB45825" s="38"/>
    </row>
    <row r="45826">
      <c r="P45826" s="42"/>
      <c r="AB45826" s="38"/>
    </row>
    <row r="45827">
      <c r="P45827" s="42"/>
      <c r="AB45827" s="38"/>
    </row>
    <row r="45828">
      <c r="P45828" s="42"/>
      <c r="AB45828" s="38"/>
    </row>
    <row r="45829">
      <c r="P45829" s="42"/>
      <c r="AB45829" s="38"/>
    </row>
    <row r="45830">
      <c r="P45830" s="42"/>
      <c r="AB45830" s="38"/>
    </row>
    <row r="45831">
      <c r="P45831" s="42"/>
      <c r="AB45831" s="38"/>
    </row>
    <row r="45832">
      <c r="P45832" s="42"/>
      <c r="AB45832" s="38"/>
    </row>
    <row r="45833">
      <c r="P45833" s="42"/>
      <c r="AB45833" s="38"/>
    </row>
    <row r="45834">
      <c r="P45834" s="42"/>
      <c r="AB45834" s="38"/>
    </row>
    <row r="45835">
      <c r="P45835" s="42"/>
      <c r="AB45835" s="38"/>
    </row>
    <row r="45836">
      <c r="P45836" s="42"/>
      <c r="AB45836" s="38"/>
    </row>
    <row r="45837">
      <c r="P45837" s="42"/>
      <c r="AB45837" s="38"/>
    </row>
    <row r="45838">
      <c r="P45838" s="42"/>
      <c r="AB45838" s="38"/>
    </row>
    <row r="45839">
      <c r="P45839" s="42"/>
      <c r="AB45839" s="38"/>
    </row>
    <row r="45840">
      <c r="P45840" s="42"/>
      <c r="AB45840" s="38"/>
    </row>
    <row r="45841">
      <c r="P45841" s="42"/>
      <c r="AB45841" s="38"/>
    </row>
    <row r="45842">
      <c r="P45842" s="42"/>
      <c r="AB45842" s="38"/>
    </row>
    <row r="45843">
      <c r="P45843" s="42"/>
      <c r="AB45843" s="38"/>
    </row>
    <row r="45844">
      <c r="P45844" s="42"/>
      <c r="AB45844" s="38"/>
    </row>
    <row r="45845">
      <c r="P45845" s="42"/>
      <c r="AB45845" s="38"/>
    </row>
    <row r="45846">
      <c r="P45846" s="42"/>
      <c r="AB45846" s="38"/>
    </row>
    <row r="45847">
      <c r="P45847" s="42"/>
      <c r="AB45847" s="38"/>
    </row>
    <row r="45848">
      <c r="P45848" s="42"/>
      <c r="AB45848" s="38"/>
    </row>
    <row r="45849">
      <c r="P45849" s="42"/>
      <c r="AB45849" s="38"/>
    </row>
    <row r="45850">
      <c r="P45850" s="42"/>
      <c r="AB45850" s="38"/>
    </row>
    <row r="45851">
      <c r="P45851" s="42"/>
      <c r="AB45851" s="38"/>
    </row>
    <row r="45852">
      <c r="P45852" s="42"/>
      <c r="AB45852" s="38"/>
    </row>
    <row r="45853">
      <c r="P45853" s="42"/>
      <c r="AB45853" s="38"/>
    </row>
    <row r="45854">
      <c r="P45854" s="42"/>
      <c r="AB45854" s="38"/>
    </row>
    <row r="45855">
      <c r="P45855" s="42"/>
      <c r="AB45855" s="38"/>
    </row>
    <row r="45856">
      <c r="P45856" s="42"/>
      <c r="AB45856" s="38"/>
    </row>
    <row r="45857">
      <c r="P45857" s="42"/>
      <c r="AB45857" s="38"/>
    </row>
    <row r="45858">
      <c r="P45858" s="42"/>
      <c r="AB45858" s="38"/>
    </row>
    <row r="45859">
      <c r="P45859" s="42"/>
      <c r="AB45859" s="38"/>
    </row>
    <row r="45860">
      <c r="P45860" s="42"/>
      <c r="AB45860" s="38"/>
    </row>
    <row r="45861">
      <c r="P45861" s="42"/>
      <c r="AB45861" s="38"/>
    </row>
    <row r="45862">
      <c r="P45862" s="42"/>
      <c r="AB45862" s="38"/>
    </row>
    <row r="45863">
      <c r="P45863" s="42"/>
      <c r="AB45863" s="38"/>
    </row>
    <row r="45864">
      <c r="P45864" s="42"/>
      <c r="AB45864" s="38"/>
    </row>
    <row r="45865">
      <c r="P45865" s="42"/>
      <c r="AB45865" s="38"/>
    </row>
    <row r="45866">
      <c r="P45866" s="42"/>
      <c r="AB45866" s="38"/>
    </row>
    <row r="45867">
      <c r="P45867" s="42"/>
      <c r="AB45867" s="38"/>
    </row>
    <row r="45868">
      <c r="P45868" s="42"/>
      <c r="AB45868" s="38"/>
    </row>
    <row r="45869">
      <c r="P45869" s="42"/>
      <c r="AB45869" s="38"/>
    </row>
    <row r="45870">
      <c r="P45870" s="42"/>
      <c r="AB45870" s="38"/>
    </row>
    <row r="45871">
      <c r="P45871" s="42"/>
      <c r="AB45871" s="38"/>
    </row>
    <row r="45872">
      <c r="P45872" s="42"/>
      <c r="AB45872" s="38"/>
    </row>
    <row r="45873">
      <c r="P45873" s="42"/>
      <c r="AB45873" s="38"/>
    </row>
    <row r="45874">
      <c r="P45874" s="42"/>
      <c r="AB45874" s="38"/>
    </row>
    <row r="45875">
      <c r="P45875" s="42"/>
      <c r="AB45875" s="38"/>
    </row>
    <row r="45876">
      <c r="P45876" s="42"/>
      <c r="AB45876" s="38"/>
    </row>
    <row r="45877">
      <c r="P45877" s="42"/>
      <c r="AB45877" s="38"/>
    </row>
    <row r="45878">
      <c r="P45878" s="42"/>
      <c r="AB45878" s="38"/>
    </row>
    <row r="45879">
      <c r="P45879" s="42"/>
      <c r="AB45879" s="38"/>
    </row>
    <row r="45880">
      <c r="P45880" s="42"/>
      <c r="AB45880" s="38"/>
    </row>
    <row r="45881">
      <c r="P45881" s="42"/>
      <c r="AB45881" s="38"/>
    </row>
    <row r="45882">
      <c r="P45882" s="42"/>
      <c r="AB45882" s="38"/>
    </row>
    <row r="45883">
      <c r="P45883" s="42"/>
      <c r="AB45883" s="38"/>
    </row>
    <row r="45884">
      <c r="P45884" s="42"/>
      <c r="AB45884" s="38"/>
    </row>
    <row r="45885">
      <c r="P45885" s="42"/>
      <c r="AB45885" s="38"/>
    </row>
    <row r="45886">
      <c r="P45886" s="42"/>
      <c r="AB45886" s="38"/>
    </row>
    <row r="45887">
      <c r="P45887" s="42"/>
      <c r="AB45887" s="38"/>
    </row>
    <row r="45888">
      <c r="P45888" s="42"/>
      <c r="AB45888" s="38"/>
    </row>
    <row r="45889">
      <c r="P45889" s="42"/>
      <c r="AB45889" s="38"/>
    </row>
    <row r="45890">
      <c r="P45890" s="42"/>
      <c r="AB45890" s="38"/>
    </row>
    <row r="45891">
      <c r="P45891" s="42"/>
      <c r="AB45891" s="38"/>
    </row>
    <row r="45892">
      <c r="P45892" s="42"/>
      <c r="AB45892" s="38"/>
    </row>
    <row r="45893">
      <c r="P45893" s="42"/>
      <c r="AB45893" s="38"/>
    </row>
    <row r="45894">
      <c r="P45894" s="42"/>
      <c r="AB45894" s="38"/>
    </row>
    <row r="45895">
      <c r="P45895" s="42"/>
      <c r="AB45895" s="38"/>
    </row>
    <row r="45896">
      <c r="P45896" s="42"/>
      <c r="AB45896" s="38"/>
    </row>
    <row r="45897">
      <c r="P45897" s="42"/>
      <c r="AB45897" s="38"/>
    </row>
    <row r="45898">
      <c r="P45898" s="42"/>
      <c r="AB45898" s="38"/>
    </row>
    <row r="45899">
      <c r="P45899" s="42"/>
      <c r="AB45899" s="38"/>
    </row>
    <row r="45900">
      <c r="P45900" s="42"/>
      <c r="AB45900" s="38"/>
    </row>
    <row r="45901">
      <c r="P45901" s="42"/>
      <c r="AB45901" s="38"/>
    </row>
    <row r="45902">
      <c r="P45902" s="42"/>
      <c r="AB45902" s="38"/>
    </row>
    <row r="45903">
      <c r="P45903" s="42"/>
      <c r="AB45903" s="38"/>
    </row>
    <row r="45904">
      <c r="P45904" s="42"/>
      <c r="AB45904" s="38"/>
    </row>
    <row r="45905">
      <c r="P45905" s="42"/>
      <c r="AB45905" s="38"/>
    </row>
    <row r="45906">
      <c r="P45906" s="42"/>
      <c r="AB45906" s="38"/>
    </row>
    <row r="45907">
      <c r="P45907" s="42"/>
      <c r="AB45907" s="38"/>
    </row>
    <row r="45908">
      <c r="P45908" s="42"/>
      <c r="AB45908" s="38"/>
    </row>
    <row r="45909">
      <c r="P45909" s="42"/>
      <c r="AB45909" s="38"/>
    </row>
    <row r="45910">
      <c r="P45910" s="42"/>
      <c r="AB45910" s="38"/>
    </row>
    <row r="45911">
      <c r="P45911" s="42"/>
      <c r="AB45911" s="38"/>
    </row>
    <row r="45912">
      <c r="P45912" s="42"/>
      <c r="AB45912" s="38"/>
    </row>
    <row r="45913">
      <c r="P45913" s="42"/>
      <c r="AB45913" s="38"/>
    </row>
    <row r="45914">
      <c r="P45914" s="42"/>
      <c r="AB45914" s="38"/>
    </row>
    <row r="45915">
      <c r="P45915" s="42"/>
      <c r="AB45915" s="38"/>
    </row>
    <row r="45916">
      <c r="P45916" s="42"/>
      <c r="AB45916" s="38"/>
    </row>
    <row r="45917">
      <c r="P45917" s="42"/>
      <c r="AB45917" s="38"/>
    </row>
    <row r="45918">
      <c r="P45918" s="42"/>
      <c r="AB45918" s="38"/>
    </row>
    <row r="45919">
      <c r="P45919" s="42"/>
      <c r="AB45919" s="38"/>
    </row>
    <row r="45920">
      <c r="P45920" s="42"/>
      <c r="AB45920" s="38"/>
    </row>
    <row r="45921">
      <c r="P45921" s="42"/>
      <c r="AB45921" s="38"/>
    </row>
    <row r="45922">
      <c r="P45922" s="42"/>
      <c r="AB45922" s="38"/>
    </row>
    <row r="45923">
      <c r="P45923" s="42"/>
      <c r="AB45923" s="38"/>
    </row>
    <row r="45924">
      <c r="P45924" s="42"/>
      <c r="AB45924" s="38"/>
    </row>
    <row r="45925">
      <c r="P45925" s="42"/>
      <c r="AB45925" s="38"/>
    </row>
    <row r="45926">
      <c r="P45926" s="42"/>
      <c r="AB45926" s="38"/>
    </row>
    <row r="45927">
      <c r="P45927" s="42"/>
      <c r="AB45927" s="38"/>
    </row>
    <row r="45928">
      <c r="P45928" s="42"/>
      <c r="AB45928" s="38"/>
    </row>
    <row r="45929">
      <c r="P45929" s="42"/>
      <c r="AB45929" s="38"/>
    </row>
    <row r="45930">
      <c r="P45930" s="42"/>
      <c r="AB45930" s="38"/>
    </row>
    <row r="45931">
      <c r="P45931" s="42"/>
      <c r="AB45931" s="38"/>
    </row>
    <row r="45932">
      <c r="P45932" s="42"/>
      <c r="AB45932" s="38"/>
    </row>
    <row r="45933">
      <c r="P45933" s="42"/>
      <c r="AB45933" s="38"/>
    </row>
    <row r="45934">
      <c r="P45934" s="42"/>
      <c r="AB45934" s="38"/>
    </row>
    <row r="45935">
      <c r="P45935" s="42"/>
      <c r="AB45935" s="38"/>
    </row>
    <row r="45936">
      <c r="P45936" s="42"/>
      <c r="AB45936" s="38"/>
    </row>
    <row r="45937">
      <c r="P45937" s="42"/>
      <c r="AB45937" s="38"/>
    </row>
    <row r="45938">
      <c r="P45938" s="42"/>
      <c r="AB45938" s="38"/>
    </row>
    <row r="45939">
      <c r="P45939" s="42"/>
      <c r="AB45939" s="38"/>
    </row>
    <row r="45940">
      <c r="P45940" s="42"/>
      <c r="AB45940" s="38"/>
    </row>
    <row r="45941">
      <c r="P45941" s="42"/>
      <c r="AB45941" s="38"/>
    </row>
    <row r="45942">
      <c r="P45942" s="42"/>
      <c r="AB45942" s="38"/>
    </row>
    <row r="45943">
      <c r="P45943" s="42"/>
      <c r="AB45943" s="38"/>
    </row>
    <row r="45944">
      <c r="P45944" s="42"/>
      <c r="AB45944" s="38"/>
    </row>
    <row r="45945">
      <c r="P45945" s="42"/>
      <c r="AB45945" s="38"/>
    </row>
    <row r="45946">
      <c r="P45946" s="42"/>
      <c r="AB45946" s="38"/>
    </row>
    <row r="45947">
      <c r="P45947" s="42"/>
      <c r="AB45947" s="38"/>
    </row>
    <row r="45948">
      <c r="P45948" s="42"/>
      <c r="AB45948" s="38"/>
    </row>
    <row r="45949">
      <c r="P45949" s="42"/>
      <c r="AB45949" s="38"/>
    </row>
    <row r="45950">
      <c r="P45950" s="42"/>
      <c r="AB45950" s="38"/>
    </row>
    <row r="45951">
      <c r="P45951" s="42"/>
      <c r="AB45951" s="38"/>
    </row>
    <row r="45952">
      <c r="P45952" s="42"/>
      <c r="AB45952" s="38"/>
    </row>
    <row r="45953">
      <c r="P45953" s="42"/>
      <c r="AB45953" s="38"/>
    </row>
    <row r="45954">
      <c r="P45954" s="42"/>
      <c r="AB45954" s="38"/>
    </row>
    <row r="45955">
      <c r="P45955" s="42"/>
      <c r="AB45955" s="38"/>
    </row>
    <row r="45956">
      <c r="P45956" s="42"/>
      <c r="AB45956" s="38"/>
    </row>
    <row r="45957">
      <c r="P45957" s="42"/>
      <c r="AB45957" s="38"/>
    </row>
    <row r="45958">
      <c r="P45958" s="42"/>
      <c r="AB45958" s="38"/>
    </row>
    <row r="45959">
      <c r="P45959" s="42"/>
      <c r="AB45959" s="38"/>
    </row>
    <row r="45960">
      <c r="P45960" s="42"/>
      <c r="AB45960" s="38"/>
    </row>
    <row r="45961">
      <c r="P45961" s="42"/>
      <c r="AB45961" s="38"/>
    </row>
    <row r="45962">
      <c r="P45962" s="42"/>
      <c r="AB45962" s="38"/>
    </row>
    <row r="45963">
      <c r="P45963" s="42"/>
      <c r="AB45963" s="38"/>
    </row>
    <row r="45964">
      <c r="P45964" s="42"/>
      <c r="AB45964" s="38"/>
    </row>
    <row r="45965">
      <c r="P45965" s="42"/>
      <c r="AB45965" s="38"/>
    </row>
    <row r="45966">
      <c r="P45966" s="42"/>
      <c r="AB45966" s="38"/>
    </row>
    <row r="45967">
      <c r="P45967" s="42"/>
      <c r="AB45967" s="38"/>
    </row>
    <row r="45968">
      <c r="P45968" s="42"/>
      <c r="AB45968" s="38"/>
    </row>
    <row r="45969">
      <c r="P45969" s="42"/>
      <c r="AB45969" s="38"/>
    </row>
    <row r="45970">
      <c r="P45970" s="42"/>
      <c r="AB45970" s="38"/>
    </row>
    <row r="45971">
      <c r="P45971" s="42"/>
      <c r="AB45971" s="38"/>
    </row>
    <row r="45972">
      <c r="P45972" s="42"/>
      <c r="AB45972" s="38"/>
    </row>
    <row r="45973">
      <c r="P45973" s="42"/>
      <c r="AB45973" s="38"/>
    </row>
    <row r="45974">
      <c r="P45974" s="42"/>
      <c r="AB45974" s="38"/>
    </row>
    <row r="45975">
      <c r="P45975" s="42"/>
      <c r="AB45975" s="38"/>
    </row>
    <row r="45976">
      <c r="P45976" s="42"/>
      <c r="AB45976" s="38"/>
    </row>
    <row r="45977">
      <c r="P45977" s="42"/>
      <c r="AB45977" s="38"/>
    </row>
    <row r="45978">
      <c r="P45978" s="42"/>
      <c r="AB45978" s="38"/>
    </row>
    <row r="45979">
      <c r="P45979" s="42"/>
      <c r="AB45979" s="38"/>
    </row>
    <row r="45980">
      <c r="P45980" s="42"/>
      <c r="AB45980" s="38"/>
    </row>
    <row r="45981">
      <c r="P45981" s="42"/>
      <c r="AB45981" s="38"/>
    </row>
    <row r="45982">
      <c r="P45982" s="42"/>
      <c r="AB45982" s="38"/>
    </row>
    <row r="45983">
      <c r="P45983" s="42"/>
      <c r="AB45983" s="38"/>
    </row>
    <row r="45984">
      <c r="P45984" s="42"/>
      <c r="AB45984" s="38"/>
    </row>
    <row r="45985">
      <c r="P45985" s="42"/>
      <c r="AB45985" s="38"/>
    </row>
    <row r="45986">
      <c r="P45986" s="42"/>
      <c r="AB45986" s="38"/>
    </row>
    <row r="45987">
      <c r="P45987" s="42"/>
      <c r="AB45987" s="38"/>
    </row>
    <row r="45988">
      <c r="P45988" s="42"/>
      <c r="AB45988" s="38"/>
    </row>
    <row r="45989">
      <c r="P45989" s="42"/>
      <c r="AB45989" s="38"/>
    </row>
    <row r="45990">
      <c r="P45990" s="42"/>
      <c r="AB45990" s="38"/>
    </row>
    <row r="45991">
      <c r="P45991" s="42"/>
      <c r="AB45991" s="38"/>
    </row>
    <row r="45992">
      <c r="P45992" s="42"/>
      <c r="AB45992" s="38"/>
    </row>
    <row r="45993">
      <c r="P45993" s="42"/>
      <c r="AB45993" s="38"/>
    </row>
    <row r="45994">
      <c r="P45994" s="42"/>
      <c r="AB45994" s="38"/>
    </row>
    <row r="45995">
      <c r="P45995" s="42"/>
      <c r="AB45995" s="38"/>
    </row>
    <row r="45996">
      <c r="P45996" s="42"/>
      <c r="AB45996" s="38"/>
    </row>
    <row r="45997">
      <c r="P45997" s="42"/>
      <c r="AB45997" s="38"/>
    </row>
    <row r="45998">
      <c r="P45998" s="42"/>
      <c r="AB45998" s="38"/>
    </row>
    <row r="45999">
      <c r="P45999" s="42"/>
      <c r="AB45999" s="38"/>
    </row>
    <row r="46000">
      <c r="P46000" s="42"/>
      <c r="AB46000" s="38"/>
    </row>
    <row r="46001">
      <c r="P46001" s="42"/>
      <c r="AB46001" s="38"/>
    </row>
    <row r="46002">
      <c r="P46002" s="42"/>
      <c r="AB46002" s="38"/>
    </row>
    <row r="46003">
      <c r="P46003" s="42"/>
      <c r="AB46003" s="38"/>
    </row>
    <row r="46004">
      <c r="P46004" s="42"/>
      <c r="AB46004" s="38"/>
    </row>
    <row r="46005">
      <c r="P46005" s="42"/>
      <c r="AB46005" s="38"/>
    </row>
    <row r="46006">
      <c r="P46006" s="42"/>
      <c r="AB46006" s="38"/>
    </row>
    <row r="46007">
      <c r="P46007" s="42"/>
      <c r="AB46007" s="38"/>
    </row>
    <row r="46008">
      <c r="P46008" s="42"/>
      <c r="AB46008" s="38"/>
    </row>
    <row r="46009">
      <c r="P46009" s="42"/>
      <c r="AB46009" s="38"/>
    </row>
    <row r="46010">
      <c r="P46010" s="42"/>
      <c r="AB46010" s="38"/>
    </row>
    <row r="46011">
      <c r="P46011" s="42"/>
      <c r="AB46011" s="38"/>
    </row>
    <row r="46012">
      <c r="P46012" s="42"/>
      <c r="AB46012" s="38"/>
    </row>
    <row r="46013">
      <c r="P46013" s="42"/>
      <c r="AB46013" s="38"/>
    </row>
    <row r="46014">
      <c r="P46014" s="42"/>
      <c r="AB46014" s="38"/>
    </row>
    <row r="46015">
      <c r="P46015" s="42"/>
      <c r="AB46015" s="38"/>
    </row>
    <row r="46016">
      <c r="P46016" s="42"/>
      <c r="AB46016" s="38"/>
    </row>
    <row r="46017">
      <c r="P46017" s="42"/>
      <c r="AB46017" s="38"/>
    </row>
    <row r="46018">
      <c r="P46018" s="42"/>
      <c r="AB46018" s="38"/>
    </row>
    <row r="46019">
      <c r="P46019" s="42"/>
      <c r="AB46019" s="38"/>
    </row>
    <row r="46020">
      <c r="P46020" s="42"/>
      <c r="AB46020" s="38"/>
    </row>
    <row r="46021">
      <c r="P46021" s="42"/>
      <c r="AB46021" s="38"/>
    </row>
    <row r="46022">
      <c r="P46022" s="42"/>
      <c r="AB46022" s="38"/>
    </row>
    <row r="46023">
      <c r="P46023" s="42"/>
      <c r="AB46023" s="38"/>
    </row>
    <row r="46024">
      <c r="P46024" s="42"/>
      <c r="AB46024" s="38"/>
    </row>
    <row r="46025">
      <c r="P46025" s="42"/>
      <c r="AB46025" s="38"/>
    </row>
    <row r="46026">
      <c r="P46026" s="42"/>
      <c r="AB46026" s="38"/>
    </row>
    <row r="46027">
      <c r="P46027" s="42"/>
      <c r="AB46027" s="38"/>
    </row>
    <row r="46028">
      <c r="P46028" s="42"/>
      <c r="AB46028" s="38"/>
    </row>
    <row r="46029">
      <c r="P46029" s="42"/>
      <c r="AB46029" s="38"/>
    </row>
    <row r="46030">
      <c r="P46030" s="42"/>
      <c r="AB46030" s="38"/>
    </row>
    <row r="46031">
      <c r="P46031" s="42"/>
      <c r="AB46031" s="38"/>
    </row>
    <row r="46032">
      <c r="P46032" s="42"/>
      <c r="AB46032" s="38"/>
    </row>
    <row r="46033">
      <c r="P46033" s="42"/>
      <c r="AB46033" s="38"/>
    </row>
    <row r="46034">
      <c r="P46034" s="42"/>
      <c r="AB46034" s="38"/>
    </row>
    <row r="46035">
      <c r="P46035" s="42"/>
      <c r="AB46035" s="38"/>
    </row>
    <row r="46036">
      <c r="P46036" s="42"/>
      <c r="AB46036" s="38"/>
    </row>
    <row r="46037">
      <c r="P46037" s="42"/>
      <c r="AB46037" s="38"/>
    </row>
    <row r="46038">
      <c r="P46038" s="42"/>
      <c r="AB46038" s="38"/>
    </row>
    <row r="46039">
      <c r="P46039" s="42"/>
      <c r="AB46039" s="38"/>
    </row>
    <row r="46040">
      <c r="P46040" s="42"/>
      <c r="AB46040" s="38"/>
    </row>
    <row r="46041">
      <c r="P46041" s="42"/>
      <c r="AB46041" s="38"/>
    </row>
    <row r="46042">
      <c r="P46042" s="42"/>
      <c r="AB46042" s="38"/>
    </row>
    <row r="46043">
      <c r="P46043" s="42"/>
      <c r="AB46043" s="38"/>
    </row>
    <row r="46044">
      <c r="P46044" s="42"/>
      <c r="AB46044" s="38"/>
    </row>
    <row r="46045">
      <c r="P46045" s="42"/>
      <c r="AB46045" s="38"/>
    </row>
    <row r="46046">
      <c r="P46046" s="42"/>
      <c r="AB46046" s="38"/>
    </row>
    <row r="46047">
      <c r="P46047" s="42"/>
      <c r="AB46047" s="38"/>
    </row>
    <row r="46048">
      <c r="P46048" s="42"/>
      <c r="AB46048" s="38"/>
    </row>
    <row r="46049">
      <c r="P46049" s="42"/>
      <c r="AB46049" s="38"/>
    </row>
    <row r="46050">
      <c r="P46050" s="42"/>
      <c r="AB46050" s="38"/>
    </row>
    <row r="46051">
      <c r="P46051" s="42"/>
      <c r="AB46051" s="38"/>
    </row>
    <row r="46052">
      <c r="P46052" s="42"/>
      <c r="AB46052" s="38"/>
    </row>
    <row r="46053">
      <c r="P46053" s="42"/>
      <c r="AB46053" s="38"/>
    </row>
    <row r="46054">
      <c r="P46054" s="42"/>
      <c r="AB46054" s="38"/>
    </row>
    <row r="46055">
      <c r="P46055" s="42"/>
      <c r="AB46055" s="38"/>
    </row>
    <row r="46056">
      <c r="P46056" s="42"/>
      <c r="AB46056" s="38"/>
    </row>
    <row r="46057">
      <c r="P46057" s="42"/>
      <c r="AB46057" s="38"/>
    </row>
    <row r="46058">
      <c r="P46058" s="42"/>
      <c r="AB46058" s="38"/>
    </row>
    <row r="46059">
      <c r="P46059" s="42"/>
      <c r="AB46059" s="38"/>
    </row>
    <row r="46060">
      <c r="P46060" s="42"/>
      <c r="AB46060" s="38"/>
    </row>
    <row r="46061">
      <c r="P46061" s="42"/>
      <c r="AB46061" s="38"/>
    </row>
    <row r="46062">
      <c r="P46062" s="42"/>
      <c r="AB46062" s="38"/>
    </row>
    <row r="46063">
      <c r="P46063" s="42"/>
      <c r="AB46063" s="38"/>
    </row>
    <row r="46064">
      <c r="P46064" s="42"/>
      <c r="AB46064" s="38"/>
    </row>
    <row r="46065">
      <c r="P46065" s="42"/>
      <c r="AB46065" s="38"/>
    </row>
    <row r="46066">
      <c r="P46066" s="42"/>
      <c r="AB46066" s="38"/>
    </row>
    <row r="46067">
      <c r="P46067" s="42"/>
      <c r="AB46067" s="38"/>
    </row>
    <row r="46068">
      <c r="P46068" s="42"/>
      <c r="AB46068" s="38"/>
    </row>
    <row r="46069">
      <c r="P46069" s="42"/>
      <c r="AB46069" s="38"/>
    </row>
    <row r="46070">
      <c r="P46070" s="42"/>
      <c r="AB46070" s="38"/>
    </row>
    <row r="46071">
      <c r="P46071" s="42"/>
      <c r="AB46071" s="38"/>
    </row>
    <row r="46072">
      <c r="P46072" s="42"/>
      <c r="AB46072" s="38"/>
    </row>
    <row r="46073">
      <c r="P46073" s="42"/>
      <c r="AB46073" s="38"/>
    </row>
    <row r="46074">
      <c r="P46074" s="42"/>
      <c r="AB46074" s="38"/>
    </row>
    <row r="46075">
      <c r="P46075" s="42"/>
      <c r="AB46075" s="38"/>
    </row>
    <row r="46076">
      <c r="P46076" s="42"/>
      <c r="AB46076" s="38"/>
    </row>
    <row r="46077">
      <c r="P46077" s="42"/>
      <c r="AB46077" s="38"/>
    </row>
    <row r="46078">
      <c r="P46078" s="42"/>
      <c r="AB46078" s="38"/>
    </row>
    <row r="46079">
      <c r="P46079" s="42"/>
      <c r="AB46079" s="38"/>
    </row>
    <row r="46080">
      <c r="P46080" s="42"/>
      <c r="AB46080" s="38"/>
    </row>
    <row r="46081">
      <c r="P46081" s="42"/>
      <c r="AB46081" s="38"/>
    </row>
    <row r="46082">
      <c r="P46082" s="42"/>
      <c r="AB46082" s="38"/>
    </row>
    <row r="46083">
      <c r="P46083" s="42"/>
      <c r="AB46083" s="38"/>
    </row>
    <row r="46084">
      <c r="P46084" s="42"/>
      <c r="AB46084" s="38"/>
    </row>
    <row r="46085">
      <c r="P46085" s="42"/>
      <c r="AB46085" s="38"/>
    </row>
    <row r="46086">
      <c r="P46086" s="42"/>
      <c r="AB46086" s="38"/>
    </row>
    <row r="46087">
      <c r="P46087" s="42"/>
      <c r="AB46087" s="38"/>
    </row>
    <row r="46088">
      <c r="P46088" s="42"/>
      <c r="AB46088" s="38"/>
    </row>
    <row r="46089">
      <c r="P46089" s="42"/>
      <c r="AB46089" s="38"/>
    </row>
    <row r="46090">
      <c r="P46090" s="42"/>
      <c r="AB46090" s="38"/>
    </row>
    <row r="46091">
      <c r="P46091" s="42"/>
      <c r="AB46091" s="38"/>
    </row>
    <row r="46092">
      <c r="P46092" s="42"/>
      <c r="AB46092" s="38"/>
    </row>
    <row r="46093">
      <c r="P46093" s="42"/>
      <c r="AB46093" s="38"/>
    </row>
    <row r="46094">
      <c r="P46094" s="42"/>
      <c r="AB46094" s="38"/>
    </row>
    <row r="46095">
      <c r="P46095" s="42"/>
      <c r="AB46095" s="38"/>
    </row>
    <row r="46096">
      <c r="P46096" s="42"/>
      <c r="AB46096" s="38"/>
    </row>
    <row r="46097">
      <c r="P46097" s="42"/>
      <c r="AB46097" s="38"/>
    </row>
    <row r="46098">
      <c r="P46098" s="42"/>
      <c r="AB46098" s="38"/>
    </row>
    <row r="46099">
      <c r="P46099" s="42"/>
      <c r="AB46099" s="38"/>
    </row>
    <row r="46100">
      <c r="P46100" s="42"/>
      <c r="AB46100" s="38"/>
    </row>
    <row r="46101">
      <c r="P46101" s="42"/>
      <c r="AB46101" s="38"/>
    </row>
    <row r="46102">
      <c r="P46102" s="42"/>
      <c r="AB46102" s="38"/>
    </row>
    <row r="46103">
      <c r="P46103" s="42"/>
      <c r="AB46103" s="38"/>
    </row>
    <row r="46104">
      <c r="P46104" s="42"/>
      <c r="AB46104" s="38"/>
    </row>
    <row r="46105">
      <c r="P46105" s="42"/>
      <c r="AB46105" s="38"/>
    </row>
    <row r="46106">
      <c r="P46106" s="42"/>
      <c r="AB46106" s="38"/>
    </row>
    <row r="46107">
      <c r="P46107" s="42"/>
      <c r="AB46107" s="38"/>
    </row>
    <row r="46108">
      <c r="P46108" s="42"/>
      <c r="AB46108" s="38"/>
    </row>
    <row r="46109">
      <c r="P46109" s="42"/>
      <c r="AB46109" s="38"/>
    </row>
    <row r="46110">
      <c r="P46110" s="42"/>
      <c r="AB46110" s="38"/>
    </row>
    <row r="46111">
      <c r="P46111" s="42"/>
      <c r="AB46111" s="38"/>
    </row>
    <row r="46112">
      <c r="P46112" s="42"/>
      <c r="AB46112" s="38"/>
    </row>
    <row r="46113">
      <c r="P46113" s="42"/>
      <c r="AB46113" s="38"/>
    </row>
    <row r="46114">
      <c r="P46114" s="42"/>
      <c r="AB46114" s="38"/>
    </row>
    <row r="46115">
      <c r="P46115" s="42"/>
      <c r="AB46115" s="38"/>
    </row>
    <row r="46116">
      <c r="P46116" s="42"/>
      <c r="AB46116" s="38"/>
    </row>
    <row r="46117">
      <c r="P46117" s="42"/>
      <c r="AB46117" s="38"/>
    </row>
    <row r="46118">
      <c r="P46118" s="42"/>
      <c r="AB46118" s="38"/>
    </row>
    <row r="46119">
      <c r="P46119" s="42"/>
      <c r="AB46119" s="38"/>
    </row>
    <row r="46120">
      <c r="P46120" s="42"/>
      <c r="AB46120" s="38"/>
    </row>
    <row r="46121">
      <c r="P46121" s="42"/>
      <c r="AB46121" s="38"/>
    </row>
    <row r="46122">
      <c r="P46122" s="42"/>
      <c r="AB46122" s="38"/>
    </row>
    <row r="46123">
      <c r="P46123" s="42"/>
      <c r="AB46123" s="38"/>
    </row>
    <row r="46124">
      <c r="P46124" s="42"/>
      <c r="AB46124" s="38"/>
    </row>
    <row r="46125">
      <c r="P46125" s="42"/>
      <c r="AB46125" s="38"/>
    </row>
    <row r="46126">
      <c r="P46126" s="42"/>
      <c r="AB46126" s="38"/>
    </row>
    <row r="46127">
      <c r="P46127" s="42"/>
      <c r="AB46127" s="38"/>
    </row>
    <row r="46128">
      <c r="P46128" s="42"/>
      <c r="AB46128" s="38"/>
    </row>
    <row r="46129">
      <c r="P46129" s="42"/>
      <c r="AB46129" s="38"/>
    </row>
    <row r="46130">
      <c r="P46130" s="42"/>
      <c r="AB46130" s="38"/>
    </row>
    <row r="46131">
      <c r="P46131" s="42"/>
      <c r="AB46131" s="38"/>
    </row>
    <row r="46132">
      <c r="P46132" s="42"/>
      <c r="AB46132" s="38"/>
    </row>
    <row r="46133">
      <c r="P46133" s="42"/>
      <c r="AB46133" s="38"/>
    </row>
    <row r="46134">
      <c r="P46134" s="42"/>
      <c r="AB46134" s="38"/>
    </row>
    <row r="46135">
      <c r="P46135" s="42"/>
      <c r="AB46135" s="38"/>
    </row>
    <row r="46136">
      <c r="P46136" s="42"/>
      <c r="AB46136" s="38"/>
    </row>
    <row r="46137">
      <c r="P46137" s="42"/>
      <c r="AB46137" s="38"/>
    </row>
    <row r="46138">
      <c r="P46138" s="42"/>
      <c r="AB46138" s="38"/>
    </row>
    <row r="46139">
      <c r="P46139" s="42"/>
      <c r="AB46139" s="38"/>
    </row>
    <row r="46140">
      <c r="P46140" s="42"/>
      <c r="AB46140" s="38"/>
    </row>
    <row r="46141">
      <c r="P46141" s="42"/>
      <c r="AB46141" s="38"/>
    </row>
    <row r="46142">
      <c r="P46142" s="42"/>
      <c r="AB46142" s="38"/>
    </row>
    <row r="46143">
      <c r="P46143" s="42"/>
      <c r="AB46143" s="38"/>
    </row>
    <row r="46144">
      <c r="P46144" s="42"/>
      <c r="AB46144" s="38"/>
    </row>
    <row r="46145">
      <c r="P46145" s="42"/>
      <c r="AB46145" s="38"/>
    </row>
    <row r="46146">
      <c r="P46146" s="42"/>
      <c r="AB46146" s="38"/>
    </row>
    <row r="46147">
      <c r="P46147" s="42"/>
      <c r="AB46147" s="38"/>
    </row>
    <row r="46148">
      <c r="P46148" s="42"/>
      <c r="AB46148" s="38"/>
    </row>
    <row r="46149">
      <c r="P46149" s="42"/>
      <c r="AB46149" s="38"/>
    </row>
    <row r="46150">
      <c r="P46150" s="42"/>
      <c r="AB46150" s="38"/>
    </row>
    <row r="46151">
      <c r="P46151" s="42"/>
      <c r="AB46151" s="38"/>
    </row>
    <row r="46152">
      <c r="P46152" s="42"/>
      <c r="AB46152" s="38"/>
    </row>
    <row r="46153">
      <c r="P46153" s="42"/>
      <c r="AB46153" s="38"/>
    </row>
    <row r="46154">
      <c r="P46154" s="42"/>
      <c r="AB46154" s="38"/>
    </row>
    <row r="46155">
      <c r="P46155" s="42"/>
      <c r="AB46155" s="38"/>
    </row>
    <row r="46156">
      <c r="P46156" s="42"/>
      <c r="AB46156" s="38"/>
    </row>
    <row r="46157">
      <c r="P46157" s="42"/>
      <c r="AB46157" s="38"/>
    </row>
    <row r="46158">
      <c r="P46158" s="42"/>
      <c r="AB46158" s="38"/>
    </row>
    <row r="46159">
      <c r="P46159" s="42"/>
      <c r="AB46159" s="38"/>
    </row>
    <row r="46160">
      <c r="P46160" s="42"/>
      <c r="AB46160" s="38"/>
    </row>
    <row r="46161">
      <c r="P46161" s="42"/>
      <c r="AB46161" s="38"/>
    </row>
    <row r="46162">
      <c r="P46162" s="42"/>
      <c r="AB46162" s="38"/>
    </row>
    <row r="46163">
      <c r="P46163" s="42"/>
      <c r="AB46163" s="38"/>
    </row>
    <row r="46164">
      <c r="P46164" s="42"/>
      <c r="AB46164" s="38"/>
    </row>
    <row r="46165">
      <c r="P46165" s="42"/>
      <c r="AB46165" s="38"/>
    </row>
    <row r="46166">
      <c r="P46166" s="42"/>
      <c r="AB46166" s="38"/>
    </row>
    <row r="46167">
      <c r="P46167" s="42"/>
      <c r="AB46167" s="38"/>
    </row>
    <row r="46168">
      <c r="P46168" s="42"/>
      <c r="AB46168" s="38"/>
    </row>
    <row r="46169">
      <c r="P46169" s="42"/>
      <c r="AB46169" s="38"/>
    </row>
    <row r="46170">
      <c r="P46170" s="42"/>
      <c r="AB46170" s="38"/>
    </row>
    <row r="46171">
      <c r="P46171" s="42"/>
      <c r="AB46171" s="38"/>
    </row>
    <row r="46172">
      <c r="P46172" s="42"/>
      <c r="AB46172" s="38"/>
    </row>
    <row r="46173">
      <c r="P46173" s="42"/>
      <c r="AB46173" s="38"/>
    </row>
    <row r="46174">
      <c r="P46174" s="42"/>
      <c r="AB46174" s="38"/>
    </row>
    <row r="46175">
      <c r="P46175" s="42"/>
      <c r="AB46175" s="38"/>
    </row>
    <row r="46176">
      <c r="P46176" s="42"/>
      <c r="AB46176" s="38"/>
    </row>
    <row r="46177">
      <c r="P46177" s="42"/>
      <c r="AB46177" s="38"/>
    </row>
    <row r="46178">
      <c r="P46178" s="42"/>
      <c r="AB46178" s="38"/>
    </row>
    <row r="46179">
      <c r="P46179" s="42"/>
      <c r="AB46179" s="38"/>
    </row>
    <row r="46180">
      <c r="P46180" s="42"/>
      <c r="AB46180" s="38"/>
    </row>
    <row r="46181">
      <c r="P46181" s="42"/>
      <c r="AB46181" s="38"/>
    </row>
    <row r="46182">
      <c r="P46182" s="42"/>
      <c r="AB46182" s="38"/>
    </row>
    <row r="46183">
      <c r="P46183" s="42"/>
      <c r="AB46183" s="38"/>
    </row>
    <row r="46184">
      <c r="P46184" s="42"/>
      <c r="AB46184" s="38"/>
    </row>
    <row r="46185">
      <c r="P46185" s="42"/>
      <c r="AB46185" s="38"/>
    </row>
    <row r="46186">
      <c r="P46186" s="42"/>
      <c r="AB46186" s="38"/>
    </row>
    <row r="46187">
      <c r="P46187" s="42"/>
      <c r="AB46187" s="38"/>
    </row>
    <row r="46188">
      <c r="P46188" s="42"/>
      <c r="AB46188" s="38"/>
    </row>
    <row r="46189">
      <c r="P46189" s="42"/>
      <c r="AB46189" s="38"/>
    </row>
    <row r="46190">
      <c r="P46190" s="42"/>
      <c r="AB46190" s="38"/>
    </row>
    <row r="46191">
      <c r="P46191" s="42"/>
      <c r="AB46191" s="38"/>
    </row>
    <row r="46192">
      <c r="P46192" s="42"/>
      <c r="AB46192" s="38"/>
    </row>
    <row r="46193">
      <c r="P46193" s="42"/>
      <c r="AB46193" s="38"/>
    </row>
    <row r="46194">
      <c r="P46194" s="42"/>
      <c r="AB46194" s="38"/>
    </row>
    <row r="46195">
      <c r="P46195" s="42"/>
      <c r="AB46195" s="38"/>
    </row>
    <row r="46196">
      <c r="P46196" s="42"/>
      <c r="AB46196" s="38"/>
    </row>
    <row r="46197">
      <c r="P46197" s="42"/>
      <c r="AB46197" s="38"/>
    </row>
    <row r="46198">
      <c r="P46198" s="42"/>
      <c r="AB46198" s="38"/>
    </row>
    <row r="46199">
      <c r="P46199" s="42"/>
      <c r="AB46199" s="38"/>
    </row>
    <row r="46200">
      <c r="P46200" s="42"/>
      <c r="AB46200" s="38"/>
    </row>
    <row r="46201">
      <c r="P46201" s="42"/>
      <c r="AB46201" s="38"/>
    </row>
    <row r="46202">
      <c r="P46202" s="42"/>
      <c r="AB46202" s="38"/>
    </row>
    <row r="46203">
      <c r="P46203" s="42"/>
      <c r="AB46203" s="38"/>
    </row>
    <row r="46204">
      <c r="P46204" s="42"/>
      <c r="AB46204" s="38"/>
    </row>
    <row r="46205">
      <c r="P46205" s="42"/>
      <c r="AB46205" s="38"/>
    </row>
    <row r="46206">
      <c r="P46206" s="42"/>
      <c r="AB46206" s="38"/>
    </row>
    <row r="46207">
      <c r="P46207" s="42"/>
      <c r="AB46207" s="38"/>
    </row>
    <row r="46208">
      <c r="P46208" s="42"/>
      <c r="AB46208" s="38"/>
    </row>
    <row r="46209">
      <c r="P46209" s="42"/>
      <c r="AB46209" s="38"/>
    </row>
    <row r="46210">
      <c r="P46210" s="42"/>
      <c r="AB46210" s="38"/>
    </row>
    <row r="46211">
      <c r="P46211" s="42"/>
      <c r="AB46211" s="38"/>
    </row>
    <row r="46212">
      <c r="P46212" s="42"/>
      <c r="AB46212" s="38"/>
    </row>
    <row r="46213">
      <c r="P46213" s="42"/>
      <c r="AB46213" s="38"/>
    </row>
    <row r="46214">
      <c r="P46214" s="42"/>
      <c r="AB46214" s="38"/>
    </row>
    <row r="46215">
      <c r="P46215" s="42"/>
      <c r="AB46215" s="38"/>
    </row>
    <row r="46216">
      <c r="P46216" s="42"/>
      <c r="AB46216" s="38"/>
    </row>
    <row r="46217">
      <c r="P46217" s="42"/>
      <c r="AB46217" s="38"/>
    </row>
    <row r="46218">
      <c r="P46218" s="42"/>
      <c r="AB46218" s="38"/>
    </row>
    <row r="46219">
      <c r="P46219" s="42"/>
      <c r="AB46219" s="38"/>
    </row>
    <row r="46220">
      <c r="P46220" s="42"/>
      <c r="AB46220" s="38"/>
    </row>
    <row r="46221">
      <c r="P46221" s="42"/>
      <c r="AB46221" s="38"/>
    </row>
    <row r="46222">
      <c r="P46222" s="42"/>
      <c r="AB46222" s="38"/>
    </row>
    <row r="46223">
      <c r="P46223" s="42"/>
      <c r="AB46223" s="38"/>
    </row>
    <row r="46224">
      <c r="P46224" s="42"/>
      <c r="AB46224" s="38"/>
    </row>
    <row r="46225">
      <c r="P46225" s="42"/>
      <c r="AB46225" s="38"/>
    </row>
    <row r="46226">
      <c r="P46226" s="42"/>
      <c r="AB46226" s="38"/>
    </row>
    <row r="46227">
      <c r="P46227" s="42"/>
      <c r="AB46227" s="38"/>
    </row>
    <row r="46228">
      <c r="P46228" s="42"/>
      <c r="AB46228" s="38"/>
    </row>
    <row r="46229">
      <c r="P46229" s="42"/>
      <c r="AB46229" s="38"/>
    </row>
    <row r="46230">
      <c r="P46230" s="42"/>
      <c r="AB46230" s="38"/>
    </row>
    <row r="46231">
      <c r="P46231" s="42"/>
      <c r="AB46231" s="38"/>
    </row>
    <row r="46232">
      <c r="P46232" s="42"/>
      <c r="AB46232" s="38"/>
    </row>
    <row r="46233">
      <c r="P46233" s="42"/>
      <c r="AB46233" s="38"/>
    </row>
    <row r="46234">
      <c r="P46234" s="42"/>
      <c r="AB46234" s="38"/>
    </row>
    <row r="46235">
      <c r="P46235" s="42"/>
      <c r="AB46235" s="38"/>
    </row>
    <row r="46236">
      <c r="P46236" s="42"/>
      <c r="AB46236" s="38"/>
    </row>
    <row r="46237">
      <c r="P46237" s="42"/>
      <c r="AB46237" s="38"/>
    </row>
    <row r="46238">
      <c r="P46238" s="42"/>
      <c r="AB46238" s="38"/>
    </row>
    <row r="46239">
      <c r="P46239" s="42"/>
      <c r="AB46239" s="38"/>
    </row>
    <row r="46240">
      <c r="P46240" s="42"/>
      <c r="AB46240" s="38"/>
    </row>
    <row r="46241">
      <c r="P46241" s="42"/>
      <c r="AB46241" s="38"/>
    </row>
    <row r="46242">
      <c r="P46242" s="42"/>
      <c r="AB46242" s="38"/>
    </row>
    <row r="46243">
      <c r="P46243" s="42"/>
      <c r="AB46243" s="38"/>
    </row>
    <row r="46244">
      <c r="P46244" s="42"/>
      <c r="AB46244" s="38"/>
    </row>
    <row r="46245">
      <c r="P46245" s="42"/>
      <c r="AB46245" s="38"/>
    </row>
    <row r="46246">
      <c r="P46246" s="42"/>
      <c r="AB46246" s="38"/>
    </row>
    <row r="46247">
      <c r="P46247" s="42"/>
      <c r="AB46247" s="38"/>
    </row>
    <row r="46248">
      <c r="P46248" s="42"/>
      <c r="AB46248" s="38"/>
    </row>
    <row r="46249">
      <c r="P46249" s="42"/>
      <c r="AB46249" s="38"/>
    </row>
    <row r="46250">
      <c r="P46250" s="42"/>
      <c r="AB46250" s="38"/>
    </row>
    <row r="46251">
      <c r="P46251" s="42"/>
      <c r="AB46251" s="38"/>
    </row>
    <row r="46252">
      <c r="P46252" s="42"/>
      <c r="AB46252" s="38"/>
    </row>
    <row r="46253">
      <c r="P46253" s="42"/>
      <c r="AB46253" s="38"/>
    </row>
    <row r="46254">
      <c r="P46254" s="42"/>
      <c r="AB46254" s="38"/>
    </row>
    <row r="46255">
      <c r="P46255" s="42"/>
      <c r="AB46255" s="38"/>
    </row>
    <row r="46256">
      <c r="P46256" s="42"/>
      <c r="AB46256" s="38"/>
    </row>
    <row r="46257">
      <c r="P46257" s="42"/>
      <c r="AB46257" s="38"/>
    </row>
    <row r="46258">
      <c r="P46258" s="42"/>
      <c r="AB46258" s="38"/>
    </row>
    <row r="46259">
      <c r="P46259" s="42"/>
      <c r="AB46259" s="38"/>
    </row>
    <row r="46260">
      <c r="P46260" s="42"/>
      <c r="AB46260" s="38"/>
    </row>
    <row r="46261">
      <c r="P46261" s="42"/>
      <c r="AB46261" s="38"/>
    </row>
    <row r="46262">
      <c r="P46262" s="42"/>
      <c r="AB46262" s="38"/>
    </row>
    <row r="46263">
      <c r="P46263" s="42"/>
      <c r="AB46263" s="38"/>
    </row>
    <row r="46264">
      <c r="P46264" s="42"/>
      <c r="AB46264" s="38"/>
    </row>
    <row r="46265">
      <c r="P46265" s="42"/>
      <c r="AB46265" s="38"/>
    </row>
    <row r="46266">
      <c r="P46266" s="42"/>
      <c r="AB46266" s="38"/>
    </row>
    <row r="46267">
      <c r="P46267" s="42"/>
      <c r="AB46267" s="38"/>
    </row>
    <row r="46268">
      <c r="P46268" s="42"/>
      <c r="AB46268" s="38"/>
    </row>
    <row r="46269">
      <c r="P46269" s="42"/>
      <c r="AB46269" s="38"/>
    </row>
    <row r="46270">
      <c r="P46270" s="42"/>
      <c r="AB46270" s="38"/>
    </row>
    <row r="46271">
      <c r="P46271" s="42"/>
      <c r="AB46271" s="38"/>
    </row>
    <row r="46272">
      <c r="P46272" s="42"/>
      <c r="AB46272" s="38"/>
    </row>
    <row r="46273">
      <c r="P46273" s="42"/>
      <c r="AB46273" s="38"/>
    </row>
    <row r="46274">
      <c r="P46274" s="42"/>
      <c r="AB46274" s="38"/>
    </row>
    <row r="46275">
      <c r="P46275" s="42"/>
      <c r="AB46275" s="38"/>
    </row>
    <row r="46276">
      <c r="P46276" s="42"/>
      <c r="AB46276" s="38"/>
    </row>
    <row r="46277">
      <c r="P46277" s="42"/>
      <c r="AB46277" s="38"/>
    </row>
    <row r="46278">
      <c r="P46278" s="42"/>
      <c r="AB46278" s="38"/>
    </row>
    <row r="46279">
      <c r="P46279" s="42"/>
      <c r="AB46279" s="38"/>
    </row>
    <row r="46280">
      <c r="P46280" s="42"/>
      <c r="AB46280" s="38"/>
    </row>
    <row r="46281">
      <c r="P46281" s="42"/>
      <c r="AB46281" s="38"/>
    </row>
    <row r="46282">
      <c r="P46282" s="42"/>
      <c r="AB46282" s="38"/>
    </row>
    <row r="46283">
      <c r="P46283" s="42"/>
      <c r="AB46283" s="38"/>
    </row>
    <row r="46284">
      <c r="P46284" s="42"/>
      <c r="AB46284" s="38"/>
    </row>
    <row r="46285">
      <c r="P46285" s="42"/>
      <c r="AB46285" s="38"/>
    </row>
    <row r="46286">
      <c r="P46286" s="42"/>
      <c r="AB46286" s="38"/>
    </row>
    <row r="46287">
      <c r="P46287" s="42"/>
      <c r="AB46287" s="38"/>
    </row>
    <row r="46288">
      <c r="P46288" s="42"/>
      <c r="AB46288" s="38"/>
    </row>
    <row r="46289">
      <c r="P46289" s="42"/>
      <c r="AB46289" s="38"/>
    </row>
    <row r="46290">
      <c r="P46290" s="42"/>
      <c r="AB46290" s="38"/>
    </row>
    <row r="46291">
      <c r="P46291" s="42"/>
      <c r="AB46291" s="38"/>
    </row>
    <row r="46292">
      <c r="P46292" s="42"/>
      <c r="AB46292" s="38"/>
    </row>
    <row r="46293">
      <c r="P46293" s="42"/>
      <c r="AB46293" s="38"/>
    </row>
    <row r="46294">
      <c r="P46294" s="42"/>
      <c r="AB46294" s="38"/>
    </row>
    <row r="46295">
      <c r="P46295" s="42"/>
      <c r="AB46295" s="38"/>
    </row>
    <row r="46296">
      <c r="P46296" s="42"/>
      <c r="AB46296" s="38"/>
    </row>
    <row r="46297">
      <c r="P46297" s="42"/>
      <c r="AB46297" s="38"/>
    </row>
    <row r="46298">
      <c r="P46298" s="42"/>
      <c r="AB46298" s="38"/>
    </row>
    <row r="46299">
      <c r="P46299" s="42"/>
      <c r="AB46299" s="38"/>
    </row>
    <row r="46300">
      <c r="P46300" s="42"/>
      <c r="AB46300" s="38"/>
    </row>
    <row r="46301">
      <c r="P46301" s="42"/>
      <c r="AB46301" s="38"/>
    </row>
    <row r="46302">
      <c r="P46302" s="42"/>
      <c r="AB46302" s="38"/>
    </row>
    <row r="46303">
      <c r="P46303" s="42"/>
      <c r="AB46303" s="38"/>
    </row>
    <row r="46304">
      <c r="P46304" s="42"/>
      <c r="AB46304" s="38"/>
    </row>
    <row r="46305">
      <c r="P46305" s="42"/>
      <c r="AB46305" s="38"/>
    </row>
    <row r="46306">
      <c r="P46306" s="42"/>
      <c r="AB46306" s="38"/>
    </row>
    <row r="46307">
      <c r="P46307" s="42"/>
      <c r="AB46307" s="38"/>
    </row>
    <row r="46308">
      <c r="P46308" s="42"/>
      <c r="AB46308" s="38"/>
    </row>
    <row r="46309">
      <c r="P46309" s="42"/>
      <c r="AB46309" s="38"/>
    </row>
    <row r="46310">
      <c r="P46310" s="42"/>
      <c r="AB46310" s="38"/>
    </row>
    <row r="46311">
      <c r="P46311" s="42"/>
      <c r="AB46311" s="38"/>
    </row>
    <row r="46312">
      <c r="P46312" s="42"/>
      <c r="AB46312" s="38"/>
    </row>
    <row r="46313">
      <c r="P46313" s="42"/>
      <c r="AB46313" s="38"/>
    </row>
    <row r="46314">
      <c r="P46314" s="42"/>
      <c r="AB46314" s="38"/>
    </row>
    <row r="46315">
      <c r="P46315" s="42"/>
      <c r="AB46315" s="38"/>
    </row>
    <row r="46316">
      <c r="P46316" s="42"/>
      <c r="AB46316" s="38"/>
    </row>
    <row r="46317">
      <c r="P46317" s="42"/>
      <c r="AB46317" s="38"/>
    </row>
    <row r="46318">
      <c r="P46318" s="42"/>
      <c r="AB46318" s="38"/>
    </row>
    <row r="46319">
      <c r="P46319" s="42"/>
      <c r="AB46319" s="38"/>
    </row>
    <row r="46320">
      <c r="P46320" s="42"/>
      <c r="AB46320" s="38"/>
    </row>
    <row r="46321">
      <c r="P46321" s="42"/>
      <c r="AB46321" s="38"/>
    </row>
    <row r="46322">
      <c r="P46322" s="42"/>
      <c r="AB46322" s="38"/>
    </row>
    <row r="46323">
      <c r="P46323" s="42"/>
      <c r="AB46323" s="38"/>
    </row>
    <row r="46324">
      <c r="P46324" s="42"/>
      <c r="AB46324" s="38"/>
    </row>
    <row r="46325">
      <c r="P46325" s="42"/>
      <c r="AB46325" s="38"/>
    </row>
    <row r="46326">
      <c r="P46326" s="42"/>
      <c r="AB46326" s="38"/>
    </row>
    <row r="46327">
      <c r="P46327" s="42"/>
      <c r="AB46327" s="38"/>
    </row>
    <row r="46328">
      <c r="P46328" s="42"/>
      <c r="AB46328" s="38"/>
    </row>
    <row r="46329">
      <c r="P46329" s="42"/>
      <c r="AB46329" s="38"/>
    </row>
    <row r="46330">
      <c r="P46330" s="42"/>
      <c r="AB46330" s="38"/>
    </row>
    <row r="46331">
      <c r="P46331" s="42"/>
      <c r="AB46331" s="38"/>
    </row>
    <row r="46332">
      <c r="P46332" s="42"/>
      <c r="AB46332" s="38"/>
    </row>
    <row r="46333">
      <c r="P46333" s="42"/>
      <c r="AB46333" s="38"/>
    </row>
    <row r="46334">
      <c r="P46334" s="42"/>
      <c r="AB46334" s="38"/>
    </row>
    <row r="46335">
      <c r="P46335" s="42"/>
      <c r="AB46335" s="38"/>
    </row>
    <row r="46336">
      <c r="P46336" s="42"/>
      <c r="AB46336" s="38"/>
    </row>
    <row r="46337">
      <c r="P46337" s="42"/>
      <c r="AB46337" s="38"/>
    </row>
    <row r="46338">
      <c r="P46338" s="42"/>
      <c r="AB46338" s="38"/>
    </row>
    <row r="46339">
      <c r="P46339" s="42"/>
      <c r="AB46339" s="38"/>
    </row>
    <row r="46340">
      <c r="P46340" s="42"/>
      <c r="AB46340" s="38"/>
    </row>
    <row r="46341">
      <c r="P46341" s="42"/>
      <c r="AB46341" s="38"/>
    </row>
    <row r="46342">
      <c r="P46342" s="42"/>
      <c r="AB46342" s="38"/>
    </row>
    <row r="46343">
      <c r="P46343" s="42"/>
      <c r="AB46343" s="38"/>
    </row>
    <row r="46344">
      <c r="P46344" s="42"/>
      <c r="AB46344" s="38"/>
    </row>
    <row r="46345">
      <c r="P46345" s="42"/>
      <c r="AB46345" s="38"/>
    </row>
    <row r="46346">
      <c r="P46346" s="42"/>
      <c r="AB46346" s="38"/>
    </row>
    <row r="46347">
      <c r="P46347" s="42"/>
      <c r="AB46347" s="38"/>
    </row>
    <row r="46348">
      <c r="P46348" s="42"/>
      <c r="AB46348" s="38"/>
    </row>
    <row r="46349">
      <c r="P46349" s="42"/>
      <c r="AB46349" s="38"/>
    </row>
    <row r="46350">
      <c r="P46350" s="42"/>
      <c r="AB46350" s="38"/>
    </row>
    <row r="46351">
      <c r="P46351" s="42"/>
      <c r="AB46351" s="38"/>
    </row>
    <row r="46352">
      <c r="P46352" s="42"/>
      <c r="AB46352" s="38"/>
    </row>
    <row r="46353">
      <c r="P46353" s="42"/>
      <c r="AB46353" s="38"/>
    </row>
    <row r="46354">
      <c r="P46354" s="42"/>
      <c r="AB46354" s="38"/>
    </row>
    <row r="46355">
      <c r="P46355" s="42"/>
      <c r="AB46355" s="38"/>
    </row>
    <row r="46356">
      <c r="P46356" s="42"/>
      <c r="AB46356" s="38"/>
    </row>
    <row r="46357">
      <c r="P46357" s="42"/>
      <c r="AB46357" s="38"/>
    </row>
    <row r="46358">
      <c r="P46358" s="42"/>
      <c r="AB46358" s="38"/>
    </row>
    <row r="46359">
      <c r="P46359" s="42"/>
      <c r="AB46359" s="38"/>
    </row>
    <row r="46360">
      <c r="P46360" s="42"/>
      <c r="AB46360" s="38"/>
    </row>
    <row r="46361">
      <c r="P46361" s="42"/>
      <c r="AB46361" s="38"/>
    </row>
    <row r="46362">
      <c r="P46362" s="42"/>
      <c r="AB46362" s="38"/>
    </row>
    <row r="46363">
      <c r="P46363" s="42"/>
      <c r="AB46363" s="38"/>
    </row>
    <row r="46364">
      <c r="P46364" s="42"/>
      <c r="AB46364" s="38"/>
    </row>
    <row r="46365">
      <c r="P46365" s="42"/>
      <c r="AB46365" s="38"/>
    </row>
    <row r="46366">
      <c r="P46366" s="42"/>
      <c r="AB46366" s="38"/>
    </row>
    <row r="46367">
      <c r="P46367" s="42"/>
      <c r="AB46367" s="38"/>
    </row>
    <row r="46368">
      <c r="P46368" s="42"/>
      <c r="AB46368" s="38"/>
    </row>
    <row r="46369">
      <c r="P46369" s="42"/>
      <c r="AB46369" s="38"/>
    </row>
    <row r="46370">
      <c r="P46370" s="42"/>
      <c r="AB46370" s="38"/>
    </row>
    <row r="46371">
      <c r="P46371" s="42"/>
      <c r="AB46371" s="38"/>
    </row>
    <row r="46372">
      <c r="P46372" s="42"/>
      <c r="AB46372" s="38"/>
    </row>
    <row r="46373">
      <c r="P46373" s="42"/>
      <c r="AB46373" s="38"/>
    </row>
    <row r="46374">
      <c r="P46374" s="42"/>
      <c r="AB46374" s="38"/>
    </row>
    <row r="46375">
      <c r="P46375" s="42"/>
      <c r="AB46375" s="38"/>
    </row>
    <row r="46376">
      <c r="P46376" s="42"/>
      <c r="AB46376" s="38"/>
    </row>
    <row r="46377">
      <c r="P46377" s="42"/>
      <c r="AB46377" s="38"/>
    </row>
    <row r="46378">
      <c r="P46378" s="42"/>
      <c r="AB46378" s="38"/>
    </row>
    <row r="46379">
      <c r="P46379" s="42"/>
      <c r="AB46379" s="38"/>
    </row>
    <row r="46380">
      <c r="P46380" s="42"/>
      <c r="AB46380" s="38"/>
    </row>
    <row r="46381">
      <c r="P46381" s="42"/>
      <c r="AB46381" s="38"/>
    </row>
    <row r="46382">
      <c r="P46382" s="42"/>
      <c r="AB46382" s="38"/>
    </row>
    <row r="46383">
      <c r="P46383" s="42"/>
      <c r="AB46383" s="38"/>
    </row>
    <row r="46384">
      <c r="P46384" s="42"/>
      <c r="AB46384" s="38"/>
    </row>
    <row r="46385">
      <c r="P46385" s="42"/>
      <c r="AB46385" s="38"/>
    </row>
    <row r="46386">
      <c r="P46386" s="42"/>
      <c r="AB46386" s="38"/>
    </row>
    <row r="46387">
      <c r="P46387" s="42"/>
      <c r="AB46387" s="38"/>
    </row>
    <row r="46388">
      <c r="P46388" s="42"/>
      <c r="AB46388" s="38"/>
    </row>
    <row r="46389">
      <c r="P46389" s="42"/>
      <c r="AB46389" s="38"/>
    </row>
    <row r="46390">
      <c r="P46390" s="42"/>
      <c r="AB46390" s="38"/>
    </row>
    <row r="46391">
      <c r="P46391" s="42"/>
      <c r="AB46391" s="38"/>
    </row>
    <row r="46392">
      <c r="P46392" s="42"/>
      <c r="AB46392" s="38"/>
    </row>
    <row r="46393">
      <c r="P46393" s="42"/>
      <c r="AB46393" s="38"/>
    </row>
    <row r="46394">
      <c r="P46394" s="42"/>
      <c r="AB46394" s="38"/>
    </row>
    <row r="46395">
      <c r="P46395" s="42"/>
      <c r="AB46395" s="38"/>
    </row>
    <row r="46396">
      <c r="P46396" s="42"/>
      <c r="AB46396" s="38"/>
    </row>
    <row r="46397">
      <c r="P46397" s="42"/>
      <c r="AB46397" s="38"/>
    </row>
    <row r="46398">
      <c r="P46398" s="42"/>
      <c r="AB46398" s="38"/>
    </row>
    <row r="46399">
      <c r="P46399" s="42"/>
      <c r="AB46399" s="38"/>
    </row>
    <row r="46400">
      <c r="P46400" s="42"/>
      <c r="AB46400" s="38"/>
    </row>
    <row r="46401">
      <c r="P46401" s="42"/>
      <c r="AB46401" s="38"/>
    </row>
    <row r="46402">
      <c r="P46402" s="42"/>
      <c r="AB46402" s="38"/>
    </row>
    <row r="46403">
      <c r="P46403" s="42"/>
      <c r="AB46403" s="38"/>
    </row>
    <row r="46404">
      <c r="P46404" s="42"/>
      <c r="AB46404" s="38"/>
    </row>
    <row r="46405">
      <c r="P46405" s="42"/>
      <c r="AB46405" s="38"/>
    </row>
    <row r="46406">
      <c r="P46406" s="42"/>
      <c r="AB46406" s="38"/>
    </row>
    <row r="46407">
      <c r="P46407" s="42"/>
      <c r="AB46407" s="38"/>
    </row>
    <row r="46408">
      <c r="P46408" s="42"/>
      <c r="AB46408" s="38"/>
    </row>
    <row r="46409">
      <c r="P46409" s="42"/>
      <c r="AB46409" s="38"/>
    </row>
    <row r="46410">
      <c r="P46410" s="42"/>
      <c r="AB46410" s="38"/>
    </row>
    <row r="46411">
      <c r="P46411" s="42"/>
      <c r="AB46411" s="38"/>
    </row>
    <row r="46412">
      <c r="P46412" s="42"/>
      <c r="AB46412" s="38"/>
    </row>
    <row r="46413">
      <c r="P46413" s="42"/>
      <c r="AB46413" s="38"/>
    </row>
    <row r="46414">
      <c r="P46414" s="42"/>
      <c r="AB46414" s="38"/>
    </row>
    <row r="46415">
      <c r="P46415" s="42"/>
      <c r="AB46415" s="38"/>
    </row>
    <row r="46416">
      <c r="P46416" s="42"/>
      <c r="AB46416" s="38"/>
    </row>
    <row r="46417">
      <c r="P46417" s="42"/>
      <c r="AB46417" s="38"/>
    </row>
    <row r="46418">
      <c r="P46418" s="42"/>
      <c r="AB46418" s="38"/>
    </row>
    <row r="46419">
      <c r="P46419" s="42"/>
      <c r="AB46419" s="38"/>
    </row>
    <row r="46420">
      <c r="P46420" s="42"/>
      <c r="AB46420" s="38"/>
    </row>
    <row r="46421">
      <c r="P46421" s="42"/>
      <c r="AB46421" s="38"/>
    </row>
    <row r="46422">
      <c r="P46422" s="42"/>
      <c r="AB46422" s="38"/>
    </row>
    <row r="46423">
      <c r="P46423" s="42"/>
      <c r="AB46423" s="38"/>
    </row>
    <row r="46424">
      <c r="P46424" s="42"/>
      <c r="AB46424" s="38"/>
    </row>
    <row r="46425">
      <c r="P46425" s="42"/>
      <c r="AB46425" s="38"/>
    </row>
    <row r="46426">
      <c r="P46426" s="42"/>
      <c r="AB46426" s="38"/>
    </row>
    <row r="46427">
      <c r="P46427" s="42"/>
      <c r="AB46427" s="38"/>
    </row>
    <row r="46428">
      <c r="P46428" s="42"/>
      <c r="AB46428" s="38"/>
    </row>
    <row r="46429">
      <c r="P46429" s="42"/>
      <c r="AB46429" s="38"/>
    </row>
    <row r="46430">
      <c r="P46430" s="42"/>
      <c r="AB46430" s="38"/>
    </row>
    <row r="46431">
      <c r="P46431" s="42"/>
      <c r="AB46431" s="38"/>
    </row>
    <row r="46432">
      <c r="P46432" s="42"/>
      <c r="AB46432" s="38"/>
    </row>
    <row r="46433">
      <c r="P46433" s="42"/>
      <c r="AB46433" s="38"/>
    </row>
    <row r="46434">
      <c r="P46434" s="42"/>
      <c r="AB46434" s="38"/>
    </row>
    <row r="46435">
      <c r="P46435" s="42"/>
      <c r="AB46435" s="38"/>
    </row>
    <row r="46436">
      <c r="P46436" s="42"/>
      <c r="AB46436" s="38"/>
    </row>
    <row r="46437">
      <c r="P46437" s="42"/>
      <c r="AB46437" s="38"/>
    </row>
    <row r="46438">
      <c r="P46438" s="42"/>
      <c r="AB46438" s="38"/>
    </row>
    <row r="46439">
      <c r="P46439" s="42"/>
      <c r="AB46439" s="38"/>
    </row>
    <row r="46440">
      <c r="P46440" s="42"/>
      <c r="AB46440" s="38"/>
    </row>
    <row r="46441">
      <c r="P46441" s="42"/>
      <c r="AB46441" s="38"/>
    </row>
    <row r="46442">
      <c r="P46442" s="42"/>
      <c r="AB46442" s="38"/>
    </row>
    <row r="46443">
      <c r="P46443" s="42"/>
      <c r="AB46443" s="38"/>
    </row>
    <row r="46444">
      <c r="P46444" s="42"/>
      <c r="AB46444" s="38"/>
    </row>
    <row r="46445">
      <c r="P46445" s="42"/>
      <c r="AB46445" s="38"/>
    </row>
    <row r="46446">
      <c r="P46446" s="42"/>
      <c r="AB46446" s="38"/>
    </row>
    <row r="46447">
      <c r="P46447" s="42"/>
      <c r="AB46447" s="38"/>
    </row>
    <row r="46448">
      <c r="P46448" s="42"/>
      <c r="AB46448" s="38"/>
    </row>
    <row r="46449">
      <c r="P46449" s="42"/>
      <c r="AB46449" s="38"/>
    </row>
    <row r="46450">
      <c r="P46450" s="42"/>
      <c r="AB46450" s="38"/>
    </row>
    <row r="46451">
      <c r="P46451" s="42"/>
      <c r="AB46451" s="38"/>
    </row>
    <row r="46452">
      <c r="P46452" s="42"/>
      <c r="AB46452" s="38"/>
    </row>
    <row r="46453">
      <c r="P46453" s="42"/>
      <c r="AB46453" s="38"/>
    </row>
    <row r="46454">
      <c r="P46454" s="42"/>
      <c r="AB46454" s="38"/>
    </row>
    <row r="46455">
      <c r="P46455" s="42"/>
      <c r="AB46455" s="38"/>
    </row>
    <row r="46456">
      <c r="P46456" s="42"/>
      <c r="AB46456" s="38"/>
    </row>
    <row r="46457">
      <c r="P46457" s="42"/>
      <c r="AB46457" s="38"/>
    </row>
    <row r="46458">
      <c r="P46458" s="42"/>
      <c r="AB46458" s="38"/>
    </row>
    <row r="46459">
      <c r="P46459" s="42"/>
      <c r="AB46459" s="38"/>
    </row>
    <row r="46460">
      <c r="P46460" s="42"/>
      <c r="AB46460" s="38"/>
    </row>
    <row r="46461">
      <c r="P46461" s="42"/>
      <c r="AB46461" s="38"/>
    </row>
    <row r="46462">
      <c r="P46462" s="42"/>
      <c r="AB46462" s="38"/>
    </row>
    <row r="46463">
      <c r="P46463" s="42"/>
      <c r="AB46463" s="38"/>
    </row>
    <row r="46464">
      <c r="P46464" s="42"/>
      <c r="AB46464" s="38"/>
    </row>
    <row r="46465">
      <c r="P46465" s="42"/>
      <c r="AB46465" s="38"/>
    </row>
    <row r="46466">
      <c r="P46466" s="42"/>
      <c r="AB46466" s="38"/>
    </row>
    <row r="46467">
      <c r="P46467" s="42"/>
      <c r="AB46467" s="38"/>
    </row>
    <row r="46468">
      <c r="P46468" s="42"/>
      <c r="AB46468" s="38"/>
    </row>
    <row r="46469">
      <c r="P46469" s="42"/>
      <c r="AB46469" s="38"/>
    </row>
    <row r="46470">
      <c r="P46470" s="42"/>
      <c r="AB46470" s="38"/>
    </row>
    <row r="46471">
      <c r="P46471" s="42"/>
      <c r="AB46471" s="38"/>
    </row>
    <row r="46472">
      <c r="P46472" s="42"/>
      <c r="AB46472" s="38"/>
    </row>
    <row r="46473">
      <c r="P46473" s="42"/>
      <c r="AB46473" s="38"/>
    </row>
    <row r="46474">
      <c r="P46474" s="42"/>
      <c r="AB46474" s="38"/>
    </row>
    <row r="46475">
      <c r="P46475" s="42"/>
      <c r="AB46475" s="38"/>
    </row>
    <row r="46476">
      <c r="P46476" s="42"/>
      <c r="AB46476" s="38"/>
    </row>
    <row r="46477">
      <c r="P46477" s="42"/>
      <c r="AB46477" s="38"/>
    </row>
    <row r="46478">
      <c r="P46478" s="42"/>
      <c r="AB46478" s="38"/>
    </row>
    <row r="46479">
      <c r="P46479" s="42"/>
      <c r="AB46479" s="38"/>
    </row>
    <row r="46480">
      <c r="P46480" s="42"/>
      <c r="AB46480" s="38"/>
    </row>
    <row r="46481">
      <c r="P46481" s="42"/>
      <c r="AB46481" s="38"/>
    </row>
    <row r="46482">
      <c r="P46482" s="42"/>
      <c r="AB46482" s="38"/>
    </row>
    <row r="46483">
      <c r="P46483" s="42"/>
      <c r="AB46483" s="38"/>
    </row>
    <row r="46484">
      <c r="P46484" s="42"/>
      <c r="AB46484" s="38"/>
    </row>
    <row r="46485">
      <c r="P46485" s="42"/>
      <c r="AB46485" s="38"/>
    </row>
    <row r="46486">
      <c r="P46486" s="42"/>
      <c r="AB46486" s="38"/>
    </row>
    <row r="46487">
      <c r="P46487" s="42"/>
      <c r="AB46487" s="38"/>
    </row>
    <row r="46488">
      <c r="P46488" s="42"/>
      <c r="AB46488" s="38"/>
    </row>
    <row r="46489">
      <c r="P46489" s="42"/>
      <c r="AB46489" s="38"/>
    </row>
    <row r="46490">
      <c r="P46490" s="42"/>
      <c r="AB46490" s="38"/>
    </row>
    <row r="46491">
      <c r="P46491" s="42"/>
      <c r="AB46491" s="38"/>
    </row>
    <row r="46492">
      <c r="P46492" s="42"/>
      <c r="AB46492" s="38"/>
    </row>
    <row r="46493">
      <c r="P46493" s="42"/>
      <c r="AB46493" s="38"/>
    </row>
    <row r="46494">
      <c r="P46494" s="42"/>
      <c r="AB46494" s="38"/>
    </row>
    <row r="46495">
      <c r="P46495" s="42"/>
      <c r="AB46495" s="38"/>
    </row>
    <row r="46496">
      <c r="P46496" s="42"/>
      <c r="AB46496" s="38"/>
    </row>
    <row r="46497">
      <c r="P46497" s="42"/>
      <c r="AB46497" s="38"/>
    </row>
    <row r="46498">
      <c r="P46498" s="42"/>
      <c r="AB46498" s="38"/>
    </row>
    <row r="46499">
      <c r="P46499" s="42"/>
      <c r="AB46499" s="38"/>
    </row>
    <row r="46500">
      <c r="P46500" s="42"/>
      <c r="AB46500" s="38"/>
    </row>
    <row r="46501">
      <c r="P46501" s="42"/>
      <c r="AB46501" s="38"/>
    </row>
    <row r="46502">
      <c r="P46502" s="42"/>
      <c r="AB46502" s="38"/>
    </row>
    <row r="46503">
      <c r="P46503" s="42"/>
      <c r="AB46503" s="38"/>
    </row>
    <row r="46504">
      <c r="P46504" s="42"/>
      <c r="AB46504" s="38"/>
    </row>
    <row r="46505">
      <c r="P46505" s="42"/>
      <c r="AB46505" s="38"/>
    </row>
    <row r="46506">
      <c r="P46506" s="42"/>
      <c r="AB46506" s="38"/>
    </row>
    <row r="46507">
      <c r="P46507" s="42"/>
      <c r="AB46507" s="38"/>
    </row>
    <row r="46508">
      <c r="P46508" s="42"/>
      <c r="AB46508" s="38"/>
    </row>
    <row r="46509">
      <c r="P46509" s="42"/>
      <c r="AB46509" s="38"/>
    </row>
    <row r="46510">
      <c r="P46510" s="42"/>
      <c r="AB46510" s="38"/>
    </row>
    <row r="46511">
      <c r="P46511" s="42"/>
      <c r="AB46511" s="38"/>
    </row>
    <row r="46512">
      <c r="P46512" s="42"/>
      <c r="AB46512" s="38"/>
    </row>
    <row r="46513">
      <c r="P46513" s="42"/>
      <c r="AB46513" s="38"/>
    </row>
    <row r="46514">
      <c r="P46514" s="42"/>
      <c r="AB46514" s="38"/>
    </row>
    <row r="46515">
      <c r="P46515" s="42"/>
      <c r="AB46515" s="38"/>
    </row>
    <row r="46516">
      <c r="P46516" s="42"/>
      <c r="AB46516" s="38"/>
    </row>
    <row r="46517">
      <c r="P46517" s="42"/>
      <c r="AB46517" s="38"/>
    </row>
    <row r="46518">
      <c r="P46518" s="42"/>
      <c r="AB46518" s="38"/>
    </row>
    <row r="46519">
      <c r="P46519" s="42"/>
      <c r="AB46519" s="38"/>
    </row>
    <row r="46520">
      <c r="P46520" s="42"/>
      <c r="AB46520" s="38"/>
    </row>
    <row r="46521">
      <c r="P46521" s="42"/>
      <c r="AB46521" s="38"/>
    </row>
    <row r="46522">
      <c r="P46522" s="42"/>
      <c r="AB46522" s="38"/>
    </row>
    <row r="46523">
      <c r="P46523" s="42"/>
      <c r="AB46523" s="38"/>
    </row>
    <row r="46524">
      <c r="P46524" s="42"/>
      <c r="AB46524" s="38"/>
    </row>
    <row r="46525">
      <c r="P46525" s="42"/>
      <c r="AB46525" s="38"/>
    </row>
    <row r="46526">
      <c r="P46526" s="42"/>
      <c r="AB46526" s="38"/>
    </row>
    <row r="46527">
      <c r="P46527" s="42"/>
      <c r="AB46527" s="38"/>
    </row>
    <row r="46528">
      <c r="P46528" s="42"/>
      <c r="AB46528" s="38"/>
    </row>
    <row r="46529">
      <c r="P46529" s="42"/>
      <c r="AB46529" s="38"/>
    </row>
    <row r="46530">
      <c r="P46530" s="42"/>
      <c r="AB46530" s="38"/>
    </row>
    <row r="46531">
      <c r="P46531" s="42"/>
      <c r="AB46531" s="38"/>
    </row>
    <row r="46532">
      <c r="P46532" s="42"/>
      <c r="AB46532" s="38"/>
    </row>
    <row r="46533">
      <c r="P46533" s="42"/>
      <c r="AB46533" s="38"/>
    </row>
    <row r="46534">
      <c r="P46534" s="42"/>
      <c r="AB46534" s="38"/>
    </row>
    <row r="46535">
      <c r="P46535" s="42"/>
      <c r="AB46535" s="38"/>
    </row>
    <row r="46536">
      <c r="P46536" s="42"/>
      <c r="AB46536" s="38"/>
    </row>
    <row r="46537">
      <c r="P46537" s="42"/>
      <c r="AB46537" s="38"/>
    </row>
    <row r="46538">
      <c r="P46538" s="42"/>
      <c r="AB46538" s="38"/>
    </row>
    <row r="46539">
      <c r="P46539" s="42"/>
      <c r="AB46539" s="38"/>
    </row>
    <row r="46540">
      <c r="P46540" s="42"/>
      <c r="AB46540" s="38"/>
    </row>
    <row r="46541">
      <c r="P46541" s="42"/>
      <c r="AB46541" s="38"/>
    </row>
    <row r="46542">
      <c r="P46542" s="42"/>
      <c r="AB46542" s="38"/>
    </row>
    <row r="46543">
      <c r="P46543" s="42"/>
      <c r="AB46543" s="38"/>
    </row>
    <row r="46544">
      <c r="P46544" s="42"/>
      <c r="AB46544" s="38"/>
    </row>
    <row r="46545">
      <c r="P46545" s="42"/>
      <c r="AB46545" s="38"/>
    </row>
    <row r="46546">
      <c r="P46546" s="42"/>
      <c r="AB46546" s="38"/>
    </row>
    <row r="46547">
      <c r="P46547" s="42"/>
      <c r="AB46547" s="38"/>
    </row>
    <row r="46548">
      <c r="P46548" s="42"/>
      <c r="AB46548" s="38"/>
    </row>
    <row r="46549">
      <c r="P46549" s="42"/>
      <c r="AB46549" s="38"/>
    </row>
    <row r="46550">
      <c r="P46550" s="42"/>
      <c r="AB46550" s="38"/>
    </row>
    <row r="46551">
      <c r="P46551" s="42"/>
      <c r="AB46551" s="38"/>
    </row>
    <row r="46552">
      <c r="P46552" s="42"/>
      <c r="AB46552" s="38"/>
    </row>
    <row r="46553">
      <c r="P46553" s="42"/>
      <c r="AB46553" s="38"/>
    </row>
    <row r="46554">
      <c r="P46554" s="42"/>
      <c r="AB46554" s="38"/>
    </row>
    <row r="46555">
      <c r="P46555" s="42"/>
      <c r="AB46555" s="38"/>
    </row>
    <row r="46556">
      <c r="P46556" s="42"/>
      <c r="AB46556" s="38"/>
    </row>
    <row r="46557">
      <c r="P46557" s="42"/>
      <c r="AB46557" s="38"/>
    </row>
    <row r="46558">
      <c r="P46558" s="42"/>
      <c r="AB46558" s="38"/>
    </row>
    <row r="46559">
      <c r="P46559" s="42"/>
      <c r="AB46559" s="38"/>
    </row>
    <row r="46560">
      <c r="P46560" s="42"/>
      <c r="AB46560" s="38"/>
    </row>
    <row r="46561">
      <c r="P46561" s="42"/>
      <c r="AB46561" s="38"/>
    </row>
    <row r="46562">
      <c r="P46562" s="42"/>
      <c r="AB46562" s="38"/>
    </row>
    <row r="46563">
      <c r="P46563" s="42"/>
      <c r="AB46563" s="38"/>
    </row>
    <row r="46564">
      <c r="P46564" s="42"/>
      <c r="AB46564" s="38"/>
    </row>
    <row r="46565">
      <c r="P46565" s="42"/>
      <c r="AB46565" s="38"/>
    </row>
    <row r="46566">
      <c r="P46566" s="42"/>
      <c r="AB46566" s="38"/>
    </row>
    <row r="46567">
      <c r="P46567" s="42"/>
      <c r="AB46567" s="38"/>
    </row>
    <row r="46568">
      <c r="P46568" s="42"/>
      <c r="AB46568" s="38"/>
    </row>
    <row r="46569">
      <c r="P46569" s="42"/>
      <c r="AB46569" s="38"/>
    </row>
    <row r="46570">
      <c r="P46570" s="42"/>
      <c r="AB46570" s="38"/>
    </row>
    <row r="46571">
      <c r="P46571" s="42"/>
      <c r="AB46571" s="38"/>
    </row>
    <row r="46572">
      <c r="P46572" s="42"/>
      <c r="AB46572" s="38"/>
    </row>
    <row r="46573">
      <c r="P46573" s="42"/>
      <c r="AB46573" s="38"/>
    </row>
    <row r="46574">
      <c r="P46574" s="42"/>
      <c r="AB46574" s="38"/>
    </row>
    <row r="46575">
      <c r="P46575" s="42"/>
      <c r="AB46575" s="38"/>
    </row>
    <row r="46576">
      <c r="P46576" s="42"/>
      <c r="AB46576" s="38"/>
    </row>
    <row r="46577">
      <c r="P46577" s="42"/>
      <c r="AB46577" s="38"/>
    </row>
    <row r="46578">
      <c r="P46578" s="42"/>
      <c r="AB46578" s="38"/>
    </row>
    <row r="46579">
      <c r="P46579" s="42"/>
      <c r="AB46579" s="38"/>
    </row>
    <row r="46580">
      <c r="P46580" s="42"/>
      <c r="AB46580" s="38"/>
    </row>
    <row r="46581">
      <c r="P46581" s="42"/>
      <c r="AB46581" s="38"/>
    </row>
    <row r="46582">
      <c r="P46582" s="42"/>
      <c r="AB46582" s="38"/>
    </row>
    <row r="46583">
      <c r="P46583" s="42"/>
      <c r="AB46583" s="38"/>
    </row>
    <row r="46584">
      <c r="P46584" s="42"/>
      <c r="AB46584" s="38"/>
    </row>
    <row r="46585">
      <c r="P46585" s="42"/>
      <c r="AB46585" s="38"/>
    </row>
    <row r="46586">
      <c r="P46586" s="42"/>
      <c r="AB46586" s="38"/>
    </row>
    <row r="46587">
      <c r="P46587" s="42"/>
      <c r="AB46587" s="38"/>
    </row>
    <row r="46588">
      <c r="P46588" s="42"/>
      <c r="AB46588" s="38"/>
    </row>
    <row r="46589">
      <c r="P46589" s="42"/>
      <c r="AB46589" s="38"/>
    </row>
    <row r="46590">
      <c r="P46590" s="42"/>
      <c r="AB46590" s="38"/>
    </row>
    <row r="46591">
      <c r="P46591" s="42"/>
      <c r="AB46591" s="38"/>
    </row>
    <row r="46592">
      <c r="P46592" s="42"/>
      <c r="AB46592" s="38"/>
    </row>
    <row r="46593">
      <c r="P46593" s="42"/>
      <c r="AB46593" s="38"/>
    </row>
    <row r="46594">
      <c r="P46594" s="42"/>
      <c r="AB46594" s="38"/>
    </row>
    <row r="46595">
      <c r="P46595" s="42"/>
      <c r="AB46595" s="38"/>
    </row>
    <row r="46596">
      <c r="P46596" s="42"/>
      <c r="AB46596" s="38"/>
    </row>
    <row r="46597">
      <c r="P46597" s="42"/>
      <c r="AB46597" s="38"/>
    </row>
    <row r="46598">
      <c r="P46598" s="42"/>
      <c r="AB46598" s="38"/>
    </row>
    <row r="46599">
      <c r="P46599" s="42"/>
      <c r="AB46599" s="38"/>
    </row>
    <row r="46600">
      <c r="P46600" s="42"/>
      <c r="AB46600" s="38"/>
    </row>
    <row r="46601">
      <c r="P46601" s="42"/>
      <c r="AB46601" s="38"/>
    </row>
    <row r="46602">
      <c r="P46602" s="42"/>
      <c r="AB46602" s="38"/>
    </row>
    <row r="46603">
      <c r="P46603" s="42"/>
      <c r="AB46603" s="38"/>
    </row>
    <row r="46604">
      <c r="P46604" s="42"/>
      <c r="AB46604" s="38"/>
    </row>
    <row r="46605">
      <c r="P46605" s="42"/>
      <c r="AB46605" s="38"/>
    </row>
    <row r="46606">
      <c r="P46606" s="42"/>
      <c r="AB46606" s="38"/>
    </row>
    <row r="46607">
      <c r="P46607" s="42"/>
      <c r="AB46607" s="38"/>
    </row>
    <row r="46608">
      <c r="P46608" s="42"/>
      <c r="AB46608" s="38"/>
    </row>
    <row r="46609">
      <c r="P46609" s="42"/>
      <c r="AB46609" s="38"/>
    </row>
    <row r="46610">
      <c r="P46610" s="42"/>
      <c r="AB46610" s="38"/>
    </row>
    <row r="46611">
      <c r="P46611" s="42"/>
      <c r="AB46611" s="38"/>
    </row>
    <row r="46612">
      <c r="P46612" s="42"/>
      <c r="AB46612" s="38"/>
    </row>
    <row r="46613">
      <c r="P46613" s="42"/>
      <c r="AB46613" s="38"/>
    </row>
    <row r="46614">
      <c r="P46614" s="42"/>
      <c r="AB46614" s="38"/>
    </row>
    <row r="46615">
      <c r="P46615" s="42"/>
      <c r="AB46615" s="38"/>
    </row>
    <row r="46616">
      <c r="P46616" s="42"/>
      <c r="AB46616" s="38"/>
    </row>
    <row r="46617">
      <c r="P46617" s="42"/>
      <c r="AB46617" s="38"/>
    </row>
    <row r="46618">
      <c r="P46618" s="42"/>
      <c r="AB46618" s="38"/>
    </row>
    <row r="46619">
      <c r="P46619" s="42"/>
      <c r="AB46619" s="38"/>
    </row>
    <row r="46620">
      <c r="P46620" s="42"/>
      <c r="AB46620" s="38"/>
    </row>
    <row r="46621">
      <c r="P46621" s="42"/>
      <c r="AB46621" s="38"/>
    </row>
    <row r="46622">
      <c r="P46622" s="42"/>
      <c r="AB46622" s="38"/>
    </row>
    <row r="46623">
      <c r="P46623" s="42"/>
      <c r="AB46623" s="38"/>
    </row>
    <row r="46624">
      <c r="P46624" s="42"/>
      <c r="AB46624" s="38"/>
    </row>
    <row r="46625">
      <c r="P46625" s="42"/>
      <c r="AB46625" s="38"/>
    </row>
    <row r="46626">
      <c r="P46626" s="42"/>
      <c r="AB46626" s="38"/>
    </row>
    <row r="46627">
      <c r="P46627" s="42"/>
      <c r="AB46627" s="38"/>
    </row>
    <row r="46628">
      <c r="P46628" s="42"/>
      <c r="AB46628" s="38"/>
    </row>
    <row r="46629">
      <c r="P46629" s="42"/>
      <c r="AB46629" s="38"/>
    </row>
    <row r="46630">
      <c r="P46630" s="42"/>
      <c r="AB46630" s="38"/>
    </row>
    <row r="46631">
      <c r="P46631" s="42"/>
      <c r="AB46631" s="38"/>
    </row>
    <row r="46632">
      <c r="P46632" s="42"/>
      <c r="AB46632" s="38"/>
    </row>
    <row r="46633">
      <c r="P46633" s="42"/>
      <c r="AB46633" s="38"/>
    </row>
    <row r="46634">
      <c r="P46634" s="42"/>
      <c r="AB46634" s="38"/>
    </row>
    <row r="46635">
      <c r="P46635" s="42"/>
      <c r="AB46635" s="38"/>
    </row>
    <row r="46636">
      <c r="P46636" s="42"/>
      <c r="AB46636" s="38"/>
    </row>
    <row r="46637">
      <c r="P46637" s="42"/>
      <c r="AB46637" s="38"/>
    </row>
    <row r="46638">
      <c r="P46638" s="42"/>
      <c r="AB46638" s="38"/>
    </row>
    <row r="46639">
      <c r="P46639" s="42"/>
      <c r="AB46639" s="38"/>
    </row>
    <row r="46640">
      <c r="P46640" s="42"/>
      <c r="AB46640" s="38"/>
    </row>
    <row r="46641">
      <c r="P46641" s="42"/>
      <c r="AB46641" s="38"/>
    </row>
    <row r="46642">
      <c r="P46642" s="42"/>
      <c r="AB46642" s="38"/>
    </row>
    <row r="46643">
      <c r="P46643" s="42"/>
      <c r="AB46643" s="38"/>
    </row>
    <row r="46644">
      <c r="P46644" s="42"/>
      <c r="AB46644" s="38"/>
    </row>
    <row r="46645">
      <c r="P46645" s="42"/>
      <c r="AB46645" s="38"/>
    </row>
    <row r="46646">
      <c r="P46646" s="42"/>
      <c r="AB46646" s="38"/>
    </row>
    <row r="46647">
      <c r="P46647" s="42"/>
      <c r="AB46647" s="38"/>
    </row>
    <row r="46648">
      <c r="P46648" s="42"/>
      <c r="AB46648" s="38"/>
    </row>
    <row r="46649">
      <c r="P46649" s="42"/>
      <c r="AB46649" s="38"/>
    </row>
    <row r="46650">
      <c r="P46650" s="42"/>
      <c r="AB46650" s="38"/>
    </row>
    <row r="46651">
      <c r="P46651" s="42"/>
      <c r="AB46651" s="38"/>
    </row>
    <row r="46652">
      <c r="P46652" s="42"/>
      <c r="AB46652" s="38"/>
    </row>
    <row r="46653">
      <c r="P46653" s="42"/>
      <c r="AB46653" s="38"/>
    </row>
    <row r="46654">
      <c r="P46654" s="42"/>
      <c r="AB46654" s="38"/>
    </row>
    <row r="46655">
      <c r="P46655" s="42"/>
      <c r="AB46655" s="38"/>
    </row>
    <row r="46656">
      <c r="P46656" s="42"/>
      <c r="AB46656" s="38"/>
    </row>
    <row r="46657">
      <c r="P46657" s="42"/>
      <c r="AB46657" s="38"/>
    </row>
    <row r="46658">
      <c r="P46658" s="42"/>
      <c r="AB46658" s="38"/>
    </row>
    <row r="46659">
      <c r="P46659" s="42"/>
      <c r="AB46659" s="38"/>
    </row>
    <row r="46660">
      <c r="P46660" s="42"/>
      <c r="AB46660" s="38"/>
    </row>
    <row r="46661">
      <c r="P46661" s="42"/>
      <c r="AB46661" s="38"/>
    </row>
    <row r="46662">
      <c r="P46662" s="42"/>
      <c r="AB46662" s="38"/>
    </row>
    <row r="46663">
      <c r="P46663" s="42"/>
      <c r="AB46663" s="38"/>
    </row>
    <row r="46664">
      <c r="P46664" s="42"/>
      <c r="AB46664" s="38"/>
    </row>
    <row r="46665">
      <c r="P46665" s="42"/>
      <c r="AB46665" s="38"/>
    </row>
    <row r="46666">
      <c r="P46666" s="42"/>
      <c r="AB46666" s="38"/>
    </row>
    <row r="46667">
      <c r="P46667" s="42"/>
      <c r="AB46667" s="38"/>
    </row>
    <row r="46668">
      <c r="P46668" s="42"/>
      <c r="AB46668" s="38"/>
    </row>
    <row r="46669">
      <c r="P46669" s="42"/>
      <c r="AB46669" s="38"/>
    </row>
    <row r="46670">
      <c r="P46670" s="42"/>
      <c r="AB46670" s="38"/>
    </row>
    <row r="46671">
      <c r="P46671" s="42"/>
      <c r="AB46671" s="38"/>
    </row>
    <row r="46672">
      <c r="P46672" s="42"/>
      <c r="AB46672" s="38"/>
    </row>
    <row r="46673">
      <c r="P46673" s="42"/>
      <c r="AB46673" s="38"/>
    </row>
    <row r="46674">
      <c r="P46674" s="42"/>
      <c r="AB46674" s="38"/>
    </row>
    <row r="46675">
      <c r="P46675" s="42"/>
      <c r="AB46675" s="38"/>
    </row>
    <row r="46676">
      <c r="P46676" s="42"/>
      <c r="AB46676" s="38"/>
    </row>
    <row r="46677">
      <c r="P46677" s="42"/>
      <c r="AB46677" s="38"/>
    </row>
    <row r="46678">
      <c r="P46678" s="42"/>
      <c r="AB46678" s="38"/>
    </row>
    <row r="46679">
      <c r="P46679" s="42"/>
      <c r="AB46679" s="38"/>
    </row>
    <row r="46680">
      <c r="P46680" s="42"/>
      <c r="AB46680" s="38"/>
    </row>
    <row r="46681">
      <c r="P46681" s="42"/>
      <c r="AB46681" s="38"/>
    </row>
    <row r="46682">
      <c r="P46682" s="42"/>
      <c r="AB46682" s="38"/>
    </row>
    <row r="46683">
      <c r="P46683" s="42"/>
      <c r="AB46683" s="38"/>
    </row>
    <row r="46684">
      <c r="P46684" s="42"/>
      <c r="AB46684" s="38"/>
    </row>
    <row r="46685">
      <c r="P46685" s="42"/>
      <c r="AB46685" s="38"/>
    </row>
    <row r="46686">
      <c r="P46686" s="42"/>
      <c r="AB46686" s="38"/>
    </row>
    <row r="46687">
      <c r="P46687" s="42"/>
      <c r="AB46687" s="38"/>
    </row>
    <row r="46688">
      <c r="P46688" s="42"/>
      <c r="AB46688" s="38"/>
    </row>
    <row r="46689">
      <c r="P46689" s="42"/>
      <c r="AB46689" s="38"/>
    </row>
    <row r="46690">
      <c r="P46690" s="42"/>
      <c r="AB46690" s="38"/>
    </row>
    <row r="46691">
      <c r="P46691" s="42"/>
      <c r="AB46691" s="38"/>
    </row>
    <row r="46692">
      <c r="P46692" s="42"/>
      <c r="AB46692" s="38"/>
    </row>
    <row r="46693">
      <c r="P46693" s="42"/>
      <c r="AB46693" s="38"/>
    </row>
    <row r="46694">
      <c r="P46694" s="42"/>
      <c r="AB46694" s="38"/>
    </row>
    <row r="46695">
      <c r="P46695" s="42"/>
      <c r="AB46695" s="38"/>
    </row>
    <row r="46696">
      <c r="P46696" s="42"/>
      <c r="AB46696" s="38"/>
    </row>
    <row r="46697">
      <c r="P46697" s="42"/>
      <c r="AB46697" s="38"/>
    </row>
    <row r="46698">
      <c r="P46698" s="42"/>
      <c r="AB46698" s="38"/>
    </row>
    <row r="46699">
      <c r="P46699" s="42"/>
      <c r="AB46699" s="38"/>
    </row>
    <row r="46700">
      <c r="P46700" s="42"/>
      <c r="AB46700" s="38"/>
    </row>
    <row r="46701">
      <c r="P46701" s="42"/>
      <c r="AB46701" s="38"/>
    </row>
    <row r="46702">
      <c r="P46702" s="42"/>
      <c r="AB46702" s="38"/>
    </row>
    <row r="46703">
      <c r="P46703" s="42"/>
      <c r="AB46703" s="38"/>
    </row>
    <row r="46704">
      <c r="P46704" s="42"/>
      <c r="AB46704" s="38"/>
    </row>
    <row r="46705">
      <c r="P46705" s="42"/>
      <c r="AB46705" s="38"/>
    </row>
    <row r="46706">
      <c r="P46706" s="42"/>
      <c r="AB46706" s="38"/>
    </row>
    <row r="46707">
      <c r="P46707" s="42"/>
      <c r="AB46707" s="38"/>
    </row>
    <row r="46708">
      <c r="P46708" s="42"/>
      <c r="AB46708" s="38"/>
    </row>
    <row r="46709">
      <c r="P46709" s="42"/>
      <c r="AB46709" s="38"/>
    </row>
    <row r="46710">
      <c r="P46710" s="42"/>
      <c r="AB46710" s="38"/>
    </row>
    <row r="46711">
      <c r="P46711" s="42"/>
      <c r="AB46711" s="38"/>
    </row>
    <row r="46712">
      <c r="P46712" s="42"/>
      <c r="AB46712" s="38"/>
    </row>
    <row r="46713">
      <c r="P46713" s="42"/>
      <c r="AB46713" s="38"/>
    </row>
    <row r="46714">
      <c r="P46714" s="42"/>
      <c r="AB46714" s="38"/>
    </row>
    <row r="46715">
      <c r="P46715" s="42"/>
      <c r="AB46715" s="38"/>
    </row>
    <row r="46716">
      <c r="P46716" s="42"/>
      <c r="AB46716" s="38"/>
    </row>
    <row r="46717">
      <c r="P46717" s="42"/>
      <c r="AB46717" s="38"/>
    </row>
    <row r="46718">
      <c r="P46718" s="42"/>
      <c r="AB46718" s="38"/>
    </row>
    <row r="46719">
      <c r="P46719" s="42"/>
      <c r="AB46719" s="38"/>
    </row>
    <row r="46720">
      <c r="P46720" s="42"/>
      <c r="AB46720" s="38"/>
    </row>
    <row r="46721">
      <c r="P46721" s="42"/>
      <c r="AB46721" s="38"/>
    </row>
    <row r="46722">
      <c r="P46722" s="42"/>
      <c r="AB46722" s="38"/>
    </row>
    <row r="46723">
      <c r="P46723" s="42"/>
      <c r="AB46723" s="38"/>
    </row>
    <row r="46724">
      <c r="P46724" s="42"/>
      <c r="AB46724" s="38"/>
    </row>
    <row r="46725">
      <c r="P46725" s="42"/>
      <c r="AB46725" s="38"/>
    </row>
    <row r="46726">
      <c r="P46726" s="42"/>
      <c r="AB46726" s="38"/>
    </row>
    <row r="46727">
      <c r="P46727" s="42"/>
      <c r="AB46727" s="38"/>
    </row>
    <row r="46728">
      <c r="P46728" s="42"/>
      <c r="AB46728" s="38"/>
    </row>
    <row r="46729">
      <c r="P46729" s="42"/>
      <c r="AB46729" s="38"/>
    </row>
    <row r="46730">
      <c r="P46730" s="42"/>
      <c r="AB46730" s="38"/>
    </row>
    <row r="46731">
      <c r="P46731" s="42"/>
      <c r="AB46731" s="38"/>
    </row>
    <row r="46732">
      <c r="P46732" s="42"/>
      <c r="AB46732" s="38"/>
    </row>
    <row r="46733">
      <c r="P46733" s="42"/>
      <c r="AB46733" s="38"/>
    </row>
    <row r="46734">
      <c r="P46734" s="42"/>
      <c r="AB46734" s="38"/>
    </row>
    <row r="46735">
      <c r="P46735" s="42"/>
      <c r="AB46735" s="38"/>
    </row>
    <row r="46736">
      <c r="P46736" s="42"/>
      <c r="AB46736" s="38"/>
    </row>
    <row r="46737">
      <c r="P46737" s="42"/>
      <c r="AB46737" s="38"/>
    </row>
    <row r="46738">
      <c r="P46738" s="42"/>
      <c r="AB46738" s="38"/>
    </row>
    <row r="46739">
      <c r="P46739" s="42"/>
      <c r="AB46739" s="38"/>
    </row>
    <row r="46740">
      <c r="P46740" s="42"/>
      <c r="AB46740" s="38"/>
    </row>
    <row r="46741">
      <c r="P46741" s="42"/>
      <c r="AB46741" s="38"/>
    </row>
    <row r="46742">
      <c r="P46742" s="42"/>
      <c r="AB46742" s="38"/>
    </row>
    <row r="46743">
      <c r="P46743" s="42"/>
      <c r="AB46743" s="38"/>
    </row>
    <row r="46744">
      <c r="P46744" s="42"/>
      <c r="AB46744" s="38"/>
    </row>
    <row r="46745">
      <c r="P46745" s="42"/>
      <c r="AB46745" s="38"/>
    </row>
    <row r="46746">
      <c r="P46746" s="42"/>
      <c r="AB46746" s="38"/>
    </row>
    <row r="46747">
      <c r="P46747" s="42"/>
      <c r="AB46747" s="38"/>
    </row>
    <row r="46748">
      <c r="P46748" s="42"/>
      <c r="AB46748" s="38"/>
    </row>
    <row r="46749">
      <c r="P46749" s="42"/>
      <c r="AB46749" s="38"/>
    </row>
    <row r="46750">
      <c r="P46750" s="42"/>
      <c r="AB46750" s="38"/>
    </row>
    <row r="46751">
      <c r="P46751" s="42"/>
      <c r="AB46751" s="38"/>
    </row>
    <row r="46752">
      <c r="P46752" s="42"/>
      <c r="AB46752" s="38"/>
    </row>
    <row r="46753">
      <c r="P46753" s="42"/>
      <c r="AB46753" s="38"/>
    </row>
    <row r="46754">
      <c r="P46754" s="42"/>
      <c r="AB46754" s="38"/>
    </row>
    <row r="46755">
      <c r="P46755" s="42"/>
      <c r="AB46755" s="38"/>
    </row>
    <row r="46756">
      <c r="P46756" s="42"/>
      <c r="AB46756" s="38"/>
    </row>
    <row r="46757">
      <c r="P46757" s="42"/>
      <c r="AB46757" s="38"/>
    </row>
    <row r="46758">
      <c r="P46758" s="42"/>
      <c r="AB46758" s="38"/>
    </row>
    <row r="46759">
      <c r="P46759" s="42"/>
      <c r="AB46759" s="38"/>
    </row>
    <row r="46760">
      <c r="P46760" s="42"/>
      <c r="AB46760" s="38"/>
    </row>
    <row r="46761">
      <c r="P46761" s="42"/>
      <c r="AB46761" s="38"/>
    </row>
    <row r="46762">
      <c r="P46762" s="42"/>
      <c r="AB46762" s="38"/>
    </row>
    <row r="46763">
      <c r="P46763" s="42"/>
      <c r="AB46763" s="38"/>
    </row>
    <row r="46764">
      <c r="P46764" s="42"/>
      <c r="AB46764" s="38"/>
    </row>
    <row r="46765">
      <c r="P46765" s="42"/>
      <c r="AB46765" s="38"/>
    </row>
    <row r="46766">
      <c r="P46766" s="42"/>
      <c r="AB46766" s="38"/>
    </row>
    <row r="46767">
      <c r="P46767" s="42"/>
      <c r="AB46767" s="38"/>
    </row>
    <row r="46768">
      <c r="P46768" s="42"/>
      <c r="AB46768" s="38"/>
    </row>
    <row r="46769">
      <c r="P46769" s="42"/>
      <c r="AB46769" s="38"/>
    </row>
    <row r="46770">
      <c r="P46770" s="42"/>
      <c r="AB46770" s="38"/>
    </row>
    <row r="46771">
      <c r="P46771" s="42"/>
      <c r="AB46771" s="38"/>
    </row>
    <row r="46772">
      <c r="P46772" s="42"/>
      <c r="AB46772" s="38"/>
    </row>
    <row r="46773">
      <c r="P46773" s="42"/>
      <c r="AB46773" s="38"/>
    </row>
    <row r="46774">
      <c r="P46774" s="42"/>
      <c r="AB46774" s="38"/>
    </row>
    <row r="46775">
      <c r="P46775" s="42"/>
      <c r="AB46775" s="38"/>
    </row>
    <row r="46776">
      <c r="P46776" s="42"/>
      <c r="AB46776" s="38"/>
    </row>
    <row r="46777">
      <c r="P46777" s="42"/>
      <c r="AB46777" s="38"/>
    </row>
    <row r="46778">
      <c r="P46778" s="42"/>
      <c r="AB46778" s="38"/>
    </row>
    <row r="46779">
      <c r="P46779" s="42"/>
      <c r="AB46779" s="38"/>
    </row>
    <row r="46780">
      <c r="P46780" s="42"/>
      <c r="AB46780" s="38"/>
    </row>
    <row r="46781">
      <c r="P46781" s="42"/>
      <c r="AB46781" s="38"/>
    </row>
    <row r="46782">
      <c r="P46782" s="42"/>
      <c r="AB46782" s="38"/>
    </row>
    <row r="46783">
      <c r="P46783" s="42"/>
      <c r="AB46783" s="38"/>
    </row>
    <row r="46784">
      <c r="P46784" s="42"/>
      <c r="AB46784" s="38"/>
    </row>
    <row r="46785">
      <c r="P46785" s="42"/>
      <c r="AB46785" s="38"/>
    </row>
    <row r="46786">
      <c r="P46786" s="42"/>
      <c r="AB46786" s="38"/>
    </row>
    <row r="46787">
      <c r="P46787" s="42"/>
      <c r="AB46787" s="38"/>
    </row>
    <row r="46788">
      <c r="P46788" s="42"/>
      <c r="AB46788" s="38"/>
    </row>
    <row r="46789">
      <c r="P46789" s="42"/>
      <c r="AB46789" s="38"/>
    </row>
    <row r="46790">
      <c r="P46790" s="42"/>
      <c r="AB46790" s="38"/>
    </row>
    <row r="46791">
      <c r="P46791" s="42"/>
      <c r="AB46791" s="38"/>
    </row>
    <row r="46792">
      <c r="P46792" s="42"/>
      <c r="AB46792" s="38"/>
    </row>
    <row r="46793">
      <c r="P46793" s="42"/>
      <c r="AB46793" s="38"/>
    </row>
    <row r="46794">
      <c r="P46794" s="42"/>
      <c r="AB46794" s="38"/>
    </row>
    <row r="46795">
      <c r="P46795" s="42"/>
      <c r="AB46795" s="38"/>
    </row>
    <row r="46796">
      <c r="P46796" s="42"/>
      <c r="AB46796" s="38"/>
    </row>
    <row r="46797">
      <c r="P46797" s="42"/>
      <c r="AB46797" s="38"/>
    </row>
    <row r="46798">
      <c r="P46798" s="42"/>
      <c r="AB46798" s="38"/>
    </row>
    <row r="46799">
      <c r="P46799" s="42"/>
      <c r="AB46799" s="38"/>
    </row>
    <row r="46800">
      <c r="P46800" s="42"/>
      <c r="AB46800" s="38"/>
    </row>
    <row r="46801">
      <c r="P46801" s="42"/>
      <c r="AB46801" s="38"/>
    </row>
    <row r="46802">
      <c r="P46802" s="42"/>
      <c r="AB46802" s="38"/>
    </row>
    <row r="46803">
      <c r="P46803" s="42"/>
      <c r="AB46803" s="38"/>
    </row>
    <row r="46804">
      <c r="P46804" s="42"/>
      <c r="AB46804" s="38"/>
    </row>
    <row r="46805">
      <c r="P46805" s="42"/>
      <c r="AB46805" s="38"/>
    </row>
    <row r="46806">
      <c r="P46806" s="42"/>
      <c r="AB46806" s="38"/>
    </row>
    <row r="46807">
      <c r="P46807" s="42"/>
      <c r="AB46807" s="38"/>
    </row>
    <row r="46808">
      <c r="P46808" s="42"/>
      <c r="AB46808" s="38"/>
    </row>
    <row r="46809">
      <c r="P46809" s="42"/>
      <c r="AB46809" s="38"/>
    </row>
    <row r="46810">
      <c r="P46810" s="42"/>
      <c r="AB46810" s="38"/>
    </row>
    <row r="46811">
      <c r="P46811" s="42"/>
      <c r="AB46811" s="38"/>
    </row>
    <row r="46812">
      <c r="P46812" s="42"/>
      <c r="AB46812" s="38"/>
    </row>
    <row r="46813">
      <c r="P46813" s="42"/>
      <c r="AB46813" s="38"/>
    </row>
    <row r="46814">
      <c r="P46814" s="42"/>
      <c r="AB46814" s="38"/>
    </row>
    <row r="46815">
      <c r="P46815" s="42"/>
      <c r="AB46815" s="38"/>
    </row>
    <row r="46816">
      <c r="P46816" s="42"/>
      <c r="AB46816" s="38"/>
    </row>
    <row r="46817">
      <c r="P46817" s="42"/>
      <c r="AB46817" s="38"/>
    </row>
    <row r="46818">
      <c r="P46818" s="42"/>
      <c r="AB46818" s="38"/>
    </row>
    <row r="46819">
      <c r="P46819" s="42"/>
      <c r="AB46819" s="38"/>
    </row>
    <row r="46820">
      <c r="P46820" s="42"/>
      <c r="AB46820" s="38"/>
    </row>
    <row r="46821">
      <c r="P46821" s="42"/>
      <c r="AB46821" s="38"/>
    </row>
    <row r="46822">
      <c r="P46822" s="42"/>
      <c r="AB46822" s="38"/>
    </row>
    <row r="46823">
      <c r="P46823" s="42"/>
      <c r="AB46823" s="38"/>
    </row>
    <row r="46824">
      <c r="P46824" s="42"/>
      <c r="AB46824" s="38"/>
    </row>
    <row r="46825">
      <c r="P46825" s="42"/>
      <c r="AB46825" s="38"/>
    </row>
    <row r="46826">
      <c r="P46826" s="42"/>
      <c r="AB46826" s="38"/>
    </row>
    <row r="46827">
      <c r="P46827" s="42"/>
      <c r="AB46827" s="38"/>
    </row>
    <row r="46828">
      <c r="P46828" s="42"/>
      <c r="AB46828" s="38"/>
    </row>
    <row r="46829">
      <c r="P46829" s="42"/>
      <c r="AB46829" s="38"/>
    </row>
    <row r="46830">
      <c r="P46830" s="42"/>
      <c r="AB46830" s="38"/>
    </row>
    <row r="46831">
      <c r="P46831" s="42"/>
      <c r="AB46831" s="38"/>
    </row>
    <row r="46832">
      <c r="P46832" s="42"/>
      <c r="AB46832" s="38"/>
    </row>
    <row r="46833">
      <c r="P46833" s="42"/>
      <c r="AB46833" s="38"/>
    </row>
    <row r="46834">
      <c r="P46834" s="42"/>
      <c r="AB46834" s="38"/>
    </row>
    <row r="46835">
      <c r="P46835" s="42"/>
      <c r="AB46835" s="38"/>
    </row>
    <row r="46836">
      <c r="P46836" s="42"/>
      <c r="AB46836" s="38"/>
    </row>
    <row r="46837">
      <c r="P46837" s="42"/>
      <c r="AB46837" s="38"/>
    </row>
    <row r="46838">
      <c r="P46838" s="42"/>
      <c r="AB46838" s="38"/>
    </row>
    <row r="46839">
      <c r="P46839" s="42"/>
      <c r="AB46839" s="38"/>
    </row>
    <row r="46840">
      <c r="P46840" s="42"/>
      <c r="AB46840" s="38"/>
    </row>
    <row r="46841">
      <c r="P46841" s="42"/>
      <c r="AB46841" s="38"/>
    </row>
    <row r="46842">
      <c r="P46842" s="42"/>
      <c r="AB46842" s="38"/>
    </row>
    <row r="46843">
      <c r="P46843" s="42"/>
      <c r="AB46843" s="38"/>
    </row>
    <row r="46844">
      <c r="P46844" s="42"/>
      <c r="AB46844" s="38"/>
    </row>
    <row r="46845">
      <c r="P46845" s="42"/>
      <c r="AB46845" s="38"/>
    </row>
    <row r="46846">
      <c r="P46846" s="42"/>
      <c r="AB46846" s="38"/>
    </row>
    <row r="46847">
      <c r="P46847" s="42"/>
      <c r="AB46847" s="38"/>
    </row>
    <row r="46848">
      <c r="P46848" s="42"/>
      <c r="AB46848" s="38"/>
    </row>
    <row r="46849">
      <c r="P46849" s="42"/>
      <c r="AB46849" s="38"/>
    </row>
    <row r="46850">
      <c r="P46850" s="42"/>
      <c r="AB46850" s="38"/>
    </row>
    <row r="46851">
      <c r="P46851" s="42"/>
      <c r="AB46851" s="38"/>
    </row>
    <row r="46852">
      <c r="P46852" s="42"/>
      <c r="AB46852" s="38"/>
    </row>
    <row r="46853">
      <c r="P46853" s="42"/>
      <c r="AB46853" s="38"/>
    </row>
    <row r="46854">
      <c r="P46854" s="42"/>
      <c r="AB46854" s="38"/>
    </row>
    <row r="46855">
      <c r="P46855" s="42"/>
      <c r="AB46855" s="38"/>
    </row>
    <row r="46856">
      <c r="P46856" s="42"/>
      <c r="AB46856" s="38"/>
    </row>
    <row r="46857">
      <c r="P46857" s="42"/>
      <c r="AB46857" s="38"/>
    </row>
    <row r="46858">
      <c r="P46858" s="42"/>
      <c r="AB46858" s="38"/>
    </row>
    <row r="46859">
      <c r="P46859" s="42"/>
      <c r="AB46859" s="38"/>
    </row>
    <row r="46860">
      <c r="P46860" s="42"/>
      <c r="AB46860" s="38"/>
    </row>
    <row r="46861">
      <c r="P46861" s="42"/>
      <c r="AB46861" s="38"/>
    </row>
    <row r="46862">
      <c r="P46862" s="42"/>
      <c r="AB46862" s="38"/>
    </row>
    <row r="46863">
      <c r="P46863" s="42"/>
      <c r="AB46863" s="38"/>
    </row>
    <row r="46864">
      <c r="P46864" s="42"/>
      <c r="AB46864" s="38"/>
    </row>
    <row r="46865">
      <c r="P46865" s="42"/>
      <c r="AB46865" s="38"/>
    </row>
    <row r="46866">
      <c r="P46866" s="42"/>
      <c r="AB46866" s="38"/>
    </row>
    <row r="46867">
      <c r="P46867" s="42"/>
      <c r="AB46867" s="38"/>
    </row>
    <row r="46868">
      <c r="P46868" s="42"/>
      <c r="AB46868" s="38"/>
    </row>
    <row r="46869">
      <c r="P46869" s="42"/>
      <c r="AB46869" s="38"/>
    </row>
    <row r="46870">
      <c r="P46870" s="42"/>
      <c r="AB46870" s="38"/>
    </row>
    <row r="46871">
      <c r="P46871" s="42"/>
      <c r="AB46871" s="38"/>
    </row>
    <row r="46872">
      <c r="P46872" s="42"/>
      <c r="AB46872" s="38"/>
    </row>
    <row r="46873">
      <c r="P46873" s="42"/>
      <c r="AB46873" s="38"/>
    </row>
    <row r="46874">
      <c r="P46874" s="42"/>
      <c r="AB46874" s="38"/>
    </row>
    <row r="46875">
      <c r="P46875" s="42"/>
      <c r="AB46875" s="38"/>
    </row>
    <row r="46876">
      <c r="P46876" s="42"/>
      <c r="AB46876" s="38"/>
    </row>
    <row r="46877">
      <c r="P46877" s="42"/>
      <c r="AB46877" s="38"/>
    </row>
    <row r="46878">
      <c r="P46878" s="42"/>
      <c r="AB46878" s="38"/>
    </row>
    <row r="46879">
      <c r="P46879" s="42"/>
      <c r="AB46879" s="38"/>
    </row>
    <row r="46880">
      <c r="P46880" s="42"/>
      <c r="AB46880" s="38"/>
    </row>
    <row r="46881">
      <c r="P46881" s="42"/>
      <c r="AB46881" s="38"/>
    </row>
    <row r="46882">
      <c r="P46882" s="42"/>
      <c r="AB46882" s="38"/>
    </row>
    <row r="46883">
      <c r="P46883" s="42"/>
      <c r="AB46883" s="38"/>
    </row>
    <row r="46884">
      <c r="P46884" s="42"/>
      <c r="AB46884" s="38"/>
    </row>
    <row r="46885">
      <c r="P46885" s="42"/>
      <c r="AB46885" s="38"/>
    </row>
    <row r="46886">
      <c r="P46886" s="42"/>
      <c r="AB46886" s="38"/>
    </row>
    <row r="46887">
      <c r="P46887" s="42"/>
      <c r="AB46887" s="38"/>
    </row>
    <row r="46888">
      <c r="P46888" s="42"/>
      <c r="AB46888" s="38"/>
    </row>
    <row r="46889">
      <c r="P46889" s="42"/>
      <c r="AB46889" s="38"/>
    </row>
    <row r="46890">
      <c r="P46890" s="42"/>
      <c r="AB46890" s="38"/>
    </row>
    <row r="46891">
      <c r="P46891" s="42"/>
      <c r="AB46891" s="38"/>
    </row>
    <row r="46892">
      <c r="P46892" s="42"/>
      <c r="AB46892" s="38"/>
    </row>
    <row r="46893">
      <c r="P46893" s="42"/>
      <c r="AB46893" s="38"/>
    </row>
    <row r="46894">
      <c r="P46894" s="42"/>
      <c r="AB46894" s="38"/>
    </row>
    <row r="46895">
      <c r="P46895" s="42"/>
      <c r="AB46895" s="38"/>
    </row>
    <row r="46896">
      <c r="P46896" s="42"/>
      <c r="AB46896" s="38"/>
    </row>
    <row r="46897">
      <c r="P46897" s="42"/>
      <c r="AB46897" s="38"/>
    </row>
    <row r="46898">
      <c r="P46898" s="42"/>
      <c r="AB46898" s="38"/>
    </row>
    <row r="46899">
      <c r="P46899" s="42"/>
      <c r="AB46899" s="38"/>
    </row>
    <row r="46900">
      <c r="P46900" s="42"/>
      <c r="AB46900" s="38"/>
    </row>
    <row r="46901">
      <c r="P46901" s="42"/>
      <c r="AB46901" s="38"/>
    </row>
    <row r="46902">
      <c r="P46902" s="42"/>
      <c r="AB46902" s="38"/>
    </row>
    <row r="46903">
      <c r="P46903" s="42"/>
      <c r="AB46903" s="38"/>
    </row>
    <row r="46904">
      <c r="P46904" s="42"/>
      <c r="AB46904" s="38"/>
    </row>
    <row r="46905">
      <c r="P46905" s="42"/>
      <c r="AB46905" s="38"/>
    </row>
    <row r="46906">
      <c r="P46906" s="42"/>
      <c r="AB46906" s="38"/>
    </row>
    <row r="46907">
      <c r="P46907" s="42"/>
      <c r="AB46907" s="38"/>
    </row>
    <row r="46908">
      <c r="P46908" s="42"/>
      <c r="AB46908" s="38"/>
    </row>
    <row r="46909">
      <c r="P46909" s="42"/>
      <c r="AB46909" s="38"/>
    </row>
    <row r="46910">
      <c r="P46910" s="42"/>
      <c r="AB46910" s="38"/>
    </row>
    <row r="46911">
      <c r="P46911" s="42"/>
      <c r="AB46911" s="38"/>
    </row>
    <row r="46912">
      <c r="P46912" s="42"/>
      <c r="AB46912" s="38"/>
    </row>
    <row r="46913">
      <c r="P46913" s="42"/>
      <c r="AB46913" s="38"/>
    </row>
    <row r="46914">
      <c r="P46914" s="42"/>
      <c r="AB46914" s="38"/>
    </row>
    <row r="46915">
      <c r="P46915" s="42"/>
      <c r="AB46915" s="38"/>
    </row>
    <row r="46916">
      <c r="P46916" s="42"/>
      <c r="AB46916" s="38"/>
    </row>
    <row r="46917">
      <c r="P46917" s="42"/>
      <c r="AB46917" s="38"/>
    </row>
    <row r="46918">
      <c r="P46918" s="42"/>
      <c r="AB46918" s="38"/>
    </row>
    <row r="46919">
      <c r="P46919" s="42"/>
      <c r="AB46919" s="38"/>
    </row>
    <row r="46920">
      <c r="P46920" s="42"/>
      <c r="AB46920" s="38"/>
    </row>
    <row r="46921">
      <c r="P46921" s="42"/>
      <c r="AB46921" s="38"/>
    </row>
    <row r="46922">
      <c r="P46922" s="42"/>
      <c r="AB46922" s="38"/>
    </row>
    <row r="46923">
      <c r="P46923" s="42"/>
      <c r="AB46923" s="38"/>
    </row>
    <row r="46924">
      <c r="P46924" s="42"/>
      <c r="AB46924" s="38"/>
    </row>
    <row r="46925">
      <c r="P46925" s="42"/>
      <c r="AB46925" s="38"/>
    </row>
    <row r="46926">
      <c r="P46926" s="42"/>
      <c r="AB46926" s="38"/>
    </row>
    <row r="46927">
      <c r="P46927" s="42"/>
      <c r="AB46927" s="38"/>
    </row>
    <row r="46928">
      <c r="P46928" s="42"/>
      <c r="AB46928" s="38"/>
    </row>
    <row r="46929">
      <c r="P46929" s="42"/>
      <c r="AB46929" s="38"/>
    </row>
    <row r="46930">
      <c r="P46930" s="42"/>
      <c r="AB46930" s="38"/>
    </row>
    <row r="46931">
      <c r="P46931" s="42"/>
      <c r="AB46931" s="38"/>
    </row>
    <row r="46932">
      <c r="P46932" s="42"/>
      <c r="AB46932" s="38"/>
    </row>
    <row r="46933">
      <c r="P46933" s="42"/>
      <c r="AB46933" s="38"/>
    </row>
    <row r="46934">
      <c r="P46934" s="42"/>
      <c r="AB46934" s="38"/>
    </row>
    <row r="46935">
      <c r="P46935" s="42"/>
      <c r="AB46935" s="38"/>
    </row>
    <row r="46936">
      <c r="P46936" s="42"/>
      <c r="AB46936" s="38"/>
    </row>
    <row r="46937">
      <c r="P46937" s="42"/>
      <c r="AB46937" s="38"/>
    </row>
    <row r="46938">
      <c r="P46938" s="42"/>
      <c r="AB46938" s="38"/>
    </row>
    <row r="46939">
      <c r="P46939" s="42"/>
      <c r="AB46939" s="38"/>
    </row>
    <row r="46940">
      <c r="P46940" s="42"/>
      <c r="AB46940" s="38"/>
    </row>
    <row r="46941">
      <c r="P46941" s="42"/>
      <c r="AB46941" s="38"/>
    </row>
    <row r="46942">
      <c r="P46942" s="42"/>
      <c r="AB46942" s="38"/>
    </row>
    <row r="46943">
      <c r="P46943" s="42"/>
      <c r="AB46943" s="38"/>
    </row>
    <row r="46944">
      <c r="P46944" s="42"/>
      <c r="AB46944" s="38"/>
    </row>
    <row r="46945">
      <c r="P46945" s="42"/>
      <c r="AB46945" s="38"/>
    </row>
    <row r="46946">
      <c r="P46946" s="42"/>
      <c r="AB46946" s="38"/>
    </row>
    <row r="46947">
      <c r="P46947" s="42"/>
      <c r="AB46947" s="38"/>
    </row>
    <row r="46948">
      <c r="P46948" s="42"/>
      <c r="AB46948" s="38"/>
    </row>
    <row r="46949">
      <c r="P46949" s="42"/>
      <c r="AB46949" s="38"/>
    </row>
    <row r="46950">
      <c r="P46950" s="42"/>
      <c r="AB46950" s="38"/>
    </row>
    <row r="46951">
      <c r="P46951" s="42"/>
      <c r="AB46951" s="38"/>
    </row>
    <row r="46952">
      <c r="P46952" s="42"/>
      <c r="AB46952" s="38"/>
    </row>
    <row r="46953">
      <c r="P46953" s="42"/>
      <c r="AB46953" s="38"/>
    </row>
    <row r="46954">
      <c r="P46954" s="42"/>
      <c r="AB46954" s="38"/>
    </row>
    <row r="46955">
      <c r="P46955" s="42"/>
      <c r="AB46955" s="38"/>
    </row>
    <row r="46956">
      <c r="P46956" s="42"/>
      <c r="AB46956" s="38"/>
    </row>
    <row r="46957">
      <c r="P46957" s="42"/>
      <c r="AB46957" s="38"/>
    </row>
    <row r="46958">
      <c r="P46958" s="42"/>
      <c r="AB46958" s="38"/>
    </row>
    <row r="46959">
      <c r="P46959" s="42"/>
      <c r="AB46959" s="38"/>
    </row>
    <row r="46960">
      <c r="P46960" s="42"/>
      <c r="AB46960" s="38"/>
    </row>
    <row r="46961">
      <c r="P46961" s="42"/>
      <c r="AB46961" s="38"/>
    </row>
    <row r="46962">
      <c r="P46962" s="42"/>
      <c r="AB46962" s="38"/>
    </row>
    <row r="46963">
      <c r="P46963" s="42"/>
      <c r="AB46963" s="38"/>
    </row>
    <row r="46964">
      <c r="P46964" s="42"/>
      <c r="AB46964" s="38"/>
    </row>
    <row r="46965">
      <c r="P46965" s="42"/>
      <c r="AB46965" s="38"/>
    </row>
    <row r="46966">
      <c r="P46966" s="42"/>
      <c r="AB46966" s="38"/>
    </row>
    <row r="46967">
      <c r="P46967" s="42"/>
      <c r="AB46967" s="38"/>
    </row>
    <row r="46968">
      <c r="P46968" s="42"/>
      <c r="AB46968" s="38"/>
    </row>
    <row r="46969">
      <c r="P46969" s="42"/>
      <c r="AB46969" s="38"/>
    </row>
    <row r="46970">
      <c r="P46970" s="42"/>
      <c r="AB46970" s="38"/>
    </row>
    <row r="46971">
      <c r="P46971" s="42"/>
      <c r="AB46971" s="38"/>
    </row>
    <row r="46972">
      <c r="P46972" s="42"/>
      <c r="AB46972" s="38"/>
    </row>
    <row r="46973">
      <c r="P46973" s="42"/>
      <c r="AB46973" s="38"/>
    </row>
    <row r="46974">
      <c r="P46974" s="42"/>
      <c r="AB46974" s="38"/>
    </row>
    <row r="46975">
      <c r="P46975" s="42"/>
      <c r="AB46975" s="38"/>
    </row>
    <row r="46976">
      <c r="P46976" s="42"/>
      <c r="AB46976" s="38"/>
    </row>
    <row r="46977">
      <c r="P46977" s="42"/>
      <c r="AB46977" s="38"/>
    </row>
    <row r="46978">
      <c r="P46978" s="42"/>
      <c r="AB46978" s="38"/>
    </row>
    <row r="46979">
      <c r="P46979" s="42"/>
      <c r="AB46979" s="38"/>
    </row>
    <row r="46980">
      <c r="P46980" s="42"/>
      <c r="AB46980" s="38"/>
    </row>
    <row r="46981">
      <c r="P46981" s="42"/>
      <c r="AB46981" s="38"/>
    </row>
    <row r="46982">
      <c r="P46982" s="42"/>
      <c r="AB46982" s="38"/>
    </row>
    <row r="46983">
      <c r="P46983" s="42"/>
      <c r="AB46983" s="38"/>
    </row>
    <row r="46984">
      <c r="P46984" s="42"/>
      <c r="AB46984" s="38"/>
    </row>
    <row r="46985">
      <c r="P46985" s="42"/>
      <c r="AB46985" s="38"/>
    </row>
    <row r="46986">
      <c r="P46986" s="42"/>
      <c r="AB46986" s="38"/>
    </row>
    <row r="46987">
      <c r="P46987" s="42"/>
      <c r="AB46987" s="38"/>
    </row>
    <row r="46988">
      <c r="P46988" s="42"/>
      <c r="AB46988" s="38"/>
    </row>
    <row r="46989">
      <c r="P46989" s="42"/>
      <c r="AB46989" s="38"/>
    </row>
    <row r="46990">
      <c r="P46990" s="42"/>
      <c r="AB46990" s="38"/>
    </row>
    <row r="46991">
      <c r="P46991" s="42"/>
      <c r="AB46991" s="38"/>
    </row>
    <row r="46992">
      <c r="P46992" s="42"/>
      <c r="AB46992" s="38"/>
    </row>
    <row r="46993">
      <c r="P46993" s="42"/>
      <c r="AB46993" s="38"/>
    </row>
    <row r="46994">
      <c r="P46994" s="42"/>
      <c r="AB46994" s="38"/>
    </row>
    <row r="46995">
      <c r="P46995" s="42"/>
      <c r="AB46995" s="38"/>
    </row>
    <row r="46996">
      <c r="P46996" s="42"/>
      <c r="AB46996" s="38"/>
    </row>
    <row r="46997">
      <c r="P46997" s="42"/>
      <c r="AB46997" s="38"/>
    </row>
    <row r="46998">
      <c r="P46998" s="42"/>
      <c r="AB46998" s="38"/>
    </row>
    <row r="46999">
      <c r="P46999" s="42"/>
      <c r="AB46999" s="38"/>
    </row>
    <row r="47000">
      <c r="P47000" s="42"/>
      <c r="AB47000" s="38"/>
    </row>
    <row r="47001">
      <c r="P47001" s="42"/>
      <c r="AB47001" s="38"/>
    </row>
    <row r="47002">
      <c r="P47002" s="42"/>
      <c r="AB47002" s="38"/>
    </row>
    <row r="47003">
      <c r="P47003" s="42"/>
      <c r="AB47003" s="38"/>
    </row>
    <row r="47004">
      <c r="P47004" s="42"/>
      <c r="AB47004" s="38"/>
    </row>
    <row r="47005">
      <c r="P47005" s="42"/>
      <c r="AB47005" s="38"/>
    </row>
    <row r="47006">
      <c r="P47006" s="42"/>
      <c r="AB47006" s="38"/>
    </row>
    <row r="47007">
      <c r="P47007" s="42"/>
      <c r="AB47007" s="38"/>
    </row>
    <row r="47008">
      <c r="P47008" s="42"/>
      <c r="AB47008" s="38"/>
    </row>
    <row r="47009">
      <c r="P47009" s="42"/>
      <c r="AB47009" s="38"/>
    </row>
    <row r="47010">
      <c r="P47010" s="42"/>
      <c r="AB47010" s="38"/>
    </row>
    <row r="47011">
      <c r="P47011" s="42"/>
      <c r="AB47011" s="38"/>
    </row>
    <row r="47012">
      <c r="P47012" s="42"/>
      <c r="AB47012" s="38"/>
    </row>
    <row r="47013">
      <c r="P47013" s="42"/>
      <c r="AB47013" s="38"/>
    </row>
    <row r="47014">
      <c r="P47014" s="42"/>
      <c r="AB47014" s="38"/>
    </row>
    <row r="47015">
      <c r="P47015" s="42"/>
      <c r="AB47015" s="38"/>
    </row>
    <row r="47016">
      <c r="P47016" s="42"/>
      <c r="AB47016" s="38"/>
    </row>
    <row r="47017">
      <c r="P47017" s="42"/>
      <c r="AB47017" s="38"/>
    </row>
    <row r="47018">
      <c r="P47018" s="42"/>
      <c r="AB47018" s="38"/>
    </row>
    <row r="47019">
      <c r="P47019" s="42"/>
      <c r="AB47019" s="38"/>
    </row>
    <row r="47020">
      <c r="P47020" s="42"/>
      <c r="AB47020" s="38"/>
    </row>
    <row r="47021">
      <c r="P47021" s="42"/>
      <c r="AB47021" s="38"/>
    </row>
    <row r="47022">
      <c r="P47022" s="42"/>
      <c r="AB47022" s="38"/>
    </row>
    <row r="47023">
      <c r="P47023" s="42"/>
      <c r="AB47023" s="38"/>
    </row>
    <row r="47024">
      <c r="P47024" s="42"/>
      <c r="AB47024" s="38"/>
    </row>
    <row r="47025">
      <c r="P47025" s="42"/>
      <c r="AB47025" s="38"/>
    </row>
    <row r="47026">
      <c r="P47026" s="42"/>
      <c r="AB47026" s="38"/>
    </row>
    <row r="47027">
      <c r="P47027" s="42"/>
      <c r="AB47027" s="38"/>
    </row>
    <row r="47028">
      <c r="P47028" s="42"/>
      <c r="AB47028" s="38"/>
    </row>
    <row r="47029">
      <c r="P47029" s="42"/>
      <c r="AB47029" s="38"/>
    </row>
    <row r="47030">
      <c r="P47030" s="42"/>
      <c r="AB47030" s="38"/>
    </row>
    <row r="47031">
      <c r="P47031" s="42"/>
      <c r="AB47031" s="38"/>
    </row>
    <row r="47032">
      <c r="P47032" s="42"/>
      <c r="AB47032" s="38"/>
    </row>
    <row r="47033">
      <c r="P47033" s="42"/>
      <c r="AB47033" s="38"/>
    </row>
    <row r="47034">
      <c r="P47034" s="42"/>
      <c r="AB47034" s="38"/>
    </row>
    <row r="47035">
      <c r="P47035" s="42"/>
      <c r="AB47035" s="38"/>
    </row>
    <row r="47036">
      <c r="P47036" s="42"/>
      <c r="AB47036" s="38"/>
    </row>
    <row r="47037">
      <c r="P47037" s="42"/>
      <c r="AB47037" s="38"/>
    </row>
    <row r="47038">
      <c r="P47038" s="42"/>
      <c r="AB47038" s="38"/>
    </row>
    <row r="47039">
      <c r="P47039" s="42"/>
      <c r="AB47039" s="38"/>
    </row>
    <row r="47040">
      <c r="P47040" s="42"/>
      <c r="AB47040" s="38"/>
    </row>
    <row r="47041">
      <c r="P47041" s="42"/>
      <c r="AB47041" s="38"/>
    </row>
    <row r="47042">
      <c r="P47042" s="42"/>
      <c r="AB47042" s="38"/>
    </row>
    <row r="47043">
      <c r="P47043" s="42"/>
      <c r="AB47043" s="38"/>
    </row>
    <row r="47044">
      <c r="P47044" s="42"/>
      <c r="AB47044" s="38"/>
    </row>
    <row r="47045">
      <c r="P47045" s="42"/>
      <c r="AB47045" s="38"/>
    </row>
    <row r="47046">
      <c r="P47046" s="42"/>
      <c r="AB47046" s="38"/>
    </row>
    <row r="47047">
      <c r="P47047" s="42"/>
      <c r="AB47047" s="38"/>
    </row>
    <row r="47048">
      <c r="P47048" s="42"/>
      <c r="AB47048" s="38"/>
    </row>
    <row r="47049">
      <c r="P47049" s="42"/>
      <c r="AB47049" s="38"/>
    </row>
    <row r="47050">
      <c r="P47050" s="42"/>
      <c r="AB47050" s="38"/>
    </row>
    <row r="47051">
      <c r="P47051" s="42"/>
      <c r="AB47051" s="38"/>
    </row>
    <row r="47052">
      <c r="P47052" s="42"/>
      <c r="AB47052" s="38"/>
    </row>
    <row r="47053">
      <c r="P47053" s="42"/>
      <c r="AB47053" s="38"/>
    </row>
    <row r="47054">
      <c r="P47054" s="42"/>
      <c r="AB47054" s="38"/>
    </row>
    <row r="47055">
      <c r="P47055" s="42"/>
      <c r="AB47055" s="38"/>
    </row>
    <row r="47056">
      <c r="P47056" s="42"/>
      <c r="AB47056" s="38"/>
    </row>
    <row r="47057">
      <c r="P47057" s="42"/>
      <c r="AB47057" s="38"/>
    </row>
    <row r="47058">
      <c r="P47058" s="42"/>
      <c r="AB47058" s="38"/>
    </row>
    <row r="47059">
      <c r="P47059" s="42"/>
      <c r="AB47059" s="38"/>
    </row>
    <row r="47060">
      <c r="P47060" s="42"/>
      <c r="AB47060" s="38"/>
    </row>
    <row r="47061">
      <c r="P47061" s="42"/>
      <c r="AB47061" s="38"/>
    </row>
    <row r="47062">
      <c r="P47062" s="42"/>
      <c r="AB47062" s="38"/>
    </row>
    <row r="47063">
      <c r="P47063" s="42"/>
      <c r="AB47063" s="38"/>
    </row>
    <row r="47064">
      <c r="P47064" s="42"/>
      <c r="AB47064" s="38"/>
    </row>
    <row r="47065">
      <c r="P47065" s="42"/>
      <c r="AB47065" s="38"/>
    </row>
    <row r="47066">
      <c r="P47066" s="42"/>
      <c r="AB47066" s="38"/>
    </row>
    <row r="47067">
      <c r="P47067" s="42"/>
      <c r="AB47067" s="38"/>
    </row>
    <row r="47068">
      <c r="P47068" s="42"/>
      <c r="AB47068" s="38"/>
    </row>
    <row r="47069">
      <c r="P47069" s="42"/>
      <c r="AB47069" s="38"/>
    </row>
    <row r="47070">
      <c r="P47070" s="42"/>
      <c r="AB47070" s="38"/>
    </row>
    <row r="47071">
      <c r="P47071" s="42"/>
      <c r="AB47071" s="38"/>
    </row>
    <row r="47072">
      <c r="P47072" s="42"/>
      <c r="AB47072" s="38"/>
    </row>
    <row r="47073">
      <c r="P47073" s="42"/>
      <c r="AB47073" s="38"/>
    </row>
    <row r="47074">
      <c r="P47074" s="42"/>
      <c r="AB47074" s="38"/>
    </row>
    <row r="47075">
      <c r="P47075" s="42"/>
      <c r="AB47075" s="38"/>
    </row>
    <row r="47076">
      <c r="P47076" s="42"/>
      <c r="AB47076" s="38"/>
    </row>
    <row r="47077">
      <c r="P47077" s="42"/>
      <c r="AB47077" s="38"/>
    </row>
    <row r="47078">
      <c r="P47078" s="42"/>
      <c r="AB47078" s="38"/>
    </row>
    <row r="47079">
      <c r="P47079" s="42"/>
      <c r="AB47079" s="38"/>
    </row>
    <row r="47080">
      <c r="P47080" s="42"/>
      <c r="AB47080" s="38"/>
    </row>
    <row r="47081">
      <c r="P47081" s="42"/>
      <c r="AB47081" s="38"/>
    </row>
    <row r="47082">
      <c r="P47082" s="42"/>
      <c r="AB47082" s="38"/>
    </row>
    <row r="47083">
      <c r="P47083" s="42"/>
      <c r="AB47083" s="38"/>
    </row>
    <row r="47084">
      <c r="P47084" s="42"/>
      <c r="AB47084" s="38"/>
    </row>
    <row r="47085">
      <c r="P47085" s="42"/>
      <c r="AB47085" s="38"/>
    </row>
    <row r="47086">
      <c r="P47086" s="42"/>
      <c r="AB47086" s="38"/>
    </row>
    <row r="47087">
      <c r="P47087" s="42"/>
      <c r="AB47087" s="38"/>
    </row>
    <row r="47088">
      <c r="P47088" s="42"/>
      <c r="AB47088" s="38"/>
    </row>
    <row r="47089">
      <c r="P47089" s="42"/>
      <c r="AB47089" s="38"/>
    </row>
    <row r="47090">
      <c r="P47090" s="42"/>
      <c r="AB47090" s="38"/>
    </row>
    <row r="47091">
      <c r="P47091" s="42"/>
      <c r="AB47091" s="38"/>
    </row>
    <row r="47092">
      <c r="P47092" s="42"/>
      <c r="AB47092" s="38"/>
    </row>
    <row r="47093">
      <c r="P47093" s="42"/>
      <c r="AB47093" s="38"/>
    </row>
    <row r="47094">
      <c r="P47094" s="42"/>
      <c r="AB47094" s="38"/>
    </row>
    <row r="47095">
      <c r="P47095" s="42"/>
      <c r="AB47095" s="38"/>
    </row>
    <row r="47096">
      <c r="P47096" s="42"/>
      <c r="AB47096" s="38"/>
    </row>
    <row r="47097">
      <c r="P47097" s="42"/>
      <c r="AB47097" s="38"/>
    </row>
    <row r="47098">
      <c r="P47098" s="42"/>
      <c r="AB47098" s="38"/>
    </row>
    <row r="47099">
      <c r="P47099" s="42"/>
      <c r="AB47099" s="38"/>
    </row>
    <row r="47100">
      <c r="P47100" s="42"/>
      <c r="AB47100" s="38"/>
    </row>
    <row r="47101">
      <c r="P47101" s="42"/>
      <c r="AB47101" s="38"/>
    </row>
    <row r="47102">
      <c r="P47102" s="42"/>
      <c r="AB47102" s="38"/>
    </row>
    <row r="47103">
      <c r="P47103" s="42"/>
      <c r="AB47103" s="38"/>
    </row>
    <row r="47104">
      <c r="P47104" s="42"/>
      <c r="AB47104" s="38"/>
    </row>
    <row r="47105">
      <c r="P47105" s="42"/>
      <c r="AB47105" s="38"/>
    </row>
    <row r="47106">
      <c r="P47106" s="42"/>
      <c r="AB47106" s="38"/>
    </row>
    <row r="47107">
      <c r="P47107" s="42"/>
      <c r="AB47107" s="38"/>
    </row>
    <row r="47108">
      <c r="P47108" s="42"/>
      <c r="AB47108" s="38"/>
    </row>
    <row r="47109">
      <c r="P47109" s="42"/>
      <c r="AB47109" s="38"/>
    </row>
    <row r="47110">
      <c r="P47110" s="42"/>
      <c r="AB47110" s="38"/>
    </row>
    <row r="47111">
      <c r="P47111" s="42"/>
      <c r="AB47111" s="38"/>
    </row>
    <row r="47112">
      <c r="P47112" s="42"/>
      <c r="AB47112" s="38"/>
    </row>
    <row r="47113">
      <c r="P47113" s="42"/>
      <c r="AB47113" s="38"/>
    </row>
    <row r="47114">
      <c r="P47114" s="42"/>
      <c r="AB47114" s="38"/>
    </row>
    <row r="47115">
      <c r="P47115" s="42"/>
      <c r="AB47115" s="38"/>
    </row>
    <row r="47116">
      <c r="P47116" s="42"/>
      <c r="AB47116" s="38"/>
    </row>
    <row r="47117">
      <c r="P47117" s="42"/>
      <c r="AB47117" s="38"/>
    </row>
    <row r="47118">
      <c r="P47118" s="42"/>
      <c r="AB47118" s="38"/>
    </row>
    <row r="47119">
      <c r="P47119" s="42"/>
      <c r="AB47119" s="38"/>
    </row>
    <row r="47120">
      <c r="P47120" s="42"/>
      <c r="AB47120" s="38"/>
    </row>
    <row r="47121">
      <c r="P47121" s="42"/>
      <c r="AB47121" s="38"/>
    </row>
    <row r="47122">
      <c r="P47122" s="42"/>
      <c r="AB47122" s="38"/>
    </row>
    <row r="47123">
      <c r="P47123" s="42"/>
      <c r="AB47123" s="38"/>
    </row>
    <row r="47124">
      <c r="P47124" s="42"/>
      <c r="AB47124" s="38"/>
    </row>
    <row r="47125">
      <c r="P47125" s="42"/>
      <c r="AB47125" s="38"/>
    </row>
    <row r="47126">
      <c r="P47126" s="42"/>
      <c r="AB47126" s="38"/>
    </row>
    <row r="47127">
      <c r="P47127" s="42"/>
      <c r="AB47127" s="38"/>
    </row>
    <row r="47128">
      <c r="P47128" s="42"/>
      <c r="AB47128" s="38"/>
    </row>
    <row r="47129">
      <c r="P47129" s="42"/>
      <c r="AB47129" s="38"/>
    </row>
    <row r="47130">
      <c r="P47130" s="42"/>
      <c r="AB47130" s="38"/>
    </row>
    <row r="47131">
      <c r="P47131" s="42"/>
      <c r="AB47131" s="38"/>
    </row>
    <row r="47132">
      <c r="P47132" s="42"/>
      <c r="AB47132" s="38"/>
    </row>
    <row r="47133">
      <c r="P47133" s="42"/>
      <c r="AB47133" s="38"/>
    </row>
    <row r="47134">
      <c r="P47134" s="42"/>
      <c r="AB47134" s="38"/>
    </row>
    <row r="47135">
      <c r="P47135" s="42"/>
      <c r="AB47135" s="38"/>
    </row>
    <row r="47136">
      <c r="P47136" s="42"/>
      <c r="AB47136" s="38"/>
    </row>
    <row r="47137">
      <c r="P47137" s="42"/>
      <c r="AB47137" s="38"/>
    </row>
    <row r="47138">
      <c r="P47138" s="42"/>
      <c r="AB47138" s="38"/>
    </row>
    <row r="47139">
      <c r="P47139" s="42"/>
      <c r="AB47139" s="38"/>
    </row>
    <row r="47140">
      <c r="P47140" s="42"/>
      <c r="AB47140" s="38"/>
    </row>
    <row r="47141">
      <c r="P47141" s="42"/>
      <c r="AB47141" s="38"/>
    </row>
    <row r="47142">
      <c r="P47142" s="42"/>
      <c r="AB47142" s="38"/>
    </row>
    <row r="47143">
      <c r="P47143" s="42"/>
      <c r="AB47143" s="38"/>
    </row>
    <row r="47144">
      <c r="P47144" s="42"/>
      <c r="AB47144" s="38"/>
    </row>
    <row r="47145">
      <c r="P47145" s="42"/>
      <c r="AB47145" s="38"/>
    </row>
    <row r="47146">
      <c r="P47146" s="42"/>
      <c r="AB47146" s="38"/>
    </row>
    <row r="47147">
      <c r="P47147" s="42"/>
      <c r="AB47147" s="38"/>
    </row>
    <row r="47148">
      <c r="P47148" s="42"/>
      <c r="AB47148" s="38"/>
    </row>
    <row r="47149">
      <c r="P47149" s="42"/>
      <c r="AB47149" s="38"/>
    </row>
    <row r="47150">
      <c r="P47150" s="42"/>
      <c r="AB47150" s="38"/>
    </row>
    <row r="47151">
      <c r="P47151" s="42"/>
      <c r="AB47151" s="38"/>
    </row>
    <row r="47152">
      <c r="P47152" s="42"/>
      <c r="AB47152" s="38"/>
    </row>
    <row r="47153">
      <c r="P47153" s="42"/>
      <c r="AB47153" s="38"/>
    </row>
    <row r="47154">
      <c r="P47154" s="42"/>
      <c r="AB47154" s="38"/>
    </row>
    <row r="47155">
      <c r="P47155" s="42"/>
      <c r="AB47155" s="38"/>
    </row>
    <row r="47156">
      <c r="P47156" s="42"/>
      <c r="AB47156" s="38"/>
    </row>
    <row r="47157">
      <c r="P47157" s="42"/>
      <c r="AB47157" s="38"/>
    </row>
    <row r="47158">
      <c r="P47158" s="42"/>
      <c r="AB47158" s="38"/>
    </row>
    <row r="47159">
      <c r="P47159" s="42"/>
      <c r="AB47159" s="38"/>
    </row>
    <row r="47160">
      <c r="P47160" s="42"/>
      <c r="AB47160" s="38"/>
    </row>
    <row r="47161">
      <c r="P47161" s="42"/>
      <c r="AB47161" s="38"/>
    </row>
    <row r="47162">
      <c r="P47162" s="42"/>
      <c r="AB47162" s="38"/>
    </row>
    <row r="47163">
      <c r="P47163" s="42"/>
      <c r="AB47163" s="38"/>
    </row>
    <row r="47164">
      <c r="P47164" s="42"/>
      <c r="AB47164" s="38"/>
    </row>
    <row r="47165">
      <c r="P47165" s="42"/>
      <c r="AB47165" s="38"/>
    </row>
    <row r="47166">
      <c r="P47166" s="42"/>
      <c r="AB47166" s="38"/>
    </row>
    <row r="47167">
      <c r="P47167" s="42"/>
      <c r="AB47167" s="38"/>
    </row>
    <row r="47168">
      <c r="P47168" s="42"/>
      <c r="AB47168" s="38"/>
    </row>
    <row r="47169">
      <c r="P47169" s="42"/>
      <c r="AB47169" s="38"/>
    </row>
    <row r="47170">
      <c r="P47170" s="42"/>
      <c r="AB47170" s="38"/>
    </row>
    <row r="47171">
      <c r="P47171" s="42"/>
      <c r="AB47171" s="38"/>
    </row>
    <row r="47172">
      <c r="P47172" s="42"/>
      <c r="AB47172" s="38"/>
    </row>
    <row r="47173">
      <c r="P47173" s="42"/>
      <c r="AB47173" s="38"/>
    </row>
    <row r="47174">
      <c r="P47174" s="42"/>
      <c r="AB47174" s="38"/>
    </row>
    <row r="47175">
      <c r="P47175" s="42"/>
      <c r="AB47175" s="38"/>
    </row>
    <row r="47176">
      <c r="P47176" s="42"/>
      <c r="AB47176" s="38"/>
    </row>
    <row r="47177">
      <c r="P47177" s="42"/>
      <c r="AB47177" s="38"/>
    </row>
    <row r="47178">
      <c r="P47178" s="42"/>
      <c r="AB47178" s="38"/>
    </row>
    <row r="47179">
      <c r="P47179" s="42"/>
      <c r="AB47179" s="38"/>
    </row>
    <row r="47180">
      <c r="P47180" s="42"/>
      <c r="AB47180" s="38"/>
    </row>
    <row r="47181">
      <c r="P47181" s="42"/>
      <c r="AB47181" s="38"/>
    </row>
    <row r="47182">
      <c r="P47182" s="42"/>
      <c r="AB47182" s="38"/>
    </row>
    <row r="47183">
      <c r="P47183" s="42"/>
      <c r="AB47183" s="38"/>
    </row>
    <row r="47184">
      <c r="P47184" s="42"/>
      <c r="AB47184" s="38"/>
    </row>
    <row r="47185">
      <c r="P47185" s="42"/>
      <c r="AB47185" s="38"/>
    </row>
    <row r="47186">
      <c r="P47186" s="42"/>
      <c r="AB47186" s="38"/>
    </row>
    <row r="47187">
      <c r="P47187" s="42"/>
      <c r="AB47187" s="38"/>
    </row>
    <row r="47188">
      <c r="P47188" s="42"/>
      <c r="AB47188" s="38"/>
    </row>
    <row r="47189">
      <c r="P47189" s="42"/>
      <c r="AB47189" s="38"/>
    </row>
    <row r="47190">
      <c r="P47190" s="42"/>
      <c r="AB47190" s="38"/>
    </row>
    <row r="47191">
      <c r="P47191" s="42"/>
      <c r="AB47191" s="38"/>
    </row>
    <row r="47192">
      <c r="P47192" s="42"/>
      <c r="AB47192" s="38"/>
    </row>
    <row r="47193">
      <c r="P47193" s="42"/>
      <c r="AB47193" s="38"/>
    </row>
    <row r="47194">
      <c r="P47194" s="42"/>
      <c r="AB47194" s="38"/>
    </row>
    <row r="47195">
      <c r="P47195" s="42"/>
      <c r="AB47195" s="38"/>
    </row>
    <row r="47196">
      <c r="P47196" s="42"/>
      <c r="AB47196" s="38"/>
    </row>
    <row r="47197">
      <c r="P47197" s="42"/>
      <c r="AB47197" s="38"/>
    </row>
    <row r="47198">
      <c r="P47198" s="42"/>
      <c r="AB47198" s="38"/>
    </row>
    <row r="47199">
      <c r="P47199" s="42"/>
      <c r="AB47199" s="38"/>
    </row>
    <row r="47200">
      <c r="P47200" s="42"/>
      <c r="AB47200" s="38"/>
    </row>
    <row r="47201">
      <c r="P47201" s="42"/>
      <c r="AB47201" s="38"/>
    </row>
    <row r="47202">
      <c r="P47202" s="42"/>
      <c r="AB47202" s="38"/>
    </row>
    <row r="47203">
      <c r="P47203" s="42"/>
      <c r="AB47203" s="38"/>
    </row>
    <row r="47204">
      <c r="P47204" s="42"/>
      <c r="AB47204" s="38"/>
    </row>
    <row r="47205">
      <c r="P47205" s="42"/>
      <c r="AB47205" s="38"/>
    </row>
    <row r="47206">
      <c r="P47206" s="42"/>
      <c r="AB47206" s="38"/>
    </row>
    <row r="47207">
      <c r="P47207" s="42"/>
      <c r="AB47207" s="38"/>
    </row>
    <row r="47208">
      <c r="P47208" s="42"/>
      <c r="AB47208" s="38"/>
    </row>
    <row r="47209">
      <c r="P47209" s="42"/>
      <c r="AB47209" s="38"/>
    </row>
    <row r="47210">
      <c r="P47210" s="42"/>
      <c r="AB47210" s="38"/>
    </row>
    <row r="47211">
      <c r="P47211" s="42"/>
      <c r="AB47211" s="38"/>
    </row>
    <row r="47212">
      <c r="P47212" s="42"/>
      <c r="AB47212" s="38"/>
    </row>
    <row r="47213">
      <c r="P47213" s="42"/>
      <c r="AB47213" s="38"/>
    </row>
    <row r="47214">
      <c r="P47214" s="42"/>
      <c r="AB47214" s="38"/>
    </row>
    <row r="47215">
      <c r="P47215" s="42"/>
      <c r="AB47215" s="38"/>
    </row>
    <row r="47216">
      <c r="P47216" s="42"/>
      <c r="AB47216" s="38"/>
    </row>
    <row r="47217">
      <c r="P47217" s="42"/>
      <c r="AB47217" s="38"/>
    </row>
    <row r="47218">
      <c r="P47218" s="42"/>
      <c r="AB47218" s="38"/>
    </row>
    <row r="47219">
      <c r="P47219" s="42"/>
      <c r="AB47219" s="38"/>
    </row>
    <row r="47220">
      <c r="P47220" s="42"/>
      <c r="AB47220" s="38"/>
    </row>
    <row r="47221">
      <c r="P47221" s="42"/>
      <c r="AB47221" s="38"/>
    </row>
    <row r="47222">
      <c r="P47222" s="42"/>
      <c r="AB47222" s="38"/>
    </row>
    <row r="47223">
      <c r="P47223" s="42"/>
      <c r="AB47223" s="38"/>
    </row>
    <row r="47224">
      <c r="P47224" s="42"/>
      <c r="AB47224" s="38"/>
    </row>
    <row r="47225">
      <c r="P47225" s="42"/>
      <c r="AB47225" s="38"/>
    </row>
    <row r="47226">
      <c r="P47226" s="42"/>
      <c r="AB47226" s="38"/>
    </row>
    <row r="47227">
      <c r="P47227" s="42"/>
      <c r="AB47227" s="38"/>
    </row>
    <row r="47228">
      <c r="P47228" s="42"/>
      <c r="AB47228" s="38"/>
    </row>
    <row r="47229">
      <c r="P47229" s="42"/>
      <c r="AB47229" s="38"/>
    </row>
    <row r="47230">
      <c r="P47230" s="42"/>
      <c r="AB47230" s="38"/>
    </row>
    <row r="47231">
      <c r="P47231" s="42"/>
      <c r="AB47231" s="38"/>
    </row>
    <row r="47232">
      <c r="P47232" s="42"/>
      <c r="AB47232" s="38"/>
    </row>
    <row r="47233">
      <c r="P47233" s="42"/>
      <c r="AB47233" s="38"/>
    </row>
    <row r="47234">
      <c r="P47234" s="42"/>
      <c r="AB47234" s="38"/>
    </row>
    <row r="47235">
      <c r="P47235" s="42"/>
      <c r="AB47235" s="38"/>
    </row>
    <row r="47236">
      <c r="P47236" s="42"/>
      <c r="AB47236" s="38"/>
    </row>
    <row r="47237">
      <c r="P47237" s="42"/>
      <c r="AB47237" s="38"/>
    </row>
    <row r="47238">
      <c r="P47238" s="42"/>
      <c r="AB47238" s="38"/>
    </row>
    <row r="47239">
      <c r="P47239" s="42"/>
      <c r="AB47239" s="38"/>
    </row>
    <row r="47240">
      <c r="P47240" s="42"/>
      <c r="AB47240" s="38"/>
    </row>
    <row r="47241">
      <c r="P47241" s="42"/>
      <c r="AB47241" s="38"/>
    </row>
    <row r="47242">
      <c r="P47242" s="42"/>
      <c r="AB47242" s="38"/>
    </row>
    <row r="47243">
      <c r="P47243" s="42"/>
      <c r="AB47243" s="38"/>
    </row>
    <row r="47244">
      <c r="P47244" s="42"/>
      <c r="AB47244" s="38"/>
    </row>
    <row r="47245">
      <c r="P47245" s="42"/>
      <c r="AB47245" s="38"/>
    </row>
    <row r="47246">
      <c r="P47246" s="42"/>
      <c r="AB47246" s="38"/>
    </row>
    <row r="47247">
      <c r="P47247" s="42"/>
      <c r="AB47247" s="38"/>
    </row>
    <row r="47248">
      <c r="P47248" s="42"/>
      <c r="AB47248" s="38"/>
    </row>
    <row r="47249">
      <c r="P47249" s="42"/>
      <c r="AB47249" s="38"/>
    </row>
    <row r="47250">
      <c r="P47250" s="42"/>
      <c r="AB47250" s="38"/>
    </row>
    <row r="47251">
      <c r="P47251" s="42"/>
      <c r="AB47251" s="38"/>
    </row>
    <row r="47252">
      <c r="P47252" s="42"/>
      <c r="AB47252" s="38"/>
    </row>
    <row r="47253">
      <c r="P47253" s="42"/>
      <c r="AB47253" s="38"/>
    </row>
    <row r="47254">
      <c r="P47254" s="42"/>
      <c r="AB47254" s="38"/>
    </row>
    <row r="47255">
      <c r="P47255" s="42"/>
      <c r="AB47255" s="38"/>
    </row>
    <row r="47256">
      <c r="P47256" s="42"/>
      <c r="AB47256" s="38"/>
    </row>
    <row r="47257">
      <c r="P47257" s="42"/>
      <c r="AB47257" s="38"/>
    </row>
    <row r="47258">
      <c r="P47258" s="42"/>
      <c r="AB47258" s="38"/>
    </row>
    <row r="47259">
      <c r="P47259" s="42"/>
      <c r="AB47259" s="38"/>
    </row>
    <row r="47260">
      <c r="P47260" s="42"/>
      <c r="AB47260" s="38"/>
    </row>
    <row r="47261">
      <c r="P47261" s="42"/>
      <c r="AB47261" s="38"/>
    </row>
    <row r="47262">
      <c r="P47262" s="42"/>
      <c r="AB47262" s="38"/>
    </row>
    <row r="47263">
      <c r="P47263" s="42"/>
      <c r="AB47263" s="38"/>
    </row>
    <row r="47264">
      <c r="P47264" s="42"/>
      <c r="AB47264" s="38"/>
    </row>
    <row r="47265">
      <c r="P47265" s="42"/>
      <c r="AB47265" s="38"/>
    </row>
    <row r="47266">
      <c r="P47266" s="42"/>
      <c r="AB47266" s="38"/>
    </row>
    <row r="47267">
      <c r="P47267" s="42"/>
      <c r="AB47267" s="38"/>
    </row>
    <row r="47268">
      <c r="P47268" s="42"/>
      <c r="AB47268" s="38"/>
    </row>
    <row r="47269">
      <c r="P47269" s="42"/>
      <c r="AB47269" s="38"/>
    </row>
    <row r="47270">
      <c r="P47270" s="42"/>
      <c r="AB47270" s="38"/>
    </row>
    <row r="47271">
      <c r="P47271" s="42"/>
      <c r="AB47271" s="38"/>
    </row>
    <row r="47272">
      <c r="P47272" s="42"/>
      <c r="AB47272" s="38"/>
    </row>
    <row r="47273">
      <c r="P47273" s="42"/>
      <c r="AB47273" s="38"/>
    </row>
    <row r="47274">
      <c r="P47274" s="42"/>
      <c r="AB47274" s="38"/>
    </row>
    <row r="47275">
      <c r="P47275" s="42"/>
      <c r="AB47275" s="38"/>
    </row>
    <row r="47276">
      <c r="P47276" s="42"/>
      <c r="AB47276" s="38"/>
    </row>
    <row r="47277">
      <c r="P47277" s="42"/>
      <c r="AB47277" s="38"/>
    </row>
    <row r="47278">
      <c r="P47278" s="42"/>
      <c r="AB47278" s="38"/>
    </row>
    <row r="47279">
      <c r="P47279" s="42"/>
      <c r="AB47279" s="38"/>
    </row>
    <row r="47280">
      <c r="P47280" s="42"/>
      <c r="AB47280" s="38"/>
    </row>
    <row r="47281">
      <c r="P47281" s="42"/>
      <c r="AB47281" s="38"/>
    </row>
    <row r="47282">
      <c r="P47282" s="42"/>
      <c r="AB47282" s="38"/>
    </row>
    <row r="47283">
      <c r="P47283" s="42"/>
      <c r="AB47283" s="38"/>
    </row>
    <row r="47284">
      <c r="P47284" s="42"/>
      <c r="AB47284" s="38"/>
    </row>
    <row r="47285">
      <c r="P47285" s="42"/>
      <c r="AB47285" s="38"/>
    </row>
    <row r="47286">
      <c r="P47286" s="42"/>
      <c r="AB47286" s="38"/>
    </row>
    <row r="47287">
      <c r="P47287" s="42"/>
      <c r="AB47287" s="38"/>
    </row>
    <row r="47288">
      <c r="P47288" s="42"/>
      <c r="AB47288" s="38"/>
    </row>
    <row r="47289">
      <c r="P47289" s="42"/>
      <c r="AB47289" s="38"/>
    </row>
    <row r="47290">
      <c r="P47290" s="42"/>
      <c r="AB47290" s="38"/>
    </row>
    <row r="47291">
      <c r="P47291" s="42"/>
      <c r="AB47291" s="38"/>
    </row>
    <row r="47292">
      <c r="P47292" s="42"/>
      <c r="AB47292" s="38"/>
    </row>
    <row r="47293">
      <c r="P47293" s="42"/>
      <c r="AB47293" s="38"/>
    </row>
    <row r="47294">
      <c r="P47294" s="42"/>
      <c r="AB47294" s="38"/>
    </row>
    <row r="47295">
      <c r="P47295" s="42"/>
      <c r="AB47295" s="38"/>
    </row>
    <row r="47296">
      <c r="P47296" s="42"/>
      <c r="AB47296" s="38"/>
    </row>
    <row r="47297">
      <c r="P47297" s="42"/>
      <c r="AB47297" s="38"/>
    </row>
    <row r="47298">
      <c r="P47298" s="42"/>
      <c r="AB47298" s="38"/>
    </row>
    <row r="47299">
      <c r="P47299" s="42"/>
      <c r="AB47299" s="38"/>
    </row>
    <row r="47300">
      <c r="P47300" s="42"/>
      <c r="AB47300" s="38"/>
    </row>
    <row r="47301">
      <c r="P47301" s="42"/>
      <c r="AB47301" s="38"/>
    </row>
    <row r="47302">
      <c r="P47302" s="42"/>
      <c r="AB47302" s="38"/>
    </row>
    <row r="47303">
      <c r="P47303" s="42"/>
      <c r="AB47303" s="38"/>
    </row>
    <row r="47304">
      <c r="P47304" s="42"/>
      <c r="AB47304" s="38"/>
    </row>
    <row r="47305">
      <c r="P47305" s="42"/>
      <c r="AB47305" s="38"/>
    </row>
    <row r="47306">
      <c r="P47306" s="42"/>
      <c r="AB47306" s="38"/>
    </row>
    <row r="47307">
      <c r="P47307" s="42"/>
      <c r="AB47307" s="38"/>
    </row>
    <row r="47308">
      <c r="P47308" s="42"/>
      <c r="AB47308" s="38"/>
    </row>
    <row r="47309">
      <c r="P47309" s="42"/>
      <c r="AB47309" s="38"/>
    </row>
    <row r="47310">
      <c r="P47310" s="42"/>
      <c r="AB47310" s="38"/>
    </row>
    <row r="47311">
      <c r="P47311" s="42"/>
      <c r="AB47311" s="38"/>
    </row>
    <row r="47312">
      <c r="P47312" s="42"/>
      <c r="AB47312" s="38"/>
    </row>
    <row r="47313">
      <c r="P47313" s="42"/>
      <c r="AB47313" s="38"/>
    </row>
    <row r="47314">
      <c r="P47314" s="42"/>
      <c r="AB47314" s="38"/>
    </row>
    <row r="47315">
      <c r="P47315" s="42"/>
      <c r="AB47315" s="38"/>
    </row>
    <row r="47316">
      <c r="P47316" s="42"/>
      <c r="AB47316" s="38"/>
    </row>
    <row r="47317">
      <c r="P47317" s="42"/>
      <c r="AB47317" s="38"/>
    </row>
    <row r="47318">
      <c r="P47318" s="42"/>
      <c r="AB47318" s="38"/>
    </row>
    <row r="47319">
      <c r="P47319" s="42"/>
      <c r="AB47319" s="38"/>
    </row>
    <row r="47320">
      <c r="P47320" s="42"/>
      <c r="AB47320" s="38"/>
    </row>
    <row r="47321">
      <c r="P47321" s="42"/>
      <c r="AB47321" s="38"/>
    </row>
    <row r="47322">
      <c r="P47322" s="42"/>
      <c r="AB47322" s="38"/>
    </row>
    <row r="47323">
      <c r="P47323" s="42"/>
      <c r="AB47323" s="38"/>
    </row>
    <row r="47324">
      <c r="P47324" s="42"/>
      <c r="AB47324" s="38"/>
    </row>
    <row r="47325">
      <c r="P47325" s="42"/>
      <c r="AB47325" s="38"/>
    </row>
    <row r="47326">
      <c r="P47326" s="42"/>
      <c r="AB47326" s="38"/>
    </row>
    <row r="47327">
      <c r="P47327" s="42"/>
      <c r="AB47327" s="38"/>
    </row>
    <row r="47328">
      <c r="P47328" s="42"/>
      <c r="AB47328" s="38"/>
    </row>
    <row r="47329">
      <c r="P47329" s="42"/>
      <c r="AB47329" s="38"/>
    </row>
    <row r="47330">
      <c r="P47330" s="42"/>
      <c r="AB47330" s="38"/>
    </row>
    <row r="47331">
      <c r="P47331" s="42"/>
      <c r="AB47331" s="38"/>
    </row>
    <row r="47332">
      <c r="P47332" s="42"/>
      <c r="AB47332" s="38"/>
    </row>
    <row r="47333">
      <c r="P47333" s="42"/>
      <c r="AB47333" s="38"/>
    </row>
    <row r="47334">
      <c r="P47334" s="42"/>
      <c r="AB47334" s="38"/>
    </row>
    <row r="47335">
      <c r="P47335" s="42"/>
      <c r="AB47335" s="38"/>
    </row>
    <row r="47336">
      <c r="P47336" s="42"/>
      <c r="AB47336" s="38"/>
    </row>
    <row r="47337">
      <c r="P47337" s="42"/>
      <c r="AB47337" s="38"/>
    </row>
    <row r="47338">
      <c r="P47338" s="42"/>
      <c r="AB47338" s="38"/>
    </row>
    <row r="47339">
      <c r="P47339" s="42"/>
      <c r="AB47339" s="38"/>
    </row>
    <row r="47340">
      <c r="P47340" s="42"/>
      <c r="AB47340" s="38"/>
    </row>
    <row r="47341">
      <c r="P47341" s="42"/>
      <c r="AB47341" s="38"/>
    </row>
    <row r="47342">
      <c r="P47342" s="42"/>
      <c r="AB47342" s="38"/>
    </row>
    <row r="47343">
      <c r="P47343" s="42"/>
      <c r="AB47343" s="38"/>
    </row>
    <row r="47344">
      <c r="P47344" s="42"/>
      <c r="AB47344" s="38"/>
    </row>
    <row r="47345">
      <c r="P47345" s="42"/>
      <c r="AB47345" s="38"/>
    </row>
    <row r="47346">
      <c r="P47346" s="42"/>
      <c r="AB47346" s="38"/>
    </row>
    <row r="47347">
      <c r="P47347" s="42"/>
      <c r="AB47347" s="38"/>
    </row>
    <row r="47348">
      <c r="P47348" s="42"/>
      <c r="AB47348" s="38"/>
    </row>
    <row r="47349">
      <c r="P47349" s="42"/>
      <c r="AB47349" s="38"/>
    </row>
    <row r="47350">
      <c r="P47350" s="42"/>
      <c r="AB47350" s="38"/>
    </row>
    <row r="47351">
      <c r="P47351" s="42"/>
      <c r="AB47351" s="38"/>
    </row>
    <row r="47352">
      <c r="P47352" s="42"/>
      <c r="AB47352" s="38"/>
    </row>
    <row r="47353">
      <c r="P47353" s="42"/>
      <c r="AB47353" s="38"/>
    </row>
    <row r="47354">
      <c r="P47354" s="42"/>
      <c r="AB47354" s="38"/>
    </row>
    <row r="47355">
      <c r="P47355" s="42"/>
      <c r="AB47355" s="38"/>
    </row>
    <row r="47356">
      <c r="P47356" s="42"/>
      <c r="AB47356" s="38"/>
    </row>
    <row r="47357">
      <c r="P47357" s="42"/>
      <c r="AB47357" s="38"/>
    </row>
    <row r="47358">
      <c r="P47358" s="42"/>
      <c r="AB47358" s="38"/>
    </row>
    <row r="47359">
      <c r="P47359" s="42"/>
      <c r="AB47359" s="38"/>
    </row>
    <row r="47360">
      <c r="P47360" s="42"/>
      <c r="AB47360" s="38"/>
    </row>
    <row r="47361">
      <c r="P47361" s="42"/>
      <c r="AB47361" s="38"/>
    </row>
    <row r="47362">
      <c r="P47362" s="42"/>
      <c r="AB47362" s="38"/>
    </row>
    <row r="47363">
      <c r="P47363" s="42"/>
      <c r="AB47363" s="38"/>
    </row>
    <row r="47364">
      <c r="P47364" s="42"/>
      <c r="AB47364" s="38"/>
    </row>
    <row r="47365">
      <c r="P47365" s="42"/>
      <c r="AB47365" s="38"/>
    </row>
    <row r="47366">
      <c r="P47366" s="42"/>
      <c r="AB47366" s="38"/>
    </row>
    <row r="47367">
      <c r="P47367" s="42"/>
      <c r="AB47367" s="38"/>
    </row>
    <row r="47368">
      <c r="P47368" s="42"/>
      <c r="AB47368" s="38"/>
    </row>
    <row r="47369">
      <c r="P47369" s="42"/>
      <c r="AB47369" s="38"/>
    </row>
    <row r="47370">
      <c r="P47370" s="42"/>
      <c r="AB47370" s="38"/>
    </row>
    <row r="47371">
      <c r="P47371" s="42"/>
      <c r="AB47371" s="38"/>
    </row>
    <row r="47372">
      <c r="P47372" s="42"/>
      <c r="AB47372" s="38"/>
    </row>
    <row r="47373">
      <c r="P47373" s="42"/>
      <c r="AB47373" s="38"/>
    </row>
    <row r="47374">
      <c r="P47374" s="42"/>
      <c r="AB47374" s="38"/>
    </row>
    <row r="47375">
      <c r="P47375" s="42"/>
      <c r="AB47375" s="38"/>
    </row>
    <row r="47376">
      <c r="P47376" s="42"/>
      <c r="AB47376" s="38"/>
    </row>
    <row r="47377">
      <c r="P47377" s="42"/>
      <c r="AB47377" s="38"/>
    </row>
    <row r="47378">
      <c r="P47378" s="42"/>
      <c r="AB47378" s="38"/>
    </row>
    <row r="47379">
      <c r="P47379" s="42"/>
      <c r="AB47379" s="38"/>
    </row>
    <row r="47380">
      <c r="P47380" s="42"/>
      <c r="AB47380" s="38"/>
    </row>
    <row r="47381">
      <c r="P47381" s="42"/>
      <c r="AB47381" s="38"/>
    </row>
    <row r="47382">
      <c r="P47382" s="42"/>
      <c r="AB47382" s="38"/>
    </row>
    <row r="47383">
      <c r="P47383" s="42"/>
      <c r="AB47383" s="38"/>
    </row>
    <row r="47384">
      <c r="P47384" s="42"/>
      <c r="AB47384" s="38"/>
    </row>
    <row r="47385">
      <c r="P47385" s="42"/>
      <c r="AB47385" s="38"/>
    </row>
    <row r="47386">
      <c r="P47386" s="42"/>
      <c r="AB47386" s="38"/>
    </row>
    <row r="47387">
      <c r="P47387" s="42"/>
      <c r="AB47387" s="38"/>
    </row>
    <row r="47388">
      <c r="P47388" s="42"/>
      <c r="AB47388" s="38"/>
    </row>
    <row r="47389">
      <c r="P47389" s="42"/>
      <c r="AB47389" s="38"/>
    </row>
    <row r="47390">
      <c r="P47390" s="42"/>
      <c r="AB47390" s="38"/>
    </row>
    <row r="47391">
      <c r="P47391" s="42"/>
      <c r="AB47391" s="38"/>
    </row>
    <row r="47392">
      <c r="P47392" s="42"/>
      <c r="AB47392" s="38"/>
    </row>
    <row r="47393">
      <c r="P47393" s="42"/>
      <c r="AB47393" s="38"/>
    </row>
    <row r="47394">
      <c r="P47394" s="42"/>
      <c r="AB47394" s="38"/>
    </row>
    <row r="47395">
      <c r="P47395" s="42"/>
      <c r="AB47395" s="38"/>
    </row>
    <row r="47396">
      <c r="P47396" s="42"/>
      <c r="AB47396" s="38"/>
    </row>
    <row r="47397">
      <c r="P47397" s="42"/>
      <c r="AB47397" s="38"/>
    </row>
    <row r="47398">
      <c r="P47398" s="42"/>
      <c r="AB47398" s="38"/>
    </row>
    <row r="47399">
      <c r="P47399" s="42"/>
      <c r="AB47399" s="38"/>
    </row>
    <row r="47400">
      <c r="P47400" s="42"/>
      <c r="AB47400" s="38"/>
    </row>
    <row r="47401">
      <c r="P47401" s="42"/>
      <c r="AB47401" s="38"/>
    </row>
    <row r="47402">
      <c r="P47402" s="42"/>
      <c r="AB47402" s="38"/>
    </row>
    <row r="47403">
      <c r="P47403" s="42"/>
      <c r="AB47403" s="38"/>
    </row>
    <row r="47404">
      <c r="P47404" s="42"/>
      <c r="AB47404" s="38"/>
    </row>
    <row r="47405">
      <c r="P47405" s="42"/>
      <c r="AB47405" s="38"/>
    </row>
    <row r="47406">
      <c r="P47406" s="42"/>
      <c r="AB47406" s="38"/>
    </row>
    <row r="47407">
      <c r="P47407" s="42"/>
      <c r="AB47407" s="38"/>
    </row>
    <row r="47408">
      <c r="P47408" s="42"/>
      <c r="AB47408" s="38"/>
    </row>
    <row r="47409">
      <c r="P47409" s="42"/>
      <c r="AB47409" s="38"/>
    </row>
    <row r="47410">
      <c r="P47410" s="42"/>
      <c r="AB47410" s="38"/>
    </row>
    <row r="47411">
      <c r="P47411" s="42"/>
      <c r="AB47411" s="38"/>
    </row>
    <row r="47412">
      <c r="P47412" s="42"/>
      <c r="AB47412" s="38"/>
    </row>
    <row r="47413">
      <c r="P47413" s="42"/>
      <c r="AB47413" s="38"/>
    </row>
    <row r="47414">
      <c r="P47414" s="42"/>
      <c r="AB47414" s="38"/>
    </row>
    <row r="47415">
      <c r="P47415" s="42"/>
      <c r="AB47415" s="38"/>
    </row>
    <row r="47416">
      <c r="P47416" s="42"/>
      <c r="AB47416" s="38"/>
    </row>
    <row r="47417">
      <c r="P47417" s="42"/>
      <c r="AB47417" s="38"/>
    </row>
    <row r="47418">
      <c r="P47418" s="42"/>
      <c r="AB47418" s="38"/>
    </row>
    <row r="47419">
      <c r="P47419" s="42"/>
      <c r="AB47419" s="38"/>
    </row>
    <row r="47420">
      <c r="P47420" s="42"/>
      <c r="AB47420" s="38"/>
    </row>
    <row r="47421">
      <c r="P47421" s="42"/>
      <c r="AB47421" s="38"/>
    </row>
    <row r="47422">
      <c r="P47422" s="42"/>
      <c r="AB47422" s="38"/>
    </row>
    <row r="47423">
      <c r="P47423" s="42"/>
      <c r="AB47423" s="38"/>
    </row>
    <row r="47424">
      <c r="P47424" s="42"/>
      <c r="AB47424" s="38"/>
    </row>
    <row r="47425">
      <c r="P47425" s="42"/>
      <c r="AB47425" s="38"/>
    </row>
    <row r="47426">
      <c r="P47426" s="42"/>
      <c r="AB47426" s="38"/>
    </row>
    <row r="47427">
      <c r="P47427" s="42"/>
      <c r="AB47427" s="38"/>
    </row>
    <row r="47428">
      <c r="P47428" s="42"/>
      <c r="AB47428" s="38"/>
    </row>
    <row r="47429">
      <c r="P47429" s="42"/>
      <c r="AB47429" s="38"/>
    </row>
    <row r="47430">
      <c r="P47430" s="42"/>
      <c r="AB47430" s="38"/>
    </row>
    <row r="47431">
      <c r="P47431" s="42"/>
      <c r="AB47431" s="38"/>
    </row>
    <row r="47432">
      <c r="P47432" s="42"/>
      <c r="AB47432" s="38"/>
    </row>
    <row r="47433">
      <c r="P47433" s="42"/>
      <c r="AB47433" s="38"/>
    </row>
    <row r="47434">
      <c r="P47434" s="42"/>
      <c r="AB47434" s="38"/>
    </row>
    <row r="47435">
      <c r="P47435" s="42"/>
      <c r="AB47435" s="38"/>
    </row>
    <row r="47436">
      <c r="P47436" s="42"/>
      <c r="AB47436" s="38"/>
    </row>
    <row r="47437">
      <c r="P47437" s="42"/>
      <c r="AB47437" s="38"/>
    </row>
    <row r="47438">
      <c r="P47438" s="42"/>
      <c r="AB47438" s="38"/>
    </row>
    <row r="47439">
      <c r="P47439" s="42"/>
      <c r="AB47439" s="38"/>
    </row>
    <row r="47440">
      <c r="P47440" s="42"/>
      <c r="AB47440" s="38"/>
    </row>
    <row r="47441">
      <c r="P47441" s="42"/>
      <c r="AB47441" s="38"/>
    </row>
    <row r="47442">
      <c r="P47442" s="42"/>
      <c r="AB47442" s="38"/>
    </row>
    <row r="47443">
      <c r="P47443" s="42"/>
      <c r="AB47443" s="38"/>
    </row>
    <row r="47444">
      <c r="P47444" s="42"/>
      <c r="AB47444" s="38"/>
    </row>
    <row r="47445">
      <c r="P47445" s="42"/>
      <c r="AB47445" s="38"/>
    </row>
    <row r="47446">
      <c r="P47446" s="42"/>
      <c r="AB47446" s="38"/>
    </row>
    <row r="47447">
      <c r="P47447" s="42"/>
      <c r="AB47447" s="38"/>
    </row>
    <row r="47448">
      <c r="P47448" s="42"/>
      <c r="AB47448" s="38"/>
    </row>
    <row r="47449">
      <c r="P47449" s="42"/>
      <c r="AB47449" s="38"/>
    </row>
    <row r="47450">
      <c r="P47450" s="42"/>
      <c r="AB47450" s="38"/>
    </row>
    <row r="47451">
      <c r="P47451" s="42"/>
      <c r="AB47451" s="38"/>
    </row>
    <row r="47452">
      <c r="P47452" s="42"/>
      <c r="AB47452" s="38"/>
    </row>
    <row r="47453">
      <c r="P47453" s="42"/>
      <c r="AB47453" s="38"/>
    </row>
    <row r="47454">
      <c r="P47454" s="42"/>
      <c r="AB47454" s="38"/>
    </row>
    <row r="47455">
      <c r="P47455" s="42"/>
      <c r="AB47455" s="38"/>
    </row>
    <row r="47456">
      <c r="P47456" s="42"/>
      <c r="AB47456" s="38"/>
    </row>
    <row r="47457">
      <c r="P47457" s="42"/>
      <c r="AB47457" s="38"/>
    </row>
    <row r="47458">
      <c r="P47458" s="42"/>
      <c r="AB47458" s="38"/>
    </row>
    <row r="47459">
      <c r="P47459" s="42"/>
      <c r="AB47459" s="38"/>
    </row>
    <row r="47460">
      <c r="P47460" s="42"/>
      <c r="AB47460" s="38"/>
    </row>
    <row r="47461">
      <c r="P47461" s="42"/>
      <c r="AB47461" s="38"/>
    </row>
    <row r="47462">
      <c r="P47462" s="42"/>
      <c r="AB47462" s="38"/>
    </row>
    <row r="47463">
      <c r="P47463" s="42"/>
      <c r="AB47463" s="38"/>
    </row>
    <row r="47464">
      <c r="P47464" s="42"/>
      <c r="AB47464" s="38"/>
    </row>
    <row r="47465">
      <c r="P47465" s="42"/>
      <c r="AB47465" s="38"/>
    </row>
    <row r="47466">
      <c r="P47466" s="42"/>
      <c r="AB47466" s="38"/>
    </row>
    <row r="47467">
      <c r="P47467" s="42"/>
      <c r="AB47467" s="38"/>
    </row>
    <row r="47468">
      <c r="P47468" s="42"/>
      <c r="AB47468" s="38"/>
    </row>
    <row r="47469">
      <c r="P47469" s="42"/>
      <c r="AB47469" s="38"/>
    </row>
    <row r="47470">
      <c r="P47470" s="42"/>
      <c r="AB47470" s="38"/>
    </row>
    <row r="47471">
      <c r="P47471" s="42"/>
      <c r="AB47471" s="38"/>
    </row>
    <row r="47472">
      <c r="P47472" s="42"/>
      <c r="AB47472" s="38"/>
    </row>
    <row r="47473">
      <c r="P47473" s="42"/>
      <c r="AB47473" s="38"/>
    </row>
    <row r="47474">
      <c r="P47474" s="42"/>
      <c r="AB47474" s="38"/>
    </row>
    <row r="47475">
      <c r="P47475" s="42"/>
      <c r="AB47475" s="38"/>
    </row>
    <row r="47476">
      <c r="P47476" s="42"/>
      <c r="AB47476" s="38"/>
    </row>
    <row r="47477">
      <c r="P47477" s="42"/>
      <c r="AB47477" s="38"/>
    </row>
    <row r="47478">
      <c r="P47478" s="42"/>
      <c r="AB47478" s="38"/>
    </row>
    <row r="47479">
      <c r="P47479" s="42"/>
      <c r="AB47479" s="38"/>
    </row>
    <row r="47480">
      <c r="P47480" s="42"/>
      <c r="AB47480" s="38"/>
    </row>
    <row r="47481">
      <c r="P47481" s="42"/>
      <c r="AB47481" s="38"/>
    </row>
    <row r="47482">
      <c r="P47482" s="42"/>
      <c r="AB47482" s="38"/>
    </row>
    <row r="47483">
      <c r="P47483" s="42"/>
      <c r="AB47483" s="38"/>
    </row>
    <row r="47484">
      <c r="P47484" s="42"/>
      <c r="AB47484" s="38"/>
    </row>
    <row r="47485">
      <c r="P47485" s="42"/>
      <c r="AB47485" s="38"/>
    </row>
    <row r="47486">
      <c r="P47486" s="42"/>
      <c r="AB47486" s="38"/>
    </row>
    <row r="47487">
      <c r="P47487" s="42"/>
      <c r="AB47487" s="38"/>
    </row>
    <row r="47488">
      <c r="P47488" s="42"/>
      <c r="AB47488" s="38"/>
    </row>
    <row r="47489">
      <c r="P47489" s="42"/>
      <c r="AB47489" s="38"/>
    </row>
    <row r="47490">
      <c r="P47490" s="42"/>
      <c r="AB47490" s="38"/>
    </row>
    <row r="47491">
      <c r="P47491" s="42"/>
      <c r="AB47491" s="38"/>
    </row>
    <row r="47492">
      <c r="P47492" s="42"/>
      <c r="AB47492" s="38"/>
    </row>
    <row r="47493">
      <c r="P47493" s="42"/>
      <c r="AB47493" s="38"/>
    </row>
    <row r="47494">
      <c r="P47494" s="42"/>
      <c r="AB47494" s="38"/>
    </row>
    <row r="47495">
      <c r="P47495" s="42"/>
      <c r="AB47495" s="38"/>
    </row>
    <row r="47496">
      <c r="P47496" s="42"/>
      <c r="AB47496" s="38"/>
    </row>
    <row r="47497">
      <c r="P47497" s="42"/>
      <c r="AB47497" s="38"/>
    </row>
    <row r="47498">
      <c r="P47498" s="42"/>
      <c r="AB47498" s="38"/>
    </row>
    <row r="47499">
      <c r="P47499" s="42"/>
      <c r="AB47499" s="38"/>
    </row>
    <row r="47500">
      <c r="P47500" s="42"/>
      <c r="AB47500" s="38"/>
    </row>
    <row r="47501">
      <c r="P47501" s="42"/>
      <c r="AB47501" s="38"/>
    </row>
    <row r="47502">
      <c r="P47502" s="42"/>
      <c r="AB47502" s="38"/>
    </row>
    <row r="47503">
      <c r="P47503" s="42"/>
      <c r="AB47503" s="38"/>
    </row>
    <row r="47504">
      <c r="P47504" s="42"/>
      <c r="AB47504" s="38"/>
    </row>
    <row r="47505">
      <c r="P47505" s="42"/>
      <c r="AB47505" s="38"/>
    </row>
    <row r="47506">
      <c r="P47506" s="42"/>
      <c r="AB47506" s="38"/>
    </row>
    <row r="47507">
      <c r="P47507" s="42"/>
      <c r="AB47507" s="38"/>
    </row>
    <row r="47508">
      <c r="P47508" s="42"/>
      <c r="AB47508" s="38"/>
    </row>
    <row r="47509">
      <c r="P47509" s="42"/>
      <c r="AB47509" s="38"/>
    </row>
    <row r="47510">
      <c r="P47510" s="42"/>
      <c r="AB47510" s="38"/>
    </row>
    <row r="47511">
      <c r="P47511" s="42"/>
      <c r="AB47511" s="38"/>
    </row>
    <row r="47512">
      <c r="P47512" s="42"/>
      <c r="AB47512" s="38"/>
    </row>
    <row r="47513">
      <c r="P47513" s="42"/>
      <c r="AB47513" s="38"/>
    </row>
    <row r="47514">
      <c r="P47514" s="42"/>
      <c r="AB47514" s="38"/>
    </row>
    <row r="47515">
      <c r="P47515" s="42"/>
      <c r="AB47515" s="38"/>
    </row>
    <row r="47516">
      <c r="P47516" s="42"/>
      <c r="AB47516" s="38"/>
    </row>
    <row r="47517">
      <c r="P47517" s="42"/>
      <c r="AB47517" s="38"/>
    </row>
    <row r="47518">
      <c r="P47518" s="42"/>
      <c r="AB47518" s="38"/>
    </row>
    <row r="47519">
      <c r="P47519" s="42"/>
      <c r="AB47519" s="38"/>
    </row>
    <row r="47520">
      <c r="P47520" s="42"/>
      <c r="AB47520" s="38"/>
    </row>
    <row r="47521">
      <c r="P47521" s="42"/>
      <c r="AB47521" s="38"/>
    </row>
    <row r="47522">
      <c r="P47522" s="42"/>
      <c r="AB47522" s="38"/>
    </row>
    <row r="47523">
      <c r="P47523" s="42"/>
      <c r="AB47523" s="38"/>
    </row>
    <row r="47524">
      <c r="P47524" s="42"/>
      <c r="AB47524" s="38"/>
    </row>
    <row r="47525">
      <c r="P47525" s="42"/>
      <c r="AB47525" s="38"/>
    </row>
    <row r="47526">
      <c r="P47526" s="42"/>
      <c r="AB47526" s="38"/>
    </row>
    <row r="47527">
      <c r="P47527" s="42"/>
      <c r="AB47527" s="38"/>
    </row>
    <row r="47528">
      <c r="P47528" s="42"/>
      <c r="AB47528" s="38"/>
    </row>
    <row r="47529">
      <c r="P47529" s="42"/>
      <c r="AB47529" s="38"/>
    </row>
    <row r="47530">
      <c r="P47530" s="42"/>
      <c r="AB47530" s="38"/>
    </row>
    <row r="47531">
      <c r="P47531" s="42"/>
      <c r="AB47531" s="38"/>
    </row>
    <row r="47532">
      <c r="P47532" s="42"/>
      <c r="AB47532" s="38"/>
    </row>
    <row r="47533">
      <c r="P47533" s="42"/>
      <c r="AB47533" s="38"/>
    </row>
    <row r="47534">
      <c r="P47534" s="42"/>
      <c r="AB47534" s="38"/>
    </row>
    <row r="47535">
      <c r="P47535" s="42"/>
      <c r="AB47535" s="38"/>
    </row>
    <row r="47536">
      <c r="P47536" s="42"/>
      <c r="AB47536" s="38"/>
    </row>
    <row r="47537">
      <c r="P47537" s="42"/>
      <c r="AB47537" s="38"/>
    </row>
    <row r="47538">
      <c r="P47538" s="42"/>
      <c r="AB47538" s="38"/>
    </row>
    <row r="47539">
      <c r="P47539" s="42"/>
      <c r="AB47539" s="38"/>
    </row>
    <row r="47540">
      <c r="P47540" s="42"/>
      <c r="AB47540" s="38"/>
    </row>
    <row r="47541">
      <c r="P47541" s="42"/>
      <c r="AB47541" s="38"/>
    </row>
    <row r="47542">
      <c r="P47542" s="42"/>
      <c r="AB47542" s="38"/>
    </row>
    <row r="47543">
      <c r="P47543" s="42"/>
      <c r="AB47543" s="38"/>
    </row>
    <row r="47544">
      <c r="P47544" s="42"/>
      <c r="AB47544" s="38"/>
    </row>
    <row r="47545">
      <c r="P47545" s="42"/>
      <c r="AB47545" s="38"/>
    </row>
    <row r="47546">
      <c r="P47546" s="42"/>
      <c r="AB47546" s="38"/>
    </row>
    <row r="47547">
      <c r="P47547" s="42"/>
      <c r="AB47547" s="38"/>
    </row>
    <row r="47548">
      <c r="P47548" s="42"/>
      <c r="AB47548" s="38"/>
    </row>
    <row r="47549">
      <c r="P47549" s="42"/>
      <c r="AB47549" s="38"/>
    </row>
    <row r="47550">
      <c r="P47550" s="42"/>
      <c r="AB47550" s="38"/>
    </row>
    <row r="47551">
      <c r="P47551" s="42"/>
      <c r="AB47551" s="38"/>
    </row>
    <row r="47552">
      <c r="P47552" s="42"/>
      <c r="AB47552" s="38"/>
    </row>
    <row r="47553">
      <c r="P47553" s="42"/>
      <c r="AB47553" s="38"/>
    </row>
    <row r="47554">
      <c r="P47554" s="42"/>
      <c r="AB47554" s="38"/>
    </row>
    <row r="47555">
      <c r="P47555" s="42"/>
      <c r="AB47555" s="38"/>
    </row>
    <row r="47556">
      <c r="P47556" s="42"/>
      <c r="AB47556" s="38"/>
    </row>
    <row r="47557">
      <c r="P47557" s="42"/>
      <c r="AB47557" s="38"/>
    </row>
    <row r="47558">
      <c r="P47558" s="42"/>
      <c r="AB47558" s="38"/>
    </row>
    <row r="47559">
      <c r="P47559" s="42"/>
      <c r="AB47559" s="38"/>
    </row>
    <row r="47560">
      <c r="P47560" s="42"/>
      <c r="AB47560" s="38"/>
    </row>
    <row r="47561">
      <c r="P47561" s="42"/>
      <c r="AB47561" s="38"/>
    </row>
    <row r="47562">
      <c r="P47562" s="42"/>
      <c r="AB47562" s="38"/>
    </row>
    <row r="47563">
      <c r="P47563" s="42"/>
      <c r="AB47563" s="38"/>
    </row>
    <row r="47564">
      <c r="P47564" s="42"/>
      <c r="AB47564" s="38"/>
    </row>
    <row r="47565">
      <c r="P47565" s="42"/>
      <c r="AB47565" s="38"/>
    </row>
    <row r="47566">
      <c r="P47566" s="42"/>
      <c r="AB47566" s="38"/>
    </row>
    <row r="47567">
      <c r="P47567" s="42"/>
      <c r="AB47567" s="38"/>
    </row>
    <row r="47568">
      <c r="P47568" s="42"/>
      <c r="AB47568" s="38"/>
    </row>
    <row r="47569">
      <c r="P47569" s="42"/>
      <c r="AB47569" s="38"/>
    </row>
    <row r="47570">
      <c r="P47570" s="42"/>
      <c r="AB47570" s="38"/>
    </row>
    <row r="47571">
      <c r="P47571" s="42"/>
      <c r="AB47571" s="38"/>
    </row>
    <row r="47572">
      <c r="P47572" s="42"/>
      <c r="AB47572" s="38"/>
    </row>
    <row r="47573">
      <c r="P47573" s="42"/>
      <c r="AB47573" s="38"/>
    </row>
    <row r="47574">
      <c r="P47574" s="42"/>
      <c r="AB47574" s="38"/>
    </row>
    <row r="47575">
      <c r="P47575" s="42"/>
      <c r="AB47575" s="38"/>
    </row>
    <row r="47576">
      <c r="P47576" s="42"/>
      <c r="AB47576" s="38"/>
    </row>
    <row r="47577">
      <c r="P47577" s="42"/>
      <c r="AB47577" s="38"/>
    </row>
    <row r="47578">
      <c r="P47578" s="42"/>
      <c r="AB47578" s="38"/>
    </row>
    <row r="47579">
      <c r="P47579" s="42"/>
      <c r="AB47579" s="38"/>
    </row>
    <row r="47580">
      <c r="P47580" s="42"/>
      <c r="AB47580" s="38"/>
    </row>
    <row r="47581">
      <c r="P47581" s="42"/>
      <c r="AB47581" s="38"/>
    </row>
    <row r="47582">
      <c r="P47582" s="42"/>
      <c r="AB47582" s="38"/>
    </row>
    <row r="47583">
      <c r="P47583" s="42"/>
      <c r="AB47583" s="38"/>
    </row>
    <row r="47584">
      <c r="P47584" s="42"/>
      <c r="AB47584" s="38"/>
    </row>
    <row r="47585">
      <c r="P47585" s="42"/>
      <c r="AB47585" s="38"/>
    </row>
    <row r="47586">
      <c r="P47586" s="42"/>
      <c r="AB47586" s="38"/>
    </row>
    <row r="47587">
      <c r="P47587" s="42"/>
      <c r="AB47587" s="38"/>
    </row>
    <row r="47588">
      <c r="P47588" s="42"/>
      <c r="AB47588" s="38"/>
    </row>
    <row r="47589">
      <c r="P47589" s="42"/>
      <c r="AB47589" s="38"/>
    </row>
    <row r="47590">
      <c r="P47590" s="42"/>
      <c r="AB47590" s="38"/>
    </row>
    <row r="47591">
      <c r="P47591" s="42"/>
      <c r="AB47591" s="38"/>
    </row>
    <row r="47592">
      <c r="P47592" s="42"/>
      <c r="AB47592" s="38"/>
    </row>
    <row r="47593">
      <c r="P47593" s="42"/>
      <c r="AB47593" s="38"/>
    </row>
    <row r="47594">
      <c r="P47594" s="42"/>
      <c r="AB47594" s="38"/>
    </row>
    <row r="47595">
      <c r="P47595" s="42"/>
      <c r="AB47595" s="38"/>
    </row>
    <row r="47596">
      <c r="P47596" s="42"/>
      <c r="AB47596" s="38"/>
    </row>
    <row r="47597">
      <c r="P47597" s="42"/>
      <c r="AB47597" s="38"/>
    </row>
    <row r="47598">
      <c r="P47598" s="42"/>
      <c r="AB47598" s="38"/>
    </row>
    <row r="47599">
      <c r="P47599" s="42"/>
      <c r="AB47599" s="38"/>
    </row>
    <row r="47600">
      <c r="P47600" s="42"/>
      <c r="AB47600" s="38"/>
    </row>
    <row r="47601">
      <c r="P47601" s="42"/>
      <c r="AB47601" s="38"/>
    </row>
    <row r="47602">
      <c r="P47602" s="42"/>
      <c r="AB47602" s="38"/>
    </row>
    <row r="47603">
      <c r="P47603" s="42"/>
      <c r="AB47603" s="38"/>
    </row>
    <row r="47604">
      <c r="P47604" s="42"/>
      <c r="AB47604" s="38"/>
    </row>
    <row r="47605">
      <c r="P47605" s="42"/>
      <c r="AB47605" s="38"/>
    </row>
    <row r="47606">
      <c r="P47606" s="42"/>
      <c r="AB47606" s="38"/>
    </row>
    <row r="47607">
      <c r="P47607" s="42"/>
      <c r="AB47607" s="38"/>
    </row>
    <row r="47608">
      <c r="P47608" s="42"/>
      <c r="AB47608" s="38"/>
    </row>
    <row r="47609">
      <c r="P47609" s="42"/>
      <c r="AB47609" s="38"/>
    </row>
    <row r="47610">
      <c r="P47610" s="42"/>
      <c r="AB47610" s="38"/>
    </row>
    <row r="47611">
      <c r="P47611" s="42"/>
      <c r="AB47611" s="38"/>
    </row>
    <row r="47612">
      <c r="P47612" s="42"/>
      <c r="AB47612" s="38"/>
    </row>
    <row r="47613">
      <c r="P47613" s="42"/>
      <c r="AB47613" s="38"/>
    </row>
    <row r="47614">
      <c r="P47614" s="42"/>
      <c r="AB47614" s="38"/>
    </row>
    <row r="47615">
      <c r="P47615" s="42"/>
      <c r="AB47615" s="38"/>
    </row>
    <row r="47616">
      <c r="P47616" s="42"/>
      <c r="AB47616" s="38"/>
    </row>
    <row r="47617">
      <c r="P47617" s="42"/>
      <c r="AB47617" s="38"/>
    </row>
    <row r="47618">
      <c r="P47618" s="42"/>
      <c r="AB47618" s="38"/>
    </row>
    <row r="47619">
      <c r="P47619" s="42"/>
      <c r="AB47619" s="38"/>
    </row>
    <row r="47620">
      <c r="P47620" s="42"/>
      <c r="AB47620" s="38"/>
    </row>
    <row r="47621">
      <c r="P47621" s="42"/>
      <c r="AB47621" s="38"/>
    </row>
    <row r="47622">
      <c r="P47622" s="42"/>
      <c r="AB47622" s="38"/>
    </row>
    <row r="47623">
      <c r="P47623" s="42"/>
      <c r="AB47623" s="38"/>
    </row>
    <row r="47624">
      <c r="P47624" s="42"/>
      <c r="AB47624" s="38"/>
    </row>
    <row r="47625">
      <c r="P47625" s="42"/>
      <c r="AB47625" s="38"/>
    </row>
    <row r="47626">
      <c r="P47626" s="42"/>
      <c r="AB47626" s="38"/>
    </row>
    <row r="47627">
      <c r="P47627" s="42"/>
      <c r="AB47627" s="38"/>
    </row>
    <row r="47628">
      <c r="P47628" s="42"/>
      <c r="AB47628" s="38"/>
    </row>
    <row r="47629">
      <c r="P47629" s="42"/>
      <c r="AB47629" s="38"/>
    </row>
    <row r="47630">
      <c r="P47630" s="42"/>
      <c r="AB47630" s="38"/>
    </row>
    <row r="47631">
      <c r="P47631" s="42"/>
      <c r="AB47631" s="38"/>
    </row>
    <row r="47632">
      <c r="P47632" s="42"/>
      <c r="AB47632" s="38"/>
    </row>
    <row r="47633">
      <c r="P47633" s="42"/>
      <c r="AB47633" s="38"/>
    </row>
    <row r="47634">
      <c r="P47634" s="42"/>
      <c r="AB47634" s="38"/>
    </row>
    <row r="47635">
      <c r="P47635" s="42"/>
      <c r="AB47635" s="38"/>
    </row>
    <row r="47636">
      <c r="P47636" s="42"/>
      <c r="AB47636" s="38"/>
    </row>
    <row r="47637">
      <c r="P47637" s="42"/>
      <c r="AB47637" s="38"/>
    </row>
    <row r="47638">
      <c r="P47638" s="42"/>
      <c r="AB47638" s="38"/>
    </row>
    <row r="47639">
      <c r="P47639" s="42"/>
      <c r="AB47639" s="38"/>
    </row>
    <row r="47640">
      <c r="P47640" s="42"/>
      <c r="AB47640" s="38"/>
    </row>
    <row r="47641">
      <c r="P47641" s="42"/>
      <c r="AB47641" s="38"/>
    </row>
    <row r="47642">
      <c r="P47642" s="42"/>
      <c r="AB47642" s="38"/>
    </row>
    <row r="47643">
      <c r="P47643" s="42"/>
      <c r="AB47643" s="38"/>
    </row>
    <row r="47644">
      <c r="P47644" s="42"/>
      <c r="AB47644" s="38"/>
    </row>
    <row r="47645">
      <c r="P47645" s="42"/>
      <c r="AB47645" s="38"/>
    </row>
    <row r="47646">
      <c r="P47646" s="42"/>
      <c r="AB47646" s="38"/>
    </row>
    <row r="47647">
      <c r="P47647" s="42"/>
      <c r="AB47647" s="38"/>
    </row>
    <row r="47648">
      <c r="P47648" s="42"/>
      <c r="AB47648" s="38"/>
    </row>
    <row r="47649">
      <c r="P47649" s="42"/>
      <c r="AB47649" s="38"/>
    </row>
    <row r="47650">
      <c r="P47650" s="42"/>
      <c r="AB47650" s="38"/>
    </row>
    <row r="47651">
      <c r="P47651" s="42"/>
      <c r="AB47651" s="38"/>
    </row>
    <row r="47652">
      <c r="P47652" s="42"/>
      <c r="AB47652" s="38"/>
    </row>
    <row r="47653">
      <c r="P47653" s="42"/>
      <c r="AB47653" s="38"/>
    </row>
    <row r="47654">
      <c r="P47654" s="42"/>
      <c r="AB47654" s="38"/>
    </row>
    <row r="47655">
      <c r="P47655" s="42"/>
      <c r="AB47655" s="38"/>
    </row>
    <row r="47656">
      <c r="P47656" s="42"/>
      <c r="AB47656" s="38"/>
    </row>
    <row r="47657">
      <c r="P47657" s="42"/>
      <c r="AB47657" s="38"/>
    </row>
    <row r="47658">
      <c r="P47658" s="42"/>
      <c r="AB47658" s="38"/>
    </row>
    <row r="47659">
      <c r="P47659" s="42"/>
      <c r="AB47659" s="38"/>
    </row>
    <row r="47660">
      <c r="P47660" s="42"/>
      <c r="AB47660" s="38"/>
    </row>
    <row r="47661">
      <c r="P47661" s="42"/>
      <c r="AB47661" s="38"/>
    </row>
    <row r="47662">
      <c r="P47662" s="42"/>
      <c r="AB47662" s="38"/>
    </row>
    <row r="47663">
      <c r="P47663" s="42"/>
      <c r="AB47663" s="38"/>
    </row>
    <row r="47664">
      <c r="P47664" s="42"/>
      <c r="AB47664" s="38"/>
    </row>
    <row r="47665">
      <c r="P47665" s="42"/>
      <c r="AB47665" s="38"/>
    </row>
    <row r="47666">
      <c r="P47666" s="42"/>
      <c r="AB47666" s="38"/>
    </row>
    <row r="47667">
      <c r="P47667" s="42"/>
      <c r="AB47667" s="38"/>
    </row>
    <row r="47668">
      <c r="P47668" s="42"/>
      <c r="AB47668" s="38"/>
    </row>
    <row r="47669">
      <c r="P47669" s="42"/>
      <c r="AB47669" s="38"/>
    </row>
    <row r="47670">
      <c r="P47670" s="42"/>
      <c r="AB47670" s="38"/>
    </row>
    <row r="47671">
      <c r="P47671" s="42"/>
      <c r="AB47671" s="38"/>
    </row>
    <row r="47672">
      <c r="P47672" s="42"/>
      <c r="AB47672" s="38"/>
    </row>
    <row r="47673">
      <c r="P47673" s="42"/>
      <c r="AB47673" s="38"/>
    </row>
    <row r="47674">
      <c r="P47674" s="42"/>
      <c r="AB47674" s="38"/>
    </row>
    <row r="47675">
      <c r="P47675" s="42"/>
      <c r="AB47675" s="38"/>
    </row>
    <row r="47676">
      <c r="P47676" s="42"/>
      <c r="AB47676" s="38"/>
    </row>
    <row r="47677">
      <c r="P47677" s="42"/>
      <c r="AB47677" s="38"/>
    </row>
    <row r="47678">
      <c r="P47678" s="42"/>
      <c r="AB47678" s="38"/>
    </row>
    <row r="47679">
      <c r="P47679" s="42"/>
      <c r="AB47679" s="38"/>
    </row>
    <row r="47680">
      <c r="P47680" s="42"/>
      <c r="AB47680" s="38"/>
    </row>
    <row r="47681">
      <c r="P47681" s="42"/>
      <c r="AB47681" s="38"/>
    </row>
    <row r="47682">
      <c r="P47682" s="42"/>
      <c r="AB47682" s="38"/>
    </row>
    <row r="47683">
      <c r="P47683" s="42"/>
      <c r="AB47683" s="38"/>
    </row>
    <row r="47684">
      <c r="P47684" s="42"/>
      <c r="AB47684" s="38"/>
    </row>
    <row r="47685">
      <c r="P47685" s="42"/>
      <c r="AB47685" s="38"/>
    </row>
    <row r="47686">
      <c r="P47686" s="42"/>
      <c r="AB47686" s="38"/>
    </row>
    <row r="47687">
      <c r="P47687" s="42"/>
      <c r="AB47687" s="38"/>
    </row>
    <row r="47688">
      <c r="P47688" s="42"/>
      <c r="AB47688" s="38"/>
    </row>
    <row r="47689">
      <c r="P47689" s="42"/>
      <c r="AB47689" s="38"/>
    </row>
    <row r="47690">
      <c r="P47690" s="42"/>
      <c r="AB47690" s="38"/>
    </row>
    <row r="47691">
      <c r="P47691" s="42"/>
      <c r="AB47691" s="38"/>
    </row>
    <row r="47692">
      <c r="P47692" s="42"/>
      <c r="AB47692" s="38"/>
    </row>
    <row r="47693">
      <c r="P47693" s="42"/>
      <c r="AB47693" s="38"/>
    </row>
    <row r="47694">
      <c r="P47694" s="42"/>
      <c r="AB47694" s="38"/>
    </row>
    <row r="47695">
      <c r="P47695" s="42"/>
      <c r="AB47695" s="38"/>
    </row>
    <row r="47696">
      <c r="P47696" s="42"/>
      <c r="AB47696" s="38"/>
    </row>
    <row r="47697">
      <c r="P47697" s="42"/>
      <c r="AB47697" s="38"/>
    </row>
    <row r="47698">
      <c r="P47698" s="42"/>
      <c r="AB47698" s="38"/>
    </row>
    <row r="47699">
      <c r="P47699" s="42"/>
      <c r="AB47699" s="38"/>
    </row>
    <row r="47700">
      <c r="P47700" s="42"/>
      <c r="AB47700" s="38"/>
    </row>
    <row r="47701">
      <c r="P47701" s="42"/>
      <c r="AB47701" s="38"/>
    </row>
    <row r="47702">
      <c r="P47702" s="42"/>
      <c r="AB47702" s="38"/>
    </row>
    <row r="47703">
      <c r="P47703" s="42"/>
      <c r="AB47703" s="38"/>
    </row>
    <row r="47704">
      <c r="P47704" s="42"/>
      <c r="AB47704" s="38"/>
    </row>
    <row r="47705">
      <c r="P47705" s="42"/>
      <c r="AB47705" s="38"/>
    </row>
    <row r="47706">
      <c r="P47706" s="42"/>
      <c r="AB47706" s="38"/>
    </row>
    <row r="47707">
      <c r="P47707" s="42"/>
      <c r="AB47707" s="38"/>
    </row>
    <row r="47708">
      <c r="P47708" s="42"/>
      <c r="AB47708" s="38"/>
    </row>
    <row r="47709">
      <c r="P47709" s="42"/>
      <c r="AB47709" s="38"/>
    </row>
    <row r="47710">
      <c r="P47710" s="42"/>
      <c r="AB47710" s="38"/>
    </row>
    <row r="47711">
      <c r="P47711" s="42"/>
      <c r="AB47711" s="38"/>
    </row>
    <row r="47712">
      <c r="P47712" s="42"/>
      <c r="AB47712" s="38"/>
    </row>
    <row r="47713">
      <c r="P47713" s="42"/>
      <c r="AB47713" s="38"/>
    </row>
    <row r="47714">
      <c r="P47714" s="42"/>
      <c r="AB47714" s="38"/>
    </row>
    <row r="47715">
      <c r="P47715" s="42"/>
      <c r="AB47715" s="38"/>
    </row>
    <row r="47716">
      <c r="P47716" s="42"/>
      <c r="AB47716" s="38"/>
    </row>
    <row r="47717">
      <c r="P47717" s="42"/>
      <c r="AB47717" s="38"/>
    </row>
    <row r="47718">
      <c r="P47718" s="42"/>
      <c r="AB47718" s="38"/>
    </row>
    <row r="47719">
      <c r="P47719" s="42"/>
      <c r="AB47719" s="38"/>
    </row>
    <row r="47720">
      <c r="P47720" s="42"/>
      <c r="AB47720" s="38"/>
    </row>
    <row r="47721">
      <c r="P47721" s="42"/>
      <c r="AB47721" s="38"/>
    </row>
    <row r="47722">
      <c r="P47722" s="42"/>
      <c r="AB47722" s="38"/>
    </row>
    <row r="47723">
      <c r="P47723" s="42"/>
      <c r="AB47723" s="38"/>
    </row>
    <row r="47724">
      <c r="P47724" s="42"/>
      <c r="AB47724" s="38"/>
    </row>
    <row r="47725">
      <c r="P47725" s="42"/>
      <c r="AB47725" s="38"/>
    </row>
    <row r="47726">
      <c r="P47726" s="42"/>
      <c r="AB47726" s="38"/>
    </row>
    <row r="47727">
      <c r="P47727" s="42"/>
      <c r="AB47727" s="38"/>
    </row>
    <row r="47728">
      <c r="P47728" s="42"/>
      <c r="AB47728" s="38"/>
    </row>
    <row r="47729">
      <c r="P47729" s="42"/>
      <c r="AB47729" s="38"/>
    </row>
    <row r="47730">
      <c r="P47730" s="42"/>
      <c r="AB47730" s="38"/>
    </row>
    <row r="47731">
      <c r="P47731" s="42"/>
      <c r="AB47731" s="38"/>
    </row>
    <row r="47732">
      <c r="P47732" s="42"/>
      <c r="AB47732" s="38"/>
    </row>
    <row r="47733">
      <c r="P47733" s="42"/>
      <c r="AB47733" s="38"/>
    </row>
    <row r="47734">
      <c r="P47734" s="42"/>
      <c r="AB47734" s="38"/>
    </row>
    <row r="47735">
      <c r="P47735" s="42"/>
      <c r="AB47735" s="38"/>
    </row>
    <row r="47736">
      <c r="P47736" s="42"/>
      <c r="AB47736" s="38"/>
    </row>
    <row r="47737">
      <c r="P47737" s="42"/>
      <c r="AB47737" s="38"/>
    </row>
    <row r="47738">
      <c r="P47738" s="42"/>
      <c r="AB47738" s="38"/>
    </row>
    <row r="47739">
      <c r="P47739" s="42"/>
      <c r="AB47739" s="38"/>
    </row>
    <row r="47740">
      <c r="P47740" s="42"/>
      <c r="AB47740" s="38"/>
    </row>
    <row r="47741">
      <c r="P47741" s="42"/>
      <c r="AB47741" s="38"/>
    </row>
    <row r="47742">
      <c r="P47742" s="42"/>
      <c r="AB47742" s="38"/>
    </row>
    <row r="47743">
      <c r="P47743" s="42"/>
      <c r="AB47743" s="38"/>
    </row>
    <row r="47744">
      <c r="P47744" s="42"/>
      <c r="AB47744" s="38"/>
    </row>
    <row r="47745">
      <c r="P47745" s="42"/>
      <c r="AB47745" s="38"/>
    </row>
    <row r="47746">
      <c r="P47746" s="42"/>
      <c r="AB47746" s="38"/>
    </row>
    <row r="47747">
      <c r="P47747" s="42"/>
      <c r="AB47747" s="38"/>
    </row>
    <row r="47748">
      <c r="P47748" s="42"/>
      <c r="AB47748" s="38"/>
    </row>
    <row r="47749">
      <c r="P47749" s="42"/>
      <c r="AB47749" s="38"/>
    </row>
    <row r="47750">
      <c r="P47750" s="42"/>
      <c r="AB47750" s="38"/>
    </row>
    <row r="47751">
      <c r="P47751" s="42"/>
      <c r="AB47751" s="38"/>
    </row>
    <row r="47752">
      <c r="P47752" s="42"/>
      <c r="AB47752" s="38"/>
    </row>
    <row r="47753">
      <c r="P47753" s="42"/>
      <c r="AB47753" s="38"/>
    </row>
    <row r="47754">
      <c r="P47754" s="42"/>
      <c r="AB47754" s="38"/>
    </row>
    <row r="47755">
      <c r="P47755" s="42"/>
      <c r="AB47755" s="38"/>
    </row>
    <row r="47756">
      <c r="P47756" s="42"/>
      <c r="AB47756" s="38"/>
    </row>
    <row r="47757">
      <c r="P47757" s="42"/>
      <c r="AB47757" s="38"/>
    </row>
    <row r="47758">
      <c r="P47758" s="42"/>
      <c r="AB47758" s="38"/>
    </row>
    <row r="47759">
      <c r="P47759" s="42"/>
      <c r="AB47759" s="38"/>
    </row>
    <row r="47760">
      <c r="P47760" s="42"/>
      <c r="AB47760" s="38"/>
    </row>
    <row r="47761">
      <c r="P47761" s="42"/>
      <c r="AB47761" s="38"/>
    </row>
    <row r="47762">
      <c r="P47762" s="42"/>
      <c r="AB47762" s="38"/>
    </row>
    <row r="47763">
      <c r="P47763" s="42"/>
      <c r="AB47763" s="38"/>
    </row>
    <row r="47764">
      <c r="P47764" s="42"/>
      <c r="AB47764" s="38"/>
    </row>
    <row r="47765">
      <c r="P47765" s="42"/>
      <c r="AB47765" s="38"/>
    </row>
    <row r="47766">
      <c r="P47766" s="42"/>
      <c r="AB47766" s="38"/>
    </row>
    <row r="47767">
      <c r="P47767" s="42"/>
      <c r="AB47767" s="38"/>
    </row>
    <row r="47768">
      <c r="P47768" s="42"/>
      <c r="AB47768" s="38"/>
    </row>
    <row r="47769">
      <c r="P47769" s="42"/>
      <c r="AB47769" s="38"/>
    </row>
    <row r="47770">
      <c r="P47770" s="42"/>
      <c r="AB47770" s="38"/>
    </row>
    <row r="47771">
      <c r="P47771" s="42"/>
      <c r="AB47771" s="38"/>
    </row>
    <row r="47772">
      <c r="P47772" s="42"/>
      <c r="AB47772" s="38"/>
    </row>
    <row r="47773">
      <c r="P47773" s="42"/>
      <c r="AB47773" s="38"/>
    </row>
    <row r="47774">
      <c r="P47774" s="42"/>
      <c r="AB47774" s="38"/>
    </row>
    <row r="47775">
      <c r="P47775" s="42"/>
      <c r="AB47775" s="38"/>
    </row>
    <row r="47776">
      <c r="P47776" s="42"/>
      <c r="AB47776" s="38"/>
    </row>
    <row r="47777">
      <c r="P47777" s="42"/>
      <c r="AB47777" s="38"/>
    </row>
    <row r="47778">
      <c r="P47778" s="42"/>
      <c r="AB47778" s="38"/>
    </row>
    <row r="47779">
      <c r="P47779" s="42"/>
      <c r="AB47779" s="38"/>
    </row>
    <row r="47780">
      <c r="P47780" s="42"/>
      <c r="AB47780" s="38"/>
    </row>
    <row r="47781">
      <c r="P47781" s="42"/>
      <c r="AB47781" s="38"/>
    </row>
    <row r="47782">
      <c r="P47782" s="42"/>
      <c r="AB47782" s="38"/>
    </row>
    <row r="47783">
      <c r="P47783" s="42"/>
      <c r="AB47783" s="38"/>
    </row>
    <row r="47784">
      <c r="P47784" s="42"/>
      <c r="AB47784" s="38"/>
    </row>
    <row r="47785">
      <c r="P47785" s="42"/>
      <c r="AB47785" s="38"/>
    </row>
    <row r="47786">
      <c r="P47786" s="42"/>
      <c r="AB47786" s="38"/>
    </row>
    <row r="47787">
      <c r="P47787" s="42"/>
      <c r="AB47787" s="38"/>
    </row>
    <row r="47788">
      <c r="P47788" s="42"/>
      <c r="AB47788" s="38"/>
    </row>
    <row r="47789">
      <c r="P47789" s="42"/>
      <c r="AB47789" s="38"/>
    </row>
    <row r="47790">
      <c r="P47790" s="42"/>
      <c r="AB47790" s="38"/>
    </row>
    <row r="47791">
      <c r="P47791" s="42"/>
      <c r="AB47791" s="38"/>
    </row>
    <row r="47792">
      <c r="P47792" s="42"/>
      <c r="AB47792" s="38"/>
    </row>
    <row r="47793">
      <c r="P47793" s="42"/>
      <c r="AB47793" s="38"/>
    </row>
    <row r="47794">
      <c r="P47794" s="42"/>
      <c r="AB47794" s="38"/>
    </row>
    <row r="47795">
      <c r="P47795" s="42"/>
      <c r="AB47795" s="38"/>
    </row>
    <row r="47796">
      <c r="P47796" s="42"/>
      <c r="AB47796" s="38"/>
    </row>
    <row r="47797">
      <c r="P47797" s="42"/>
      <c r="AB47797" s="38"/>
    </row>
    <row r="47798">
      <c r="P47798" s="42"/>
      <c r="AB47798" s="38"/>
    </row>
    <row r="47799">
      <c r="P47799" s="42"/>
      <c r="AB47799" s="38"/>
    </row>
    <row r="47800">
      <c r="P47800" s="42"/>
      <c r="AB47800" s="38"/>
    </row>
    <row r="47801">
      <c r="P47801" s="42"/>
      <c r="AB47801" s="38"/>
    </row>
    <row r="47802">
      <c r="P47802" s="42"/>
      <c r="AB47802" s="38"/>
    </row>
    <row r="47803">
      <c r="P47803" s="42"/>
      <c r="AB47803" s="38"/>
    </row>
    <row r="47804">
      <c r="P47804" s="42"/>
      <c r="AB47804" s="38"/>
    </row>
    <row r="47805">
      <c r="P47805" s="42"/>
      <c r="AB47805" s="38"/>
    </row>
    <row r="47806">
      <c r="P47806" s="42"/>
      <c r="AB47806" s="38"/>
    </row>
    <row r="47807">
      <c r="P47807" s="42"/>
      <c r="AB47807" s="38"/>
    </row>
    <row r="47808">
      <c r="P47808" s="42"/>
      <c r="AB47808" s="38"/>
    </row>
    <row r="47809">
      <c r="P47809" s="42"/>
      <c r="AB47809" s="38"/>
    </row>
    <row r="47810">
      <c r="P47810" s="42"/>
      <c r="AB47810" s="38"/>
    </row>
    <row r="47811">
      <c r="P47811" s="42"/>
      <c r="AB47811" s="38"/>
    </row>
    <row r="47812">
      <c r="P47812" s="42"/>
      <c r="AB47812" s="38"/>
    </row>
    <row r="47813">
      <c r="P47813" s="42"/>
      <c r="AB47813" s="38"/>
    </row>
    <row r="47814">
      <c r="P47814" s="42"/>
      <c r="AB47814" s="38"/>
    </row>
    <row r="47815">
      <c r="P47815" s="42"/>
      <c r="AB47815" s="38"/>
    </row>
    <row r="47816">
      <c r="P47816" s="42"/>
      <c r="AB47816" s="38"/>
    </row>
    <row r="47817">
      <c r="P47817" s="42"/>
      <c r="AB47817" s="38"/>
    </row>
    <row r="47818">
      <c r="P47818" s="42"/>
      <c r="AB47818" s="38"/>
    </row>
    <row r="47819">
      <c r="P47819" s="42"/>
      <c r="AB47819" s="38"/>
    </row>
    <row r="47820">
      <c r="P47820" s="42"/>
      <c r="AB47820" s="38"/>
    </row>
    <row r="47821">
      <c r="P47821" s="42"/>
      <c r="AB47821" s="38"/>
    </row>
    <row r="47822">
      <c r="P47822" s="42"/>
      <c r="AB47822" s="38"/>
    </row>
    <row r="47823">
      <c r="P47823" s="42"/>
      <c r="AB47823" s="38"/>
    </row>
    <row r="47824">
      <c r="P47824" s="42"/>
      <c r="AB47824" s="38"/>
    </row>
    <row r="47825">
      <c r="P47825" s="42"/>
      <c r="AB47825" s="38"/>
    </row>
    <row r="47826">
      <c r="P47826" s="42"/>
      <c r="AB47826" s="38"/>
    </row>
    <row r="47827">
      <c r="P47827" s="42"/>
      <c r="AB47827" s="38"/>
    </row>
    <row r="47828">
      <c r="P47828" s="42"/>
      <c r="AB47828" s="38"/>
    </row>
    <row r="47829">
      <c r="P47829" s="42"/>
      <c r="AB47829" s="38"/>
    </row>
    <row r="47830">
      <c r="P47830" s="42"/>
      <c r="AB47830" s="38"/>
    </row>
    <row r="47831">
      <c r="P47831" s="42"/>
      <c r="AB47831" s="38"/>
    </row>
    <row r="47832">
      <c r="P47832" s="42"/>
      <c r="AB47832" s="38"/>
    </row>
    <row r="47833">
      <c r="P47833" s="42"/>
      <c r="AB47833" s="38"/>
    </row>
    <row r="47834">
      <c r="P47834" s="42"/>
      <c r="AB47834" s="38"/>
    </row>
    <row r="47835">
      <c r="P47835" s="42"/>
      <c r="AB47835" s="38"/>
    </row>
    <row r="47836">
      <c r="P47836" s="42"/>
      <c r="AB47836" s="38"/>
    </row>
    <row r="47837">
      <c r="P47837" s="42"/>
      <c r="AB47837" s="38"/>
    </row>
    <row r="47838">
      <c r="P47838" s="42"/>
      <c r="AB47838" s="38"/>
    </row>
    <row r="47839">
      <c r="P47839" s="42"/>
      <c r="AB47839" s="38"/>
    </row>
    <row r="47840">
      <c r="P47840" s="42"/>
      <c r="AB47840" s="38"/>
    </row>
    <row r="47841">
      <c r="P47841" s="42"/>
      <c r="AB47841" s="38"/>
    </row>
    <row r="47842">
      <c r="P47842" s="42"/>
      <c r="AB47842" s="38"/>
    </row>
    <row r="47843">
      <c r="P47843" s="42"/>
      <c r="AB47843" s="38"/>
    </row>
    <row r="47844">
      <c r="P47844" s="42"/>
      <c r="AB47844" s="38"/>
    </row>
    <row r="47845">
      <c r="P47845" s="42"/>
      <c r="AB47845" s="38"/>
    </row>
    <row r="47846">
      <c r="P47846" s="42"/>
      <c r="AB47846" s="38"/>
    </row>
    <row r="47847">
      <c r="P47847" s="42"/>
      <c r="AB47847" s="38"/>
    </row>
    <row r="47848">
      <c r="P47848" s="42"/>
      <c r="AB47848" s="38"/>
    </row>
    <row r="47849">
      <c r="P47849" s="42"/>
      <c r="AB47849" s="38"/>
    </row>
    <row r="47850">
      <c r="P47850" s="42"/>
      <c r="AB47850" s="38"/>
    </row>
    <row r="47851">
      <c r="P47851" s="42"/>
      <c r="AB47851" s="38"/>
    </row>
    <row r="47852">
      <c r="P47852" s="42"/>
      <c r="AB47852" s="38"/>
    </row>
    <row r="47853">
      <c r="P47853" s="42"/>
      <c r="AB47853" s="38"/>
    </row>
    <row r="47854">
      <c r="P47854" s="42"/>
      <c r="AB47854" s="38"/>
    </row>
    <row r="47855">
      <c r="P47855" s="42"/>
      <c r="AB47855" s="38"/>
    </row>
    <row r="47856">
      <c r="P47856" s="42"/>
      <c r="AB47856" s="38"/>
    </row>
    <row r="47857">
      <c r="P47857" s="42"/>
      <c r="AB47857" s="38"/>
    </row>
    <row r="47858">
      <c r="P47858" s="42"/>
      <c r="AB47858" s="38"/>
    </row>
    <row r="47859">
      <c r="P47859" s="42"/>
      <c r="AB47859" s="38"/>
    </row>
    <row r="47860">
      <c r="P47860" s="42"/>
      <c r="AB47860" s="38"/>
    </row>
    <row r="47861">
      <c r="P47861" s="42"/>
      <c r="AB47861" s="38"/>
    </row>
    <row r="47862">
      <c r="P47862" s="42"/>
      <c r="AB47862" s="38"/>
    </row>
    <row r="47863">
      <c r="P47863" s="42"/>
      <c r="AB47863" s="38"/>
    </row>
    <row r="47864">
      <c r="P47864" s="42"/>
      <c r="AB47864" s="38"/>
    </row>
    <row r="47865">
      <c r="P47865" s="42"/>
      <c r="AB47865" s="38"/>
    </row>
    <row r="47866">
      <c r="P47866" s="42"/>
      <c r="AB47866" s="38"/>
    </row>
    <row r="47867">
      <c r="P47867" s="42"/>
      <c r="AB47867" s="38"/>
    </row>
    <row r="47868">
      <c r="P47868" s="42"/>
      <c r="AB47868" s="38"/>
    </row>
    <row r="47869">
      <c r="P47869" s="42"/>
      <c r="AB47869" s="38"/>
    </row>
    <row r="47870">
      <c r="P47870" s="42"/>
      <c r="AB47870" s="38"/>
    </row>
    <row r="47871">
      <c r="P47871" s="42"/>
      <c r="AB47871" s="38"/>
    </row>
    <row r="47872">
      <c r="P47872" s="42"/>
      <c r="AB47872" s="38"/>
    </row>
    <row r="47873">
      <c r="P47873" s="42"/>
      <c r="AB47873" s="38"/>
    </row>
    <row r="47874">
      <c r="P47874" s="42"/>
      <c r="AB47874" s="38"/>
    </row>
    <row r="47875">
      <c r="P47875" s="42"/>
      <c r="AB47875" s="38"/>
    </row>
    <row r="47876">
      <c r="P47876" s="42"/>
      <c r="AB47876" s="38"/>
    </row>
    <row r="47877">
      <c r="P47877" s="42"/>
      <c r="AB47877" s="38"/>
    </row>
    <row r="47878">
      <c r="P47878" s="42"/>
      <c r="AB47878" s="38"/>
    </row>
    <row r="47879">
      <c r="P47879" s="42"/>
      <c r="AB47879" s="38"/>
    </row>
    <row r="47880">
      <c r="P47880" s="42"/>
      <c r="AB47880" s="38"/>
    </row>
    <row r="47881">
      <c r="P47881" s="42"/>
      <c r="AB47881" s="38"/>
    </row>
    <row r="47882">
      <c r="P47882" s="42"/>
      <c r="AB47882" s="38"/>
    </row>
    <row r="47883">
      <c r="P47883" s="42"/>
      <c r="AB47883" s="38"/>
    </row>
    <row r="47884">
      <c r="P47884" s="42"/>
      <c r="AB47884" s="38"/>
    </row>
    <row r="47885">
      <c r="P47885" s="42"/>
      <c r="AB47885" s="38"/>
    </row>
    <row r="47886">
      <c r="P47886" s="42"/>
      <c r="AB47886" s="38"/>
    </row>
    <row r="47887">
      <c r="P47887" s="42"/>
      <c r="AB47887" s="38"/>
    </row>
    <row r="47888">
      <c r="P47888" s="42"/>
      <c r="AB47888" s="38"/>
    </row>
    <row r="47889">
      <c r="P47889" s="42"/>
      <c r="AB47889" s="38"/>
    </row>
    <row r="47890">
      <c r="P47890" s="42"/>
      <c r="AB47890" s="38"/>
    </row>
    <row r="47891">
      <c r="P47891" s="42"/>
      <c r="AB47891" s="38"/>
    </row>
    <row r="47892">
      <c r="P47892" s="42"/>
      <c r="AB47892" s="38"/>
    </row>
    <row r="47893">
      <c r="P47893" s="42"/>
      <c r="AB47893" s="38"/>
    </row>
    <row r="47894">
      <c r="P47894" s="42"/>
      <c r="AB47894" s="38"/>
    </row>
    <row r="47895">
      <c r="P47895" s="42"/>
      <c r="AB47895" s="38"/>
    </row>
    <row r="47896">
      <c r="P47896" s="42"/>
      <c r="AB47896" s="38"/>
    </row>
    <row r="47897">
      <c r="P47897" s="42"/>
      <c r="AB47897" s="38"/>
    </row>
    <row r="47898">
      <c r="P47898" s="42"/>
      <c r="AB47898" s="38"/>
    </row>
    <row r="47899">
      <c r="P47899" s="42"/>
      <c r="AB47899" s="38"/>
    </row>
    <row r="47900">
      <c r="P47900" s="42"/>
      <c r="AB47900" s="38"/>
    </row>
    <row r="47901">
      <c r="P47901" s="42"/>
      <c r="AB47901" s="38"/>
    </row>
    <row r="47902">
      <c r="P47902" s="42"/>
      <c r="AB47902" s="38"/>
    </row>
    <row r="47903">
      <c r="P47903" s="42"/>
      <c r="AB47903" s="38"/>
    </row>
    <row r="47904">
      <c r="P47904" s="42"/>
      <c r="AB47904" s="38"/>
    </row>
    <row r="47905">
      <c r="P47905" s="42"/>
      <c r="AB47905" s="38"/>
    </row>
    <row r="47906">
      <c r="P47906" s="42"/>
      <c r="AB47906" s="38"/>
    </row>
    <row r="47907">
      <c r="P47907" s="42"/>
      <c r="AB47907" s="38"/>
    </row>
    <row r="47908">
      <c r="P47908" s="42"/>
      <c r="AB47908" s="38"/>
    </row>
    <row r="47909">
      <c r="P47909" s="42"/>
      <c r="AB47909" s="38"/>
    </row>
    <row r="47910">
      <c r="P47910" s="42"/>
      <c r="AB47910" s="38"/>
    </row>
    <row r="47911">
      <c r="P47911" s="42"/>
      <c r="AB47911" s="38"/>
    </row>
    <row r="47912">
      <c r="P47912" s="42"/>
      <c r="AB47912" s="38"/>
    </row>
    <row r="47913">
      <c r="P47913" s="42"/>
      <c r="AB47913" s="38"/>
    </row>
    <row r="47914">
      <c r="P47914" s="42"/>
      <c r="AB47914" s="38"/>
    </row>
    <row r="47915">
      <c r="P47915" s="42"/>
      <c r="AB47915" s="38"/>
    </row>
    <row r="47916">
      <c r="P47916" s="42"/>
      <c r="AB47916" s="38"/>
    </row>
    <row r="47917">
      <c r="P47917" s="42"/>
      <c r="AB47917" s="38"/>
    </row>
    <row r="47918">
      <c r="P47918" s="42"/>
      <c r="AB47918" s="38"/>
    </row>
    <row r="47919">
      <c r="P47919" s="42"/>
      <c r="AB47919" s="38"/>
    </row>
    <row r="47920">
      <c r="P47920" s="42"/>
      <c r="AB47920" s="38"/>
    </row>
    <row r="47921">
      <c r="P47921" s="42"/>
      <c r="AB47921" s="38"/>
    </row>
    <row r="47922">
      <c r="P47922" s="42"/>
      <c r="AB47922" s="38"/>
    </row>
    <row r="47923">
      <c r="P47923" s="42"/>
      <c r="AB47923" s="38"/>
    </row>
    <row r="47924">
      <c r="P47924" s="42"/>
      <c r="AB47924" s="38"/>
    </row>
    <row r="47925">
      <c r="P47925" s="42"/>
      <c r="AB47925" s="38"/>
    </row>
    <row r="47926">
      <c r="P47926" s="42"/>
      <c r="AB47926" s="38"/>
    </row>
    <row r="47927">
      <c r="P47927" s="42"/>
      <c r="AB47927" s="38"/>
    </row>
    <row r="47928">
      <c r="P47928" s="42"/>
      <c r="AB47928" s="38"/>
    </row>
    <row r="47929">
      <c r="P47929" s="42"/>
      <c r="AB47929" s="38"/>
    </row>
    <row r="47930">
      <c r="P47930" s="42"/>
      <c r="AB47930" s="38"/>
    </row>
    <row r="47931">
      <c r="P47931" s="42"/>
      <c r="AB47931" s="38"/>
    </row>
    <row r="47932">
      <c r="P47932" s="42"/>
      <c r="AB47932" s="38"/>
    </row>
    <row r="47933">
      <c r="P47933" s="42"/>
      <c r="AB47933" s="38"/>
    </row>
    <row r="47934">
      <c r="P47934" s="42"/>
      <c r="AB47934" s="38"/>
    </row>
    <row r="47935">
      <c r="P47935" s="42"/>
      <c r="AB47935" s="38"/>
    </row>
    <row r="47936">
      <c r="P47936" s="42"/>
      <c r="AB47936" s="38"/>
    </row>
    <row r="47937">
      <c r="P47937" s="42"/>
      <c r="AB47937" s="38"/>
    </row>
    <row r="47938">
      <c r="P47938" s="42"/>
      <c r="AB47938" s="38"/>
    </row>
    <row r="47939">
      <c r="P47939" s="42"/>
      <c r="AB47939" s="38"/>
    </row>
    <row r="47940">
      <c r="P47940" s="42"/>
      <c r="AB47940" s="38"/>
    </row>
    <row r="47941">
      <c r="P47941" s="42"/>
      <c r="AB47941" s="38"/>
    </row>
    <row r="47942">
      <c r="P47942" s="42"/>
      <c r="AB47942" s="38"/>
    </row>
    <row r="47943">
      <c r="P47943" s="42"/>
      <c r="AB47943" s="38"/>
    </row>
    <row r="47944">
      <c r="P47944" s="42"/>
      <c r="AB47944" s="38"/>
    </row>
    <row r="47945">
      <c r="P47945" s="42"/>
      <c r="AB47945" s="38"/>
    </row>
    <row r="47946">
      <c r="P47946" s="42"/>
      <c r="AB47946" s="38"/>
    </row>
    <row r="47947">
      <c r="P47947" s="42"/>
      <c r="AB47947" s="38"/>
    </row>
    <row r="47948">
      <c r="P47948" s="42"/>
      <c r="AB47948" s="38"/>
    </row>
    <row r="47949">
      <c r="P47949" s="42"/>
      <c r="AB47949" s="38"/>
    </row>
    <row r="47950">
      <c r="P47950" s="42"/>
      <c r="AB47950" s="38"/>
    </row>
    <row r="47951">
      <c r="P47951" s="42"/>
      <c r="AB47951" s="38"/>
    </row>
    <row r="47952">
      <c r="P47952" s="42"/>
      <c r="AB47952" s="38"/>
    </row>
    <row r="47953">
      <c r="P47953" s="42"/>
      <c r="AB47953" s="38"/>
    </row>
    <row r="47954">
      <c r="P47954" s="42"/>
      <c r="AB47954" s="38"/>
    </row>
    <row r="47955">
      <c r="P47955" s="42"/>
      <c r="AB47955" s="38"/>
    </row>
    <row r="47956">
      <c r="P47956" s="42"/>
      <c r="AB47956" s="38"/>
    </row>
    <row r="47957">
      <c r="P47957" s="42"/>
      <c r="AB47957" s="38"/>
    </row>
    <row r="47958">
      <c r="P47958" s="42"/>
      <c r="AB47958" s="38"/>
    </row>
    <row r="47959">
      <c r="P47959" s="42"/>
      <c r="AB47959" s="38"/>
    </row>
    <row r="47960">
      <c r="P47960" s="42"/>
      <c r="AB47960" s="38"/>
    </row>
    <row r="47961">
      <c r="P47961" s="42"/>
      <c r="AB47961" s="38"/>
    </row>
    <row r="47962">
      <c r="P47962" s="42"/>
      <c r="AB47962" s="38"/>
    </row>
    <row r="47963">
      <c r="P47963" s="42"/>
      <c r="AB47963" s="38"/>
    </row>
    <row r="47964">
      <c r="P47964" s="42"/>
      <c r="AB47964" s="38"/>
    </row>
    <row r="47965">
      <c r="P47965" s="42"/>
      <c r="AB47965" s="38"/>
    </row>
    <row r="47966">
      <c r="P47966" s="42"/>
      <c r="AB47966" s="38"/>
    </row>
    <row r="47967">
      <c r="P47967" s="42"/>
      <c r="AB47967" s="38"/>
    </row>
    <row r="47968">
      <c r="P47968" s="42"/>
      <c r="AB47968" s="38"/>
    </row>
    <row r="47969">
      <c r="P47969" s="42"/>
      <c r="AB47969" s="38"/>
    </row>
    <row r="47970">
      <c r="P47970" s="42"/>
      <c r="AB47970" s="38"/>
    </row>
    <row r="47971">
      <c r="P47971" s="42"/>
      <c r="AB47971" s="38"/>
    </row>
    <row r="47972">
      <c r="P47972" s="42"/>
      <c r="AB47972" s="38"/>
    </row>
    <row r="47973">
      <c r="P47973" s="42"/>
      <c r="AB47973" s="38"/>
    </row>
    <row r="47974">
      <c r="P47974" s="42"/>
      <c r="AB47974" s="38"/>
    </row>
    <row r="47975">
      <c r="P47975" s="42"/>
      <c r="AB47975" s="38"/>
    </row>
    <row r="47976">
      <c r="P47976" s="42"/>
      <c r="AB47976" s="38"/>
    </row>
    <row r="47977">
      <c r="P47977" s="42"/>
      <c r="AB47977" s="38"/>
    </row>
    <row r="47978">
      <c r="P47978" s="42"/>
      <c r="AB47978" s="38"/>
    </row>
    <row r="47979">
      <c r="P47979" s="42"/>
      <c r="AB47979" s="38"/>
    </row>
    <row r="47980">
      <c r="P47980" s="42"/>
      <c r="AB47980" s="38"/>
    </row>
    <row r="47981">
      <c r="P47981" s="42"/>
      <c r="AB47981" s="38"/>
    </row>
    <row r="47982">
      <c r="P47982" s="42"/>
      <c r="AB47982" s="38"/>
    </row>
    <row r="47983">
      <c r="P47983" s="42"/>
      <c r="AB47983" s="38"/>
    </row>
    <row r="47984">
      <c r="P47984" s="42"/>
      <c r="AB47984" s="38"/>
    </row>
    <row r="47985">
      <c r="P47985" s="42"/>
      <c r="AB47985" s="38"/>
    </row>
    <row r="47986">
      <c r="P47986" s="42"/>
      <c r="AB47986" s="38"/>
    </row>
    <row r="47987">
      <c r="P47987" s="42"/>
      <c r="AB47987" s="38"/>
    </row>
    <row r="47988">
      <c r="P47988" s="42"/>
      <c r="AB47988" s="38"/>
    </row>
    <row r="47989">
      <c r="P47989" s="42"/>
      <c r="AB47989" s="38"/>
    </row>
    <row r="47990">
      <c r="P47990" s="42"/>
      <c r="AB47990" s="38"/>
    </row>
    <row r="47991">
      <c r="P47991" s="42"/>
      <c r="AB47991" s="38"/>
    </row>
    <row r="47992">
      <c r="P47992" s="42"/>
      <c r="AB47992" s="38"/>
    </row>
    <row r="47993">
      <c r="P47993" s="42"/>
      <c r="AB47993" s="38"/>
    </row>
    <row r="47994">
      <c r="P47994" s="42"/>
      <c r="AB47994" s="38"/>
    </row>
    <row r="47995">
      <c r="P47995" s="42"/>
      <c r="AB47995" s="38"/>
    </row>
    <row r="47996">
      <c r="P47996" s="42"/>
      <c r="AB47996" s="38"/>
    </row>
    <row r="47997">
      <c r="P47997" s="42"/>
      <c r="AB47997" s="38"/>
    </row>
    <row r="47998">
      <c r="P47998" s="42"/>
      <c r="AB47998" s="38"/>
    </row>
    <row r="47999">
      <c r="P47999" s="42"/>
      <c r="AB47999" s="38"/>
    </row>
    <row r="48000">
      <c r="P48000" s="42"/>
      <c r="AB48000" s="38"/>
    </row>
    <row r="48001">
      <c r="P48001" s="42"/>
      <c r="AB48001" s="38"/>
    </row>
    <row r="48002">
      <c r="P48002" s="42"/>
      <c r="AB48002" s="38"/>
    </row>
    <row r="48003">
      <c r="P48003" s="42"/>
      <c r="AB48003" s="38"/>
    </row>
    <row r="48004">
      <c r="P48004" s="42"/>
      <c r="AB48004" s="38"/>
    </row>
    <row r="48005">
      <c r="P48005" s="42"/>
      <c r="AB48005" s="38"/>
    </row>
    <row r="48006">
      <c r="P48006" s="42"/>
      <c r="AB48006" s="38"/>
    </row>
    <row r="48007">
      <c r="P48007" s="42"/>
      <c r="AB48007" s="38"/>
    </row>
    <row r="48008">
      <c r="P48008" s="42"/>
      <c r="AB48008" s="38"/>
    </row>
    <row r="48009">
      <c r="P48009" s="42"/>
      <c r="AB48009" s="38"/>
    </row>
    <row r="48010">
      <c r="P48010" s="42"/>
      <c r="AB48010" s="38"/>
    </row>
    <row r="48011">
      <c r="P48011" s="42"/>
      <c r="AB48011" s="38"/>
    </row>
    <row r="48012">
      <c r="P48012" s="42"/>
      <c r="AB48012" s="38"/>
    </row>
    <row r="48013">
      <c r="P48013" s="42"/>
      <c r="AB48013" s="38"/>
    </row>
    <row r="48014">
      <c r="P48014" s="42"/>
      <c r="AB48014" s="38"/>
    </row>
    <row r="48015">
      <c r="P48015" s="42"/>
      <c r="AB48015" s="38"/>
    </row>
    <row r="48016">
      <c r="P48016" s="42"/>
      <c r="AB48016" s="38"/>
    </row>
    <row r="48017">
      <c r="P48017" s="42"/>
      <c r="AB48017" s="38"/>
    </row>
    <row r="48018">
      <c r="P48018" s="42"/>
      <c r="AB48018" s="38"/>
    </row>
    <row r="48019">
      <c r="P48019" s="42"/>
      <c r="AB48019" s="38"/>
    </row>
    <row r="48020">
      <c r="P48020" s="42"/>
      <c r="AB48020" s="38"/>
    </row>
    <row r="48021">
      <c r="P48021" s="42"/>
      <c r="AB48021" s="38"/>
    </row>
    <row r="48022">
      <c r="P48022" s="42"/>
      <c r="AB48022" s="38"/>
    </row>
    <row r="48023">
      <c r="P48023" s="42"/>
      <c r="AB48023" s="38"/>
    </row>
    <row r="48024">
      <c r="P48024" s="42"/>
      <c r="AB48024" s="38"/>
    </row>
    <row r="48025">
      <c r="P48025" s="42"/>
      <c r="AB48025" s="38"/>
    </row>
    <row r="48026">
      <c r="P48026" s="42"/>
      <c r="AB48026" s="38"/>
    </row>
    <row r="48027">
      <c r="P48027" s="42"/>
      <c r="AB48027" s="38"/>
    </row>
    <row r="48028">
      <c r="P48028" s="42"/>
      <c r="AB48028" s="38"/>
    </row>
    <row r="48029">
      <c r="P48029" s="42"/>
      <c r="AB48029" s="38"/>
    </row>
    <row r="48030">
      <c r="P48030" s="42"/>
      <c r="AB48030" s="38"/>
    </row>
    <row r="48031">
      <c r="P48031" s="42"/>
      <c r="AB48031" s="38"/>
    </row>
    <row r="48032">
      <c r="P48032" s="42"/>
      <c r="AB48032" s="38"/>
    </row>
    <row r="48033">
      <c r="P48033" s="42"/>
      <c r="AB48033" s="38"/>
    </row>
    <row r="48034">
      <c r="P48034" s="42"/>
      <c r="AB48034" s="38"/>
    </row>
    <row r="48035">
      <c r="P48035" s="42"/>
      <c r="AB48035" s="38"/>
    </row>
    <row r="48036">
      <c r="P48036" s="42"/>
      <c r="AB48036" s="38"/>
    </row>
    <row r="48037">
      <c r="P48037" s="42"/>
      <c r="AB48037" s="38"/>
    </row>
    <row r="48038">
      <c r="P48038" s="42"/>
      <c r="AB48038" s="38"/>
    </row>
    <row r="48039">
      <c r="P48039" s="42"/>
      <c r="AB48039" s="38"/>
    </row>
    <row r="48040">
      <c r="P48040" s="42"/>
      <c r="AB48040" s="38"/>
    </row>
    <row r="48041">
      <c r="P48041" s="42"/>
      <c r="AB48041" s="38"/>
    </row>
    <row r="48042">
      <c r="P48042" s="42"/>
      <c r="AB48042" s="38"/>
    </row>
    <row r="48043">
      <c r="P48043" s="42"/>
      <c r="AB48043" s="38"/>
    </row>
    <row r="48044">
      <c r="P48044" s="42"/>
      <c r="AB48044" s="38"/>
    </row>
    <row r="48045">
      <c r="P48045" s="42"/>
      <c r="AB48045" s="38"/>
    </row>
    <row r="48046">
      <c r="P48046" s="42"/>
      <c r="AB48046" s="38"/>
    </row>
    <row r="48047">
      <c r="P48047" s="42"/>
      <c r="AB48047" s="38"/>
    </row>
    <row r="48048">
      <c r="P48048" s="42"/>
      <c r="AB48048" s="38"/>
    </row>
    <row r="48049">
      <c r="P48049" s="42"/>
      <c r="AB48049" s="38"/>
    </row>
    <row r="48050">
      <c r="P48050" s="42"/>
      <c r="AB48050" s="38"/>
    </row>
    <row r="48051">
      <c r="P48051" s="42"/>
      <c r="AB48051" s="38"/>
    </row>
    <row r="48052">
      <c r="P48052" s="42"/>
      <c r="AB48052" s="38"/>
    </row>
    <row r="48053">
      <c r="P48053" s="42"/>
      <c r="AB48053" s="38"/>
    </row>
    <row r="48054">
      <c r="P48054" s="42"/>
      <c r="AB48054" s="38"/>
    </row>
    <row r="48055">
      <c r="P48055" s="42"/>
      <c r="AB48055" s="38"/>
    </row>
    <row r="48056">
      <c r="P48056" s="42"/>
      <c r="AB48056" s="38"/>
    </row>
    <row r="48057">
      <c r="P48057" s="42"/>
      <c r="AB48057" s="38"/>
    </row>
    <row r="48058">
      <c r="P48058" s="42"/>
      <c r="AB48058" s="38"/>
    </row>
    <row r="48059">
      <c r="P48059" s="42"/>
      <c r="AB48059" s="38"/>
    </row>
    <row r="48060">
      <c r="P48060" s="42"/>
      <c r="AB48060" s="38"/>
    </row>
    <row r="48061">
      <c r="P48061" s="42"/>
      <c r="AB48061" s="38"/>
    </row>
    <row r="48062">
      <c r="P48062" s="42"/>
      <c r="AB48062" s="38"/>
    </row>
    <row r="48063">
      <c r="P48063" s="42"/>
      <c r="AB48063" s="38"/>
    </row>
    <row r="48064">
      <c r="P48064" s="42"/>
      <c r="AB48064" s="38"/>
    </row>
    <row r="48065">
      <c r="P48065" s="42"/>
      <c r="AB48065" s="38"/>
    </row>
    <row r="48066">
      <c r="P48066" s="42"/>
      <c r="AB48066" s="38"/>
    </row>
    <row r="48067">
      <c r="P48067" s="42"/>
      <c r="AB48067" s="38"/>
    </row>
    <row r="48068">
      <c r="P48068" s="42"/>
      <c r="AB48068" s="38"/>
    </row>
    <row r="48069">
      <c r="P48069" s="42"/>
      <c r="AB48069" s="38"/>
    </row>
    <row r="48070">
      <c r="P48070" s="42"/>
      <c r="AB48070" s="38"/>
    </row>
    <row r="48071">
      <c r="P48071" s="42"/>
      <c r="AB48071" s="38"/>
    </row>
    <row r="48072">
      <c r="P48072" s="42"/>
      <c r="AB48072" s="38"/>
    </row>
    <row r="48073">
      <c r="P48073" s="42"/>
      <c r="AB48073" s="38"/>
    </row>
    <row r="48074">
      <c r="P48074" s="42"/>
      <c r="AB48074" s="38"/>
    </row>
    <row r="48075">
      <c r="P48075" s="42"/>
      <c r="AB48075" s="38"/>
    </row>
    <row r="48076">
      <c r="P48076" s="42"/>
      <c r="AB48076" s="38"/>
    </row>
    <row r="48077">
      <c r="P48077" s="42"/>
      <c r="AB48077" s="38"/>
    </row>
    <row r="48078">
      <c r="P48078" s="42"/>
      <c r="AB48078" s="38"/>
    </row>
    <row r="48079">
      <c r="P48079" s="42"/>
      <c r="AB48079" s="38"/>
    </row>
    <row r="48080">
      <c r="P48080" s="42"/>
      <c r="AB48080" s="38"/>
    </row>
    <row r="48081">
      <c r="P48081" s="42"/>
      <c r="AB48081" s="38"/>
    </row>
    <row r="48082">
      <c r="P48082" s="42"/>
      <c r="AB48082" s="38"/>
    </row>
    <row r="48083">
      <c r="P48083" s="42"/>
      <c r="AB48083" s="38"/>
    </row>
    <row r="48084">
      <c r="P48084" s="42"/>
      <c r="AB48084" s="38"/>
    </row>
    <row r="48085">
      <c r="P48085" s="42"/>
      <c r="AB48085" s="38"/>
    </row>
    <row r="48086">
      <c r="P48086" s="42"/>
      <c r="AB48086" s="38"/>
    </row>
    <row r="48087">
      <c r="P48087" s="42"/>
      <c r="AB48087" s="38"/>
    </row>
    <row r="48088">
      <c r="P48088" s="42"/>
      <c r="AB48088" s="38"/>
    </row>
    <row r="48089">
      <c r="P48089" s="42"/>
      <c r="AB48089" s="38"/>
    </row>
    <row r="48090">
      <c r="P48090" s="42"/>
      <c r="AB48090" s="38"/>
    </row>
    <row r="48091">
      <c r="P48091" s="42"/>
      <c r="AB48091" s="38"/>
    </row>
    <row r="48092">
      <c r="P48092" s="42"/>
      <c r="AB48092" s="38"/>
    </row>
    <row r="48093">
      <c r="P48093" s="42"/>
      <c r="AB48093" s="38"/>
    </row>
    <row r="48094">
      <c r="P48094" s="42"/>
      <c r="AB48094" s="38"/>
    </row>
    <row r="48095">
      <c r="P48095" s="42"/>
      <c r="AB48095" s="38"/>
    </row>
    <row r="48096">
      <c r="P48096" s="42"/>
      <c r="AB48096" s="38"/>
    </row>
    <row r="48097">
      <c r="P48097" s="42"/>
      <c r="AB48097" s="38"/>
    </row>
    <row r="48098">
      <c r="P48098" s="42"/>
      <c r="AB48098" s="38"/>
    </row>
    <row r="48099">
      <c r="P48099" s="42"/>
      <c r="AB48099" s="38"/>
    </row>
    <row r="48100">
      <c r="P48100" s="42"/>
      <c r="AB48100" s="38"/>
    </row>
    <row r="48101">
      <c r="P48101" s="42"/>
      <c r="AB48101" s="38"/>
    </row>
    <row r="48102">
      <c r="P48102" s="42"/>
      <c r="AB48102" s="38"/>
    </row>
    <row r="48103">
      <c r="P48103" s="42"/>
      <c r="AB48103" s="38"/>
    </row>
    <row r="48104">
      <c r="P48104" s="42"/>
      <c r="AB48104" s="38"/>
    </row>
    <row r="48105">
      <c r="P48105" s="42"/>
      <c r="AB48105" s="38"/>
    </row>
    <row r="48106">
      <c r="P48106" s="42"/>
      <c r="AB48106" s="38"/>
    </row>
    <row r="48107">
      <c r="P48107" s="42"/>
      <c r="AB48107" s="38"/>
    </row>
    <row r="48108">
      <c r="P48108" s="42"/>
      <c r="AB48108" s="38"/>
    </row>
    <row r="48109">
      <c r="P48109" s="42"/>
      <c r="AB48109" s="38"/>
    </row>
    <row r="48110">
      <c r="P48110" s="42"/>
      <c r="AB48110" s="38"/>
    </row>
    <row r="48111">
      <c r="P48111" s="42"/>
      <c r="AB48111" s="38"/>
    </row>
    <row r="48112">
      <c r="P48112" s="42"/>
      <c r="AB48112" s="38"/>
    </row>
    <row r="48113">
      <c r="P48113" s="42"/>
      <c r="AB48113" s="38"/>
    </row>
    <row r="48114">
      <c r="P48114" s="42"/>
      <c r="AB48114" s="38"/>
    </row>
    <row r="48115">
      <c r="P48115" s="42"/>
      <c r="AB48115" s="38"/>
    </row>
    <row r="48116">
      <c r="P48116" s="42"/>
      <c r="AB48116" s="38"/>
    </row>
    <row r="48117">
      <c r="P48117" s="42"/>
      <c r="AB48117" s="38"/>
    </row>
    <row r="48118">
      <c r="P48118" s="42"/>
      <c r="AB48118" s="38"/>
    </row>
    <row r="48119">
      <c r="P48119" s="42"/>
      <c r="AB48119" s="38"/>
    </row>
    <row r="48120">
      <c r="P48120" s="42"/>
      <c r="AB48120" s="38"/>
    </row>
    <row r="48121">
      <c r="P48121" s="42"/>
      <c r="AB48121" s="38"/>
    </row>
    <row r="48122">
      <c r="P48122" s="42"/>
      <c r="AB48122" s="38"/>
    </row>
    <row r="48123">
      <c r="P48123" s="42"/>
      <c r="AB48123" s="38"/>
    </row>
    <row r="48124">
      <c r="P48124" s="42"/>
      <c r="AB48124" s="38"/>
    </row>
    <row r="48125">
      <c r="P48125" s="42"/>
      <c r="AB48125" s="38"/>
    </row>
    <row r="48126">
      <c r="P48126" s="42"/>
      <c r="AB48126" s="38"/>
    </row>
    <row r="48127">
      <c r="P48127" s="42"/>
      <c r="AB48127" s="38"/>
    </row>
    <row r="48128">
      <c r="P48128" s="42"/>
      <c r="AB48128" s="38"/>
    </row>
    <row r="48129">
      <c r="P48129" s="42"/>
      <c r="AB48129" s="38"/>
    </row>
    <row r="48130">
      <c r="P48130" s="42"/>
      <c r="AB48130" s="38"/>
    </row>
    <row r="48131">
      <c r="P48131" s="42"/>
      <c r="AB48131" s="38"/>
    </row>
    <row r="48132">
      <c r="P48132" s="42"/>
      <c r="AB48132" s="38"/>
    </row>
    <row r="48133">
      <c r="P48133" s="42"/>
      <c r="AB48133" s="38"/>
    </row>
    <row r="48134">
      <c r="P48134" s="42"/>
      <c r="AB48134" s="38"/>
    </row>
    <row r="48135">
      <c r="P48135" s="42"/>
      <c r="AB48135" s="38"/>
    </row>
    <row r="48136">
      <c r="P48136" s="42"/>
      <c r="AB48136" s="38"/>
    </row>
    <row r="48137">
      <c r="P48137" s="42"/>
      <c r="AB48137" s="38"/>
    </row>
    <row r="48138">
      <c r="P48138" s="42"/>
      <c r="AB48138" s="38"/>
    </row>
    <row r="48139">
      <c r="P48139" s="42"/>
      <c r="AB48139" s="38"/>
    </row>
    <row r="48140">
      <c r="P48140" s="42"/>
      <c r="AB48140" s="38"/>
    </row>
    <row r="48141">
      <c r="P48141" s="42"/>
      <c r="AB48141" s="38"/>
    </row>
    <row r="48142">
      <c r="P48142" s="42"/>
      <c r="AB48142" s="38"/>
    </row>
    <row r="48143">
      <c r="P48143" s="42"/>
      <c r="AB48143" s="38"/>
    </row>
    <row r="48144">
      <c r="P48144" s="42"/>
      <c r="AB48144" s="38"/>
    </row>
    <row r="48145">
      <c r="P48145" s="42"/>
      <c r="AB48145" s="38"/>
    </row>
    <row r="48146">
      <c r="P48146" s="42"/>
      <c r="AB48146" s="38"/>
    </row>
    <row r="48147">
      <c r="P48147" s="42"/>
      <c r="AB48147" s="38"/>
    </row>
    <row r="48148">
      <c r="P48148" s="42"/>
      <c r="AB48148" s="38"/>
    </row>
    <row r="48149">
      <c r="P48149" s="42"/>
      <c r="AB48149" s="38"/>
    </row>
    <row r="48150">
      <c r="P48150" s="42"/>
      <c r="AB48150" s="38"/>
    </row>
    <row r="48151">
      <c r="P48151" s="42"/>
      <c r="AB48151" s="38"/>
    </row>
    <row r="48152">
      <c r="P48152" s="42"/>
      <c r="AB48152" s="38"/>
    </row>
    <row r="48153">
      <c r="P48153" s="42"/>
      <c r="AB48153" s="38"/>
    </row>
    <row r="48154">
      <c r="P48154" s="42"/>
      <c r="AB48154" s="38"/>
    </row>
    <row r="48155">
      <c r="P48155" s="42"/>
      <c r="AB48155" s="38"/>
    </row>
    <row r="48156">
      <c r="P48156" s="42"/>
      <c r="AB48156" s="38"/>
    </row>
    <row r="48157">
      <c r="P48157" s="42"/>
      <c r="AB48157" s="38"/>
    </row>
    <row r="48158">
      <c r="P48158" s="42"/>
      <c r="AB48158" s="38"/>
    </row>
    <row r="48159">
      <c r="P48159" s="42"/>
      <c r="AB48159" s="38"/>
    </row>
    <row r="48160">
      <c r="P48160" s="42"/>
      <c r="AB48160" s="38"/>
    </row>
    <row r="48161">
      <c r="P48161" s="42"/>
      <c r="AB48161" s="38"/>
    </row>
    <row r="48162">
      <c r="P48162" s="42"/>
      <c r="AB48162" s="38"/>
    </row>
    <row r="48163">
      <c r="P48163" s="42"/>
      <c r="AB48163" s="38"/>
    </row>
    <row r="48164">
      <c r="P48164" s="42"/>
      <c r="AB48164" s="38"/>
    </row>
    <row r="48165">
      <c r="P48165" s="42"/>
      <c r="AB48165" s="38"/>
    </row>
    <row r="48166">
      <c r="P48166" s="42"/>
      <c r="AB48166" s="38"/>
    </row>
    <row r="48167">
      <c r="P48167" s="42"/>
      <c r="AB48167" s="38"/>
    </row>
    <row r="48168">
      <c r="P48168" s="42"/>
      <c r="AB48168" s="38"/>
    </row>
    <row r="48169">
      <c r="P48169" s="42"/>
      <c r="AB48169" s="38"/>
    </row>
    <row r="48170">
      <c r="P48170" s="42"/>
      <c r="AB48170" s="38"/>
    </row>
    <row r="48171">
      <c r="P48171" s="42"/>
      <c r="AB48171" s="38"/>
    </row>
    <row r="48172">
      <c r="P48172" s="42"/>
      <c r="AB48172" s="38"/>
    </row>
    <row r="48173">
      <c r="P48173" s="42"/>
      <c r="AB48173" s="38"/>
    </row>
    <row r="48174">
      <c r="P48174" s="42"/>
      <c r="AB48174" s="38"/>
    </row>
    <row r="48175">
      <c r="P48175" s="42"/>
      <c r="AB48175" s="38"/>
    </row>
    <row r="48176">
      <c r="P48176" s="42"/>
      <c r="AB48176" s="38"/>
    </row>
    <row r="48177">
      <c r="P48177" s="42"/>
      <c r="AB48177" s="38"/>
    </row>
    <row r="48178">
      <c r="P48178" s="42"/>
      <c r="AB48178" s="38"/>
    </row>
    <row r="48179">
      <c r="P48179" s="42"/>
      <c r="AB48179" s="38"/>
    </row>
    <row r="48180">
      <c r="P48180" s="42"/>
      <c r="AB48180" s="38"/>
    </row>
    <row r="48181">
      <c r="P48181" s="42"/>
      <c r="AB48181" s="38"/>
    </row>
    <row r="48182">
      <c r="P48182" s="42"/>
      <c r="AB48182" s="38"/>
    </row>
    <row r="48183">
      <c r="P48183" s="42"/>
      <c r="AB48183" s="38"/>
    </row>
    <row r="48184">
      <c r="P48184" s="42"/>
      <c r="AB48184" s="38"/>
    </row>
    <row r="48185">
      <c r="P48185" s="42"/>
      <c r="AB48185" s="38"/>
    </row>
    <row r="48186">
      <c r="P48186" s="42"/>
      <c r="AB48186" s="38"/>
    </row>
    <row r="48187">
      <c r="P48187" s="42"/>
      <c r="AB48187" s="38"/>
    </row>
    <row r="48188">
      <c r="P48188" s="42"/>
      <c r="AB48188" s="38"/>
    </row>
    <row r="48189">
      <c r="P48189" s="42"/>
      <c r="AB48189" s="38"/>
    </row>
    <row r="48190">
      <c r="P48190" s="42"/>
      <c r="AB48190" s="38"/>
    </row>
    <row r="48191">
      <c r="P48191" s="42"/>
      <c r="AB48191" s="38"/>
    </row>
    <row r="48192">
      <c r="P48192" s="42"/>
      <c r="AB48192" s="38"/>
    </row>
    <row r="48193">
      <c r="P48193" s="42"/>
      <c r="AB48193" s="38"/>
    </row>
    <row r="48194">
      <c r="P48194" s="42"/>
      <c r="AB48194" s="38"/>
    </row>
    <row r="48195">
      <c r="P48195" s="42"/>
      <c r="AB48195" s="38"/>
    </row>
    <row r="48196">
      <c r="P48196" s="42"/>
      <c r="AB48196" s="38"/>
    </row>
    <row r="48197">
      <c r="P48197" s="42"/>
      <c r="AB48197" s="38"/>
    </row>
    <row r="48198">
      <c r="P48198" s="42"/>
      <c r="AB48198" s="38"/>
    </row>
    <row r="48199">
      <c r="P48199" s="42"/>
      <c r="AB48199" s="38"/>
    </row>
    <row r="48200">
      <c r="P48200" s="42"/>
      <c r="AB48200" s="38"/>
    </row>
    <row r="48201">
      <c r="P48201" s="42"/>
      <c r="AB48201" s="38"/>
    </row>
    <row r="48202">
      <c r="P48202" s="42"/>
      <c r="AB48202" s="38"/>
    </row>
    <row r="48203">
      <c r="P48203" s="42"/>
      <c r="AB48203" s="38"/>
    </row>
    <row r="48204">
      <c r="P48204" s="42"/>
      <c r="AB48204" s="38"/>
    </row>
    <row r="48205">
      <c r="P48205" s="42"/>
      <c r="AB48205" s="38"/>
    </row>
    <row r="48206">
      <c r="P48206" s="42"/>
      <c r="AB48206" s="38"/>
    </row>
    <row r="48207">
      <c r="P48207" s="42"/>
      <c r="AB48207" s="38"/>
    </row>
    <row r="48208">
      <c r="P48208" s="42"/>
      <c r="AB48208" s="38"/>
    </row>
    <row r="48209">
      <c r="P48209" s="42"/>
      <c r="AB48209" s="38"/>
    </row>
    <row r="48210">
      <c r="P48210" s="42"/>
      <c r="AB48210" s="38"/>
    </row>
    <row r="48211">
      <c r="P48211" s="42"/>
      <c r="AB48211" s="38"/>
    </row>
    <row r="48212">
      <c r="P48212" s="42"/>
      <c r="AB48212" s="38"/>
    </row>
    <row r="48213">
      <c r="P48213" s="42"/>
      <c r="AB48213" s="38"/>
    </row>
    <row r="48214">
      <c r="P48214" s="42"/>
      <c r="AB48214" s="38"/>
    </row>
    <row r="48215">
      <c r="P48215" s="42"/>
      <c r="AB48215" s="38"/>
    </row>
    <row r="48216">
      <c r="P48216" s="42"/>
      <c r="AB48216" s="38"/>
    </row>
    <row r="48217">
      <c r="P48217" s="42"/>
      <c r="AB48217" s="38"/>
    </row>
    <row r="48218">
      <c r="P48218" s="42"/>
      <c r="AB48218" s="38"/>
    </row>
    <row r="48219">
      <c r="P48219" s="42"/>
      <c r="AB48219" s="38"/>
    </row>
    <row r="48220">
      <c r="P48220" s="42"/>
      <c r="AB48220" s="38"/>
    </row>
    <row r="48221">
      <c r="P48221" s="42"/>
      <c r="AB48221" s="38"/>
    </row>
    <row r="48222">
      <c r="P48222" s="42"/>
      <c r="AB48222" s="38"/>
    </row>
    <row r="48223">
      <c r="P48223" s="42"/>
      <c r="AB48223" s="38"/>
    </row>
    <row r="48224">
      <c r="P48224" s="42"/>
      <c r="AB48224" s="38"/>
    </row>
    <row r="48225">
      <c r="P48225" s="42"/>
      <c r="AB48225" s="38"/>
    </row>
    <row r="48226">
      <c r="P48226" s="42"/>
      <c r="AB48226" s="38"/>
    </row>
    <row r="48227">
      <c r="P48227" s="42"/>
      <c r="AB48227" s="38"/>
    </row>
    <row r="48228">
      <c r="P48228" s="42"/>
      <c r="AB48228" s="38"/>
    </row>
    <row r="48229">
      <c r="P48229" s="42"/>
      <c r="AB48229" s="38"/>
    </row>
    <row r="48230">
      <c r="P48230" s="42"/>
      <c r="AB48230" s="38"/>
    </row>
    <row r="48231">
      <c r="P48231" s="42"/>
      <c r="AB48231" s="38"/>
    </row>
    <row r="48232">
      <c r="P48232" s="42"/>
      <c r="AB48232" s="38"/>
    </row>
    <row r="48233">
      <c r="P48233" s="42"/>
      <c r="AB48233" s="38"/>
    </row>
    <row r="48234">
      <c r="P48234" s="42"/>
      <c r="AB48234" s="38"/>
    </row>
    <row r="48235">
      <c r="P48235" s="42"/>
      <c r="AB48235" s="38"/>
    </row>
    <row r="48236">
      <c r="P48236" s="42"/>
      <c r="AB48236" s="38"/>
    </row>
    <row r="48237">
      <c r="P48237" s="42"/>
      <c r="AB48237" s="38"/>
    </row>
    <row r="48238">
      <c r="P48238" s="42"/>
      <c r="AB48238" s="38"/>
    </row>
    <row r="48239">
      <c r="P48239" s="42"/>
      <c r="AB48239" s="38"/>
    </row>
    <row r="48240">
      <c r="P48240" s="42"/>
      <c r="AB48240" s="38"/>
    </row>
    <row r="48241">
      <c r="P48241" s="42"/>
      <c r="AB48241" s="38"/>
    </row>
    <row r="48242">
      <c r="P48242" s="42"/>
      <c r="AB48242" s="38"/>
    </row>
    <row r="48243">
      <c r="P48243" s="42"/>
      <c r="AB48243" s="38"/>
    </row>
    <row r="48244">
      <c r="P48244" s="42"/>
      <c r="AB48244" s="38"/>
    </row>
    <row r="48245">
      <c r="P48245" s="42"/>
      <c r="AB48245" s="38"/>
    </row>
    <row r="48246">
      <c r="P48246" s="42"/>
      <c r="AB48246" s="38"/>
    </row>
    <row r="48247">
      <c r="P48247" s="42"/>
      <c r="AB48247" s="38"/>
    </row>
    <row r="48248">
      <c r="P48248" s="42"/>
      <c r="AB48248" s="38"/>
    </row>
    <row r="48249">
      <c r="P48249" s="42"/>
      <c r="AB48249" s="38"/>
    </row>
    <row r="48250">
      <c r="P48250" s="42"/>
      <c r="AB48250" s="38"/>
    </row>
    <row r="48251">
      <c r="P48251" s="42"/>
      <c r="AB48251" s="38"/>
    </row>
    <row r="48252">
      <c r="P48252" s="42"/>
      <c r="AB48252" s="38"/>
    </row>
    <row r="48253">
      <c r="P48253" s="42"/>
      <c r="AB48253" s="38"/>
    </row>
    <row r="48254">
      <c r="P48254" s="42"/>
      <c r="AB48254" s="38"/>
    </row>
    <row r="48255">
      <c r="P48255" s="42"/>
      <c r="AB48255" s="38"/>
    </row>
    <row r="48256">
      <c r="P48256" s="42"/>
      <c r="AB48256" s="38"/>
    </row>
    <row r="48257">
      <c r="P48257" s="42"/>
      <c r="AB48257" s="38"/>
    </row>
    <row r="48258">
      <c r="P48258" s="42"/>
      <c r="AB48258" s="38"/>
    </row>
    <row r="48259">
      <c r="P48259" s="42"/>
      <c r="AB48259" s="38"/>
    </row>
    <row r="48260">
      <c r="P48260" s="42"/>
      <c r="AB48260" s="38"/>
    </row>
    <row r="48261">
      <c r="P48261" s="42"/>
      <c r="AB48261" s="38"/>
    </row>
    <row r="48262">
      <c r="P48262" s="42"/>
      <c r="AB48262" s="38"/>
    </row>
    <row r="48263">
      <c r="P48263" s="42"/>
      <c r="AB48263" s="38"/>
    </row>
    <row r="48264">
      <c r="P48264" s="42"/>
      <c r="AB48264" s="38"/>
    </row>
    <row r="48265">
      <c r="P48265" s="42"/>
      <c r="AB48265" s="38"/>
    </row>
    <row r="48266">
      <c r="P48266" s="42"/>
      <c r="AB48266" s="38"/>
    </row>
    <row r="48267">
      <c r="P48267" s="42"/>
      <c r="AB48267" s="38"/>
    </row>
    <row r="48268">
      <c r="P48268" s="42"/>
      <c r="AB48268" s="38"/>
    </row>
    <row r="48269">
      <c r="P48269" s="42"/>
      <c r="AB48269" s="38"/>
    </row>
    <row r="48270">
      <c r="P48270" s="42"/>
      <c r="AB48270" s="38"/>
    </row>
    <row r="48271">
      <c r="P48271" s="42"/>
      <c r="AB48271" s="38"/>
    </row>
    <row r="48272">
      <c r="P48272" s="42"/>
      <c r="AB48272" s="38"/>
    </row>
    <row r="48273">
      <c r="P48273" s="42"/>
      <c r="AB48273" s="38"/>
    </row>
    <row r="48274">
      <c r="P48274" s="42"/>
      <c r="AB48274" s="38"/>
    </row>
    <row r="48275">
      <c r="P48275" s="42"/>
      <c r="AB48275" s="38"/>
    </row>
    <row r="48276">
      <c r="P48276" s="42"/>
      <c r="AB48276" s="38"/>
    </row>
    <row r="48277">
      <c r="P48277" s="42"/>
      <c r="AB48277" s="38"/>
    </row>
    <row r="48278">
      <c r="P48278" s="42"/>
      <c r="AB48278" s="38"/>
    </row>
    <row r="48279">
      <c r="P48279" s="42"/>
      <c r="AB48279" s="38"/>
    </row>
    <row r="48280">
      <c r="P48280" s="42"/>
      <c r="AB48280" s="38"/>
    </row>
    <row r="48281">
      <c r="P48281" s="42"/>
      <c r="AB48281" s="38"/>
    </row>
    <row r="48282">
      <c r="P48282" s="42"/>
      <c r="AB48282" s="38"/>
    </row>
    <row r="48283">
      <c r="P48283" s="42"/>
      <c r="AB48283" s="38"/>
    </row>
    <row r="48284">
      <c r="P48284" s="42"/>
      <c r="AB48284" s="38"/>
    </row>
    <row r="48285">
      <c r="P48285" s="42"/>
      <c r="AB48285" s="38"/>
    </row>
    <row r="48286">
      <c r="P48286" s="42"/>
      <c r="AB48286" s="38"/>
    </row>
    <row r="48287">
      <c r="P48287" s="42"/>
      <c r="AB48287" s="38"/>
    </row>
    <row r="48288">
      <c r="P48288" s="42"/>
      <c r="AB48288" s="38"/>
    </row>
    <row r="48289">
      <c r="P48289" s="42"/>
      <c r="AB48289" s="38"/>
    </row>
    <row r="48290">
      <c r="P48290" s="42"/>
      <c r="AB48290" s="38"/>
    </row>
    <row r="48291">
      <c r="P48291" s="42"/>
      <c r="AB48291" s="38"/>
    </row>
    <row r="48292">
      <c r="P48292" s="42"/>
      <c r="AB48292" s="38"/>
    </row>
    <row r="48293">
      <c r="P48293" s="42"/>
      <c r="AB48293" s="38"/>
    </row>
    <row r="48294">
      <c r="P48294" s="42"/>
      <c r="AB48294" s="38"/>
    </row>
    <row r="48295">
      <c r="P48295" s="42"/>
      <c r="AB48295" s="38"/>
    </row>
    <row r="48296">
      <c r="P48296" s="42"/>
      <c r="AB48296" s="38"/>
    </row>
    <row r="48297">
      <c r="P48297" s="42"/>
      <c r="AB48297" s="38"/>
    </row>
    <row r="48298">
      <c r="P48298" s="42"/>
      <c r="AB48298" s="38"/>
    </row>
    <row r="48299">
      <c r="P48299" s="42"/>
      <c r="AB48299" s="38"/>
    </row>
    <row r="48300">
      <c r="P48300" s="42"/>
      <c r="AB48300" s="38"/>
    </row>
    <row r="48301">
      <c r="P48301" s="42"/>
      <c r="AB48301" s="38"/>
    </row>
    <row r="48302">
      <c r="P48302" s="42"/>
      <c r="AB48302" s="38"/>
    </row>
    <row r="48303">
      <c r="P48303" s="42"/>
      <c r="AB48303" s="38"/>
    </row>
    <row r="48304">
      <c r="P48304" s="42"/>
      <c r="AB48304" s="38"/>
    </row>
    <row r="48305">
      <c r="P48305" s="42"/>
      <c r="AB48305" s="38"/>
    </row>
    <row r="48306">
      <c r="P48306" s="42"/>
      <c r="AB48306" s="38"/>
    </row>
    <row r="48307">
      <c r="P48307" s="42"/>
      <c r="AB48307" s="38"/>
    </row>
    <row r="48308">
      <c r="P48308" s="42"/>
      <c r="AB48308" s="38"/>
    </row>
    <row r="48309">
      <c r="P48309" s="42"/>
      <c r="AB48309" s="38"/>
    </row>
    <row r="48310">
      <c r="P48310" s="42"/>
      <c r="AB48310" s="38"/>
    </row>
    <row r="48311">
      <c r="P48311" s="42"/>
      <c r="AB48311" s="38"/>
    </row>
    <row r="48312">
      <c r="P48312" s="42"/>
      <c r="AB48312" s="38"/>
    </row>
    <row r="48313">
      <c r="P48313" s="42"/>
      <c r="AB48313" s="38"/>
    </row>
    <row r="48314">
      <c r="P48314" s="42"/>
      <c r="AB48314" s="38"/>
    </row>
    <row r="48315">
      <c r="P48315" s="42"/>
      <c r="AB48315" s="38"/>
    </row>
    <row r="48316">
      <c r="P48316" s="42"/>
      <c r="AB48316" s="38"/>
    </row>
    <row r="48317">
      <c r="P48317" s="42"/>
      <c r="AB48317" s="38"/>
    </row>
    <row r="48318">
      <c r="P48318" s="42"/>
      <c r="AB48318" s="38"/>
    </row>
    <row r="48319">
      <c r="P48319" s="42"/>
      <c r="AB48319" s="38"/>
    </row>
    <row r="48320">
      <c r="P48320" s="42"/>
      <c r="AB48320" s="38"/>
    </row>
    <row r="48321">
      <c r="P48321" s="42"/>
      <c r="AB48321" s="38"/>
    </row>
    <row r="48322">
      <c r="P48322" s="42"/>
      <c r="AB48322" s="38"/>
    </row>
    <row r="48323">
      <c r="P48323" s="42"/>
      <c r="AB48323" s="38"/>
    </row>
    <row r="48324">
      <c r="P48324" s="42"/>
      <c r="AB48324" s="38"/>
    </row>
    <row r="48325">
      <c r="P48325" s="42"/>
      <c r="AB48325" s="38"/>
    </row>
    <row r="48326">
      <c r="P48326" s="42"/>
      <c r="AB48326" s="38"/>
    </row>
    <row r="48327">
      <c r="P48327" s="42"/>
      <c r="AB48327" s="38"/>
    </row>
    <row r="48328">
      <c r="P48328" s="42"/>
      <c r="AB48328" s="38"/>
    </row>
    <row r="48329">
      <c r="P48329" s="42"/>
      <c r="AB48329" s="38"/>
    </row>
    <row r="48330">
      <c r="P48330" s="42"/>
      <c r="AB48330" s="38"/>
    </row>
    <row r="48331">
      <c r="P48331" s="42"/>
      <c r="AB48331" s="38"/>
    </row>
    <row r="48332">
      <c r="P48332" s="42"/>
      <c r="AB48332" s="38"/>
    </row>
    <row r="48333">
      <c r="P48333" s="42"/>
      <c r="AB48333" s="38"/>
    </row>
    <row r="48334">
      <c r="P48334" s="42"/>
      <c r="AB48334" s="38"/>
    </row>
    <row r="48335">
      <c r="P48335" s="42"/>
      <c r="AB48335" s="38"/>
    </row>
    <row r="48336">
      <c r="P48336" s="42"/>
      <c r="AB48336" s="38"/>
    </row>
    <row r="48337">
      <c r="P48337" s="42"/>
      <c r="AB48337" s="38"/>
    </row>
    <row r="48338">
      <c r="P48338" s="42"/>
      <c r="AB48338" s="38"/>
    </row>
    <row r="48339">
      <c r="P48339" s="42"/>
      <c r="AB48339" s="38"/>
    </row>
    <row r="48340">
      <c r="P48340" s="42"/>
      <c r="AB48340" s="38"/>
    </row>
    <row r="48341">
      <c r="P48341" s="42"/>
      <c r="AB48341" s="38"/>
    </row>
    <row r="48342">
      <c r="P48342" s="42"/>
      <c r="AB48342" s="38"/>
    </row>
    <row r="48343">
      <c r="P48343" s="42"/>
      <c r="AB48343" s="38"/>
    </row>
    <row r="48344">
      <c r="P48344" s="42"/>
      <c r="AB48344" s="38"/>
    </row>
    <row r="48345">
      <c r="P48345" s="42"/>
      <c r="AB48345" s="38"/>
    </row>
    <row r="48346">
      <c r="P48346" s="42"/>
      <c r="AB48346" s="38"/>
    </row>
    <row r="48347">
      <c r="P48347" s="42"/>
      <c r="AB48347" s="38"/>
    </row>
    <row r="48348">
      <c r="P48348" s="42"/>
      <c r="AB48348" s="38"/>
    </row>
    <row r="48349">
      <c r="P48349" s="42"/>
      <c r="AB48349" s="38"/>
    </row>
    <row r="48350">
      <c r="P48350" s="42"/>
      <c r="AB48350" s="38"/>
    </row>
    <row r="48351">
      <c r="P48351" s="42"/>
      <c r="AB48351" s="38"/>
    </row>
    <row r="48352">
      <c r="P48352" s="42"/>
      <c r="AB48352" s="38"/>
    </row>
    <row r="48353">
      <c r="P48353" s="42"/>
      <c r="AB48353" s="38"/>
    </row>
    <row r="48354">
      <c r="P48354" s="42"/>
      <c r="AB48354" s="38"/>
    </row>
    <row r="48355">
      <c r="P48355" s="42"/>
      <c r="AB48355" s="38"/>
    </row>
    <row r="48356">
      <c r="P48356" s="42"/>
      <c r="AB48356" s="38"/>
    </row>
    <row r="48357">
      <c r="P48357" s="42"/>
      <c r="AB48357" s="38"/>
    </row>
    <row r="48358">
      <c r="P48358" s="42"/>
      <c r="AB48358" s="38"/>
    </row>
    <row r="48359">
      <c r="P48359" s="42"/>
      <c r="AB48359" s="38"/>
    </row>
    <row r="48360">
      <c r="P48360" s="42"/>
      <c r="AB48360" s="38"/>
    </row>
    <row r="48361">
      <c r="P48361" s="42"/>
      <c r="AB48361" s="38"/>
    </row>
    <row r="48362">
      <c r="P48362" s="42"/>
      <c r="AB48362" s="38"/>
    </row>
    <row r="48363">
      <c r="P48363" s="42"/>
      <c r="AB48363" s="38"/>
    </row>
    <row r="48364">
      <c r="P48364" s="42"/>
      <c r="AB48364" s="38"/>
    </row>
    <row r="48365">
      <c r="P48365" s="42"/>
      <c r="AB48365" s="38"/>
    </row>
    <row r="48366">
      <c r="P48366" s="42"/>
      <c r="AB48366" s="38"/>
    </row>
    <row r="48367">
      <c r="P48367" s="42"/>
      <c r="AB48367" s="38"/>
    </row>
    <row r="48368">
      <c r="P48368" s="42"/>
      <c r="AB48368" s="38"/>
    </row>
    <row r="48369">
      <c r="P48369" s="42"/>
      <c r="AB48369" s="38"/>
    </row>
    <row r="48370">
      <c r="P48370" s="42"/>
      <c r="AB48370" s="38"/>
    </row>
    <row r="48371">
      <c r="P48371" s="42"/>
      <c r="AB48371" s="38"/>
    </row>
    <row r="48372">
      <c r="P48372" s="42"/>
      <c r="AB48372" s="38"/>
    </row>
    <row r="48373">
      <c r="P48373" s="42"/>
      <c r="AB48373" s="38"/>
    </row>
    <row r="48374">
      <c r="P48374" s="42"/>
      <c r="AB48374" s="38"/>
    </row>
    <row r="48375">
      <c r="P48375" s="42"/>
      <c r="AB48375" s="38"/>
    </row>
    <row r="48376">
      <c r="P48376" s="42"/>
      <c r="AB48376" s="38"/>
    </row>
    <row r="48377">
      <c r="P48377" s="42"/>
      <c r="AB48377" s="38"/>
    </row>
    <row r="48378">
      <c r="P48378" s="42"/>
      <c r="AB48378" s="38"/>
    </row>
    <row r="48379">
      <c r="P48379" s="42"/>
      <c r="AB48379" s="38"/>
    </row>
    <row r="48380">
      <c r="P48380" s="42"/>
      <c r="AB48380" s="38"/>
    </row>
    <row r="48381">
      <c r="P48381" s="42"/>
      <c r="AB48381" s="38"/>
    </row>
    <row r="48382">
      <c r="P48382" s="42"/>
      <c r="AB48382" s="38"/>
    </row>
    <row r="48383">
      <c r="P48383" s="42"/>
      <c r="AB48383" s="38"/>
    </row>
    <row r="48384">
      <c r="P48384" s="42"/>
      <c r="AB48384" s="38"/>
    </row>
    <row r="48385">
      <c r="P48385" s="42"/>
      <c r="AB48385" s="38"/>
    </row>
    <row r="48386">
      <c r="P48386" s="42"/>
      <c r="AB48386" s="38"/>
    </row>
    <row r="48387">
      <c r="P48387" s="42"/>
      <c r="AB48387" s="38"/>
    </row>
    <row r="48388">
      <c r="P48388" s="42"/>
      <c r="AB48388" s="38"/>
    </row>
    <row r="48389">
      <c r="P48389" s="42"/>
      <c r="AB48389" s="38"/>
    </row>
    <row r="48390">
      <c r="P48390" s="42"/>
      <c r="AB48390" s="38"/>
    </row>
    <row r="48391">
      <c r="P48391" s="42"/>
      <c r="AB48391" s="38"/>
    </row>
    <row r="48392">
      <c r="P48392" s="42"/>
      <c r="AB48392" s="38"/>
    </row>
    <row r="48393">
      <c r="P48393" s="42"/>
      <c r="AB48393" s="38"/>
    </row>
    <row r="48394">
      <c r="P48394" s="42"/>
      <c r="AB48394" s="38"/>
    </row>
    <row r="48395">
      <c r="P48395" s="42"/>
      <c r="AB48395" s="38"/>
    </row>
    <row r="48396">
      <c r="P48396" s="42"/>
      <c r="AB48396" s="38"/>
    </row>
    <row r="48397">
      <c r="P48397" s="42"/>
      <c r="AB48397" s="38"/>
    </row>
    <row r="48398">
      <c r="P48398" s="42"/>
      <c r="AB48398" s="38"/>
    </row>
    <row r="48399">
      <c r="P48399" s="42"/>
      <c r="AB48399" s="38"/>
    </row>
    <row r="48400">
      <c r="P48400" s="42"/>
      <c r="AB48400" s="38"/>
    </row>
    <row r="48401">
      <c r="P48401" s="42"/>
      <c r="AB48401" s="38"/>
    </row>
    <row r="48402">
      <c r="P48402" s="42"/>
      <c r="AB48402" s="38"/>
    </row>
    <row r="48403">
      <c r="P48403" s="42"/>
      <c r="AB48403" s="38"/>
    </row>
    <row r="48404">
      <c r="P48404" s="42"/>
      <c r="AB48404" s="38"/>
    </row>
    <row r="48405">
      <c r="P48405" s="42"/>
      <c r="AB48405" s="38"/>
    </row>
    <row r="48406">
      <c r="P48406" s="42"/>
      <c r="AB48406" s="38"/>
    </row>
    <row r="48407">
      <c r="P48407" s="42"/>
      <c r="AB48407" s="38"/>
    </row>
    <row r="48408">
      <c r="P48408" s="42"/>
      <c r="AB48408" s="38"/>
    </row>
    <row r="48409">
      <c r="P48409" s="42"/>
      <c r="AB48409" s="38"/>
    </row>
    <row r="48410">
      <c r="P48410" s="42"/>
      <c r="AB48410" s="38"/>
    </row>
    <row r="48411">
      <c r="P48411" s="42"/>
      <c r="AB48411" s="38"/>
    </row>
    <row r="48412">
      <c r="P48412" s="42"/>
      <c r="AB48412" s="38"/>
    </row>
    <row r="48413">
      <c r="P48413" s="42"/>
      <c r="AB48413" s="38"/>
    </row>
    <row r="48414">
      <c r="P48414" s="42"/>
      <c r="AB48414" s="38"/>
    </row>
    <row r="48415">
      <c r="P48415" s="42"/>
      <c r="AB48415" s="38"/>
    </row>
    <row r="48416">
      <c r="P48416" s="42"/>
      <c r="AB48416" s="38"/>
    </row>
    <row r="48417">
      <c r="P48417" s="42"/>
      <c r="AB48417" s="38"/>
    </row>
    <row r="48418">
      <c r="P48418" s="42"/>
      <c r="AB48418" s="38"/>
    </row>
    <row r="48419">
      <c r="P48419" s="42"/>
      <c r="AB48419" s="38"/>
    </row>
    <row r="48420">
      <c r="P48420" s="42"/>
      <c r="AB48420" s="38"/>
    </row>
    <row r="48421">
      <c r="P48421" s="42"/>
      <c r="AB48421" s="38"/>
    </row>
    <row r="48422">
      <c r="P48422" s="42"/>
      <c r="AB48422" s="38"/>
    </row>
    <row r="48423">
      <c r="P48423" s="42"/>
      <c r="AB48423" s="38"/>
    </row>
    <row r="48424">
      <c r="P48424" s="42"/>
      <c r="AB48424" s="38"/>
    </row>
    <row r="48425">
      <c r="P48425" s="42"/>
      <c r="AB48425" s="38"/>
    </row>
    <row r="48426">
      <c r="P48426" s="42"/>
      <c r="AB48426" s="38"/>
    </row>
    <row r="48427">
      <c r="P48427" s="42"/>
      <c r="AB48427" s="38"/>
    </row>
    <row r="48428">
      <c r="P48428" s="42"/>
      <c r="AB48428" s="38"/>
    </row>
    <row r="48429">
      <c r="P48429" s="42"/>
      <c r="AB48429" s="38"/>
    </row>
    <row r="48430">
      <c r="P48430" s="42"/>
      <c r="AB48430" s="38"/>
    </row>
    <row r="48431">
      <c r="P48431" s="42"/>
      <c r="AB48431" s="38"/>
    </row>
    <row r="48432">
      <c r="P48432" s="42"/>
      <c r="AB48432" s="38"/>
    </row>
    <row r="48433">
      <c r="P48433" s="42"/>
      <c r="AB48433" s="38"/>
    </row>
    <row r="48434">
      <c r="P48434" s="42"/>
      <c r="AB48434" s="38"/>
    </row>
    <row r="48435">
      <c r="P48435" s="42"/>
      <c r="AB48435" s="38"/>
    </row>
    <row r="48436">
      <c r="P48436" s="42"/>
      <c r="AB48436" s="38"/>
    </row>
    <row r="48437">
      <c r="P48437" s="42"/>
      <c r="AB48437" s="38"/>
    </row>
    <row r="48438">
      <c r="P48438" s="42"/>
      <c r="AB48438" s="38"/>
    </row>
    <row r="48439">
      <c r="P48439" s="42"/>
      <c r="AB48439" s="38"/>
    </row>
    <row r="48440">
      <c r="P48440" s="42"/>
      <c r="AB48440" s="38"/>
    </row>
    <row r="48441">
      <c r="P48441" s="42"/>
      <c r="AB48441" s="38"/>
    </row>
    <row r="48442">
      <c r="P48442" s="42"/>
      <c r="AB48442" s="38"/>
    </row>
    <row r="48443">
      <c r="P48443" s="42"/>
      <c r="AB48443" s="38"/>
    </row>
    <row r="48444">
      <c r="P48444" s="42"/>
      <c r="AB48444" s="38"/>
    </row>
    <row r="48445">
      <c r="P48445" s="42"/>
      <c r="AB48445" s="38"/>
    </row>
    <row r="48446">
      <c r="P48446" s="42"/>
      <c r="AB48446" s="38"/>
    </row>
    <row r="48447">
      <c r="P48447" s="42"/>
      <c r="AB48447" s="38"/>
    </row>
    <row r="48448">
      <c r="P48448" s="42"/>
      <c r="AB48448" s="38"/>
    </row>
    <row r="48449">
      <c r="P48449" s="42"/>
      <c r="AB48449" s="38"/>
    </row>
    <row r="48450">
      <c r="P48450" s="42"/>
      <c r="AB48450" s="38"/>
    </row>
    <row r="48451">
      <c r="P48451" s="42"/>
      <c r="AB48451" s="38"/>
    </row>
    <row r="48452">
      <c r="P48452" s="42"/>
      <c r="AB48452" s="38"/>
    </row>
    <row r="48453">
      <c r="P48453" s="42"/>
      <c r="AB48453" s="38"/>
    </row>
    <row r="48454">
      <c r="P48454" s="42"/>
      <c r="AB48454" s="38"/>
    </row>
    <row r="48455">
      <c r="P48455" s="42"/>
      <c r="AB48455" s="38"/>
    </row>
    <row r="48456">
      <c r="P48456" s="42"/>
      <c r="AB48456" s="38"/>
    </row>
    <row r="48457">
      <c r="P48457" s="42"/>
      <c r="AB48457" s="38"/>
    </row>
    <row r="48458">
      <c r="P48458" s="42"/>
      <c r="AB48458" s="38"/>
    </row>
    <row r="48459">
      <c r="P48459" s="42"/>
      <c r="AB48459" s="38"/>
    </row>
    <row r="48460">
      <c r="P48460" s="42"/>
      <c r="AB48460" s="38"/>
    </row>
    <row r="48461">
      <c r="P48461" s="42"/>
      <c r="AB48461" s="38"/>
    </row>
    <row r="48462">
      <c r="P48462" s="42"/>
      <c r="AB48462" s="38"/>
    </row>
    <row r="48463">
      <c r="P48463" s="42"/>
      <c r="AB48463" s="38"/>
    </row>
    <row r="48464">
      <c r="P48464" s="42"/>
      <c r="AB48464" s="38"/>
    </row>
    <row r="48465">
      <c r="P48465" s="42"/>
      <c r="AB48465" s="38"/>
    </row>
    <row r="48466">
      <c r="P48466" s="42"/>
      <c r="AB48466" s="38"/>
    </row>
    <row r="48467">
      <c r="P48467" s="42"/>
      <c r="AB48467" s="38"/>
    </row>
    <row r="48468">
      <c r="P48468" s="42"/>
      <c r="AB48468" s="38"/>
    </row>
    <row r="48469">
      <c r="P48469" s="42"/>
      <c r="AB48469" s="38"/>
    </row>
    <row r="48470">
      <c r="P48470" s="42"/>
      <c r="AB48470" s="38"/>
    </row>
    <row r="48471">
      <c r="P48471" s="42"/>
      <c r="AB48471" s="38"/>
    </row>
    <row r="48472">
      <c r="P48472" s="42"/>
      <c r="AB48472" s="38"/>
    </row>
    <row r="48473">
      <c r="P48473" s="42"/>
      <c r="AB48473" s="38"/>
    </row>
    <row r="48474">
      <c r="P48474" s="42"/>
      <c r="AB48474" s="38"/>
    </row>
    <row r="48475">
      <c r="P48475" s="42"/>
      <c r="AB48475" s="38"/>
    </row>
    <row r="48476">
      <c r="P48476" s="42"/>
      <c r="AB48476" s="38"/>
    </row>
    <row r="48477">
      <c r="P48477" s="42"/>
      <c r="AB48477" s="38"/>
    </row>
    <row r="48478">
      <c r="P48478" s="42"/>
      <c r="AB48478" s="38"/>
    </row>
    <row r="48479">
      <c r="P48479" s="42"/>
      <c r="AB48479" s="38"/>
    </row>
    <row r="48480">
      <c r="P48480" s="42"/>
      <c r="AB48480" s="38"/>
    </row>
    <row r="48481">
      <c r="P48481" s="42"/>
      <c r="AB48481" s="38"/>
    </row>
    <row r="48482">
      <c r="P48482" s="42"/>
      <c r="AB48482" s="38"/>
    </row>
    <row r="48483">
      <c r="P48483" s="42"/>
      <c r="AB48483" s="38"/>
    </row>
    <row r="48484">
      <c r="P48484" s="42"/>
      <c r="AB48484" s="38"/>
    </row>
    <row r="48485">
      <c r="P48485" s="42"/>
      <c r="AB48485" s="38"/>
    </row>
    <row r="48486">
      <c r="P48486" s="42"/>
      <c r="AB48486" s="38"/>
    </row>
    <row r="48487">
      <c r="P48487" s="42"/>
      <c r="AB48487" s="38"/>
    </row>
    <row r="48488">
      <c r="P48488" s="42"/>
      <c r="AB48488" s="38"/>
    </row>
    <row r="48489">
      <c r="P48489" s="42"/>
      <c r="AB48489" s="38"/>
    </row>
    <row r="48490">
      <c r="P48490" s="42"/>
      <c r="AB48490" s="38"/>
    </row>
    <row r="48491">
      <c r="P48491" s="42"/>
      <c r="AB48491" s="38"/>
    </row>
    <row r="48492">
      <c r="P48492" s="42"/>
      <c r="AB48492" s="38"/>
    </row>
    <row r="48493">
      <c r="P48493" s="42"/>
      <c r="AB48493" s="38"/>
    </row>
    <row r="48494">
      <c r="P48494" s="42"/>
      <c r="AB48494" s="38"/>
    </row>
    <row r="48495">
      <c r="P48495" s="42"/>
      <c r="AB48495" s="38"/>
    </row>
    <row r="48496">
      <c r="P48496" s="42"/>
      <c r="AB48496" s="38"/>
    </row>
    <row r="48497">
      <c r="P48497" s="42"/>
      <c r="AB48497" s="38"/>
    </row>
    <row r="48498">
      <c r="P48498" s="42"/>
      <c r="AB48498" s="38"/>
    </row>
    <row r="48499">
      <c r="P48499" s="42"/>
      <c r="AB48499" s="38"/>
    </row>
    <row r="48500">
      <c r="P48500" s="42"/>
      <c r="AB48500" s="38"/>
    </row>
    <row r="48501">
      <c r="P48501" s="42"/>
      <c r="AB48501" s="38"/>
    </row>
    <row r="48502">
      <c r="P48502" s="42"/>
      <c r="AB48502" s="38"/>
    </row>
    <row r="48503">
      <c r="P48503" s="42"/>
      <c r="AB48503" s="38"/>
    </row>
    <row r="48504">
      <c r="P48504" s="42"/>
      <c r="AB48504" s="38"/>
    </row>
    <row r="48505">
      <c r="P48505" s="42"/>
      <c r="AB48505" s="38"/>
    </row>
    <row r="48506">
      <c r="P48506" s="42"/>
      <c r="AB48506" s="38"/>
    </row>
    <row r="48507">
      <c r="P48507" s="42"/>
      <c r="AB48507" s="38"/>
    </row>
    <row r="48508">
      <c r="P48508" s="42"/>
      <c r="AB48508" s="38"/>
    </row>
    <row r="48509">
      <c r="P48509" s="42"/>
      <c r="AB48509" s="38"/>
    </row>
    <row r="48510">
      <c r="P48510" s="42"/>
      <c r="AB48510" s="38"/>
    </row>
    <row r="48511">
      <c r="P48511" s="42"/>
      <c r="AB48511" s="38"/>
    </row>
    <row r="48512">
      <c r="P48512" s="42"/>
      <c r="AB48512" s="38"/>
    </row>
    <row r="48513">
      <c r="P48513" s="42"/>
      <c r="AB48513" s="38"/>
    </row>
    <row r="48514">
      <c r="P48514" s="42"/>
      <c r="AB48514" s="38"/>
    </row>
    <row r="48515">
      <c r="P48515" s="42"/>
      <c r="AB48515" s="38"/>
    </row>
    <row r="48516">
      <c r="P48516" s="42"/>
      <c r="AB48516" s="38"/>
    </row>
    <row r="48517">
      <c r="P48517" s="42"/>
      <c r="AB48517" s="38"/>
    </row>
    <row r="48518">
      <c r="P48518" s="42"/>
      <c r="AB48518" s="38"/>
    </row>
    <row r="48519">
      <c r="P48519" s="42"/>
      <c r="AB48519" s="38"/>
    </row>
    <row r="48520">
      <c r="P48520" s="42"/>
      <c r="AB48520" s="38"/>
    </row>
    <row r="48521">
      <c r="P48521" s="42"/>
      <c r="AB48521" s="38"/>
    </row>
    <row r="48522">
      <c r="P48522" s="42"/>
      <c r="AB48522" s="38"/>
    </row>
    <row r="48523">
      <c r="P48523" s="42"/>
      <c r="AB48523" s="38"/>
    </row>
    <row r="48524">
      <c r="P48524" s="42"/>
      <c r="AB48524" s="38"/>
    </row>
    <row r="48525">
      <c r="P48525" s="42"/>
      <c r="AB48525" s="38"/>
    </row>
    <row r="48526">
      <c r="P48526" s="42"/>
      <c r="AB48526" s="38"/>
    </row>
    <row r="48527">
      <c r="P48527" s="42"/>
      <c r="AB48527" s="38"/>
    </row>
    <row r="48528">
      <c r="P48528" s="42"/>
      <c r="AB48528" s="38"/>
    </row>
    <row r="48529">
      <c r="P48529" s="42"/>
      <c r="AB48529" s="38"/>
    </row>
    <row r="48530">
      <c r="P48530" s="42"/>
      <c r="AB48530" s="38"/>
    </row>
    <row r="48531">
      <c r="P48531" s="42"/>
      <c r="AB48531" s="38"/>
    </row>
    <row r="48532">
      <c r="P48532" s="42"/>
      <c r="AB48532" s="38"/>
    </row>
    <row r="48533">
      <c r="P48533" s="42"/>
      <c r="AB48533" s="38"/>
    </row>
    <row r="48534">
      <c r="P48534" s="42"/>
      <c r="AB48534" s="38"/>
    </row>
    <row r="48535">
      <c r="P48535" s="42"/>
      <c r="AB48535" s="38"/>
    </row>
    <row r="48536">
      <c r="P48536" s="42"/>
      <c r="AB48536" s="38"/>
    </row>
    <row r="48537">
      <c r="P48537" s="42"/>
      <c r="AB48537" s="38"/>
    </row>
    <row r="48538">
      <c r="P48538" s="42"/>
      <c r="AB48538" s="38"/>
    </row>
    <row r="48539">
      <c r="P48539" s="42"/>
      <c r="AB48539" s="38"/>
    </row>
    <row r="48540">
      <c r="P48540" s="42"/>
      <c r="AB48540" s="38"/>
    </row>
    <row r="48541">
      <c r="P48541" s="42"/>
      <c r="AB48541" s="38"/>
    </row>
    <row r="48542">
      <c r="P48542" s="42"/>
      <c r="AB48542" s="38"/>
    </row>
    <row r="48543">
      <c r="P48543" s="42"/>
      <c r="AB48543" s="38"/>
    </row>
    <row r="48544">
      <c r="P48544" s="42"/>
      <c r="AB48544" s="38"/>
    </row>
    <row r="48545">
      <c r="P48545" s="42"/>
      <c r="AB48545" s="38"/>
    </row>
    <row r="48546">
      <c r="P48546" s="42"/>
      <c r="AB48546" s="38"/>
    </row>
    <row r="48547">
      <c r="P48547" s="42"/>
      <c r="AB48547" s="38"/>
    </row>
    <row r="48548">
      <c r="P48548" s="42"/>
      <c r="AB48548" s="38"/>
    </row>
    <row r="48549">
      <c r="P48549" s="42"/>
      <c r="AB48549" s="38"/>
    </row>
    <row r="48550">
      <c r="P48550" s="42"/>
      <c r="AB48550" s="38"/>
    </row>
    <row r="48551">
      <c r="P48551" s="42"/>
      <c r="AB48551" s="38"/>
    </row>
    <row r="48552">
      <c r="P48552" s="42"/>
      <c r="AB48552" s="38"/>
    </row>
    <row r="48553">
      <c r="P48553" s="42"/>
      <c r="AB48553" s="38"/>
    </row>
    <row r="48554">
      <c r="P48554" s="42"/>
      <c r="AB48554" s="38"/>
    </row>
    <row r="48555">
      <c r="P48555" s="42"/>
      <c r="AB48555" s="38"/>
    </row>
    <row r="48556">
      <c r="P48556" s="42"/>
      <c r="AB48556" s="38"/>
    </row>
    <row r="48557">
      <c r="P48557" s="42"/>
      <c r="AB48557" s="38"/>
    </row>
    <row r="48558">
      <c r="P48558" s="42"/>
      <c r="AB48558" s="38"/>
    </row>
    <row r="48559">
      <c r="P48559" s="42"/>
      <c r="AB48559" s="38"/>
    </row>
    <row r="48560">
      <c r="P48560" s="42"/>
      <c r="AB48560" s="38"/>
    </row>
    <row r="48561">
      <c r="P48561" s="42"/>
      <c r="AB48561" s="38"/>
    </row>
    <row r="48562">
      <c r="P48562" s="42"/>
      <c r="AB48562" s="38"/>
    </row>
    <row r="48563">
      <c r="P48563" s="42"/>
      <c r="AB48563" s="38"/>
    </row>
    <row r="48564">
      <c r="P48564" s="42"/>
      <c r="AB48564" s="38"/>
    </row>
    <row r="48565">
      <c r="P48565" s="42"/>
      <c r="AB48565" s="38"/>
    </row>
    <row r="48566">
      <c r="P48566" s="42"/>
      <c r="AB48566" s="38"/>
    </row>
    <row r="48567">
      <c r="P48567" s="42"/>
      <c r="AB48567" s="38"/>
    </row>
    <row r="48568">
      <c r="P48568" s="42"/>
      <c r="AB48568" s="38"/>
    </row>
    <row r="48569">
      <c r="P48569" s="42"/>
      <c r="AB48569" s="38"/>
    </row>
    <row r="48570">
      <c r="P48570" s="42"/>
      <c r="AB48570" s="38"/>
    </row>
    <row r="48571">
      <c r="P48571" s="42"/>
      <c r="AB48571" s="38"/>
    </row>
    <row r="48572">
      <c r="P48572" s="42"/>
      <c r="AB48572" s="38"/>
    </row>
    <row r="48573">
      <c r="P48573" s="42"/>
      <c r="AB48573" s="38"/>
    </row>
    <row r="48574">
      <c r="P48574" s="42"/>
      <c r="AB48574" s="38"/>
    </row>
    <row r="48575">
      <c r="P48575" s="42"/>
      <c r="AB48575" s="38"/>
    </row>
    <row r="48576">
      <c r="P48576" s="42"/>
      <c r="AB48576" s="38"/>
    </row>
    <row r="48577">
      <c r="P48577" s="42"/>
      <c r="AB48577" s="38"/>
    </row>
    <row r="48578">
      <c r="P48578" s="42"/>
      <c r="AB48578" s="38"/>
    </row>
    <row r="48579">
      <c r="P48579" s="42"/>
      <c r="AB48579" s="38"/>
    </row>
    <row r="48580">
      <c r="P48580" s="42"/>
      <c r="AB48580" s="38"/>
    </row>
    <row r="48581">
      <c r="P48581" s="42"/>
      <c r="AB48581" s="38"/>
    </row>
    <row r="48582">
      <c r="P48582" s="42"/>
      <c r="AB48582" s="38"/>
    </row>
    <row r="48583">
      <c r="P48583" s="42"/>
      <c r="AB48583" s="38"/>
    </row>
    <row r="48584">
      <c r="P48584" s="42"/>
      <c r="AB48584" s="38"/>
    </row>
    <row r="48585">
      <c r="P48585" s="42"/>
      <c r="AB48585" s="38"/>
    </row>
    <row r="48586">
      <c r="P48586" s="42"/>
      <c r="AB48586" s="38"/>
    </row>
    <row r="48587">
      <c r="P48587" s="42"/>
      <c r="AB48587" s="38"/>
    </row>
    <row r="48588">
      <c r="P48588" s="42"/>
      <c r="AB48588" s="38"/>
    </row>
    <row r="48589">
      <c r="P48589" s="42"/>
      <c r="AB48589" s="38"/>
    </row>
    <row r="48590">
      <c r="P48590" s="42"/>
      <c r="AB48590" s="38"/>
    </row>
    <row r="48591">
      <c r="P48591" s="42"/>
      <c r="AB48591" s="38"/>
    </row>
    <row r="48592">
      <c r="P48592" s="42"/>
      <c r="AB48592" s="38"/>
    </row>
    <row r="48593">
      <c r="P48593" s="42"/>
      <c r="AB48593" s="38"/>
    </row>
    <row r="48594">
      <c r="P48594" s="42"/>
      <c r="AB48594" s="38"/>
    </row>
    <row r="48595">
      <c r="P48595" s="42"/>
      <c r="AB48595" s="38"/>
    </row>
    <row r="48596">
      <c r="P48596" s="42"/>
      <c r="AB48596" s="38"/>
    </row>
    <row r="48597">
      <c r="P48597" s="42"/>
      <c r="AB48597" s="38"/>
    </row>
    <row r="48598">
      <c r="P48598" s="42"/>
      <c r="AB48598" s="38"/>
    </row>
    <row r="48599">
      <c r="P48599" s="42"/>
      <c r="AB48599" s="38"/>
    </row>
    <row r="48600">
      <c r="P48600" s="42"/>
      <c r="AB48600" s="38"/>
    </row>
    <row r="48601">
      <c r="P48601" s="42"/>
      <c r="AB48601" s="38"/>
    </row>
    <row r="48602">
      <c r="P48602" s="42"/>
      <c r="AB48602" s="38"/>
    </row>
    <row r="48603">
      <c r="P48603" s="42"/>
      <c r="AB48603" s="38"/>
    </row>
    <row r="48604">
      <c r="P48604" s="42"/>
      <c r="AB48604" s="38"/>
    </row>
    <row r="48605">
      <c r="P48605" s="42"/>
      <c r="AB48605" s="38"/>
    </row>
    <row r="48606">
      <c r="P48606" s="42"/>
      <c r="AB48606" s="38"/>
    </row>
    <row r="48607">
      <c r="P48607" s="42"/>
      <c r="AB48607" s="38"/>
    </row>
    <row r="48608">
      <c r="P48608" s="42"/>
      <c r="AB48608" s="38"/>
    </row>
    <row r="48609">
      <c r="P48609" s="42"/>
      <c r="AB48609" s="38"/>
    </row>
    <row r="48610">
      <c r="P48610" s="42"/>
      <c r="AB48610" s="38"/>
    </row>
    <row r="48611">
      <c r="P48611" s="42"/>
      <c r="AB48611" s="38"/>
    </row>
    <row r="48612">
      <c r="P48612" s="42"/>
      <c r="AB48612" s="38"/>
    </row>
    <row r="48613">
      <c r="P48613" s="42"/>
      <c r="AB48613" s="38"/>
    </row>
    <row r="48614">
      <c r="P48614" s="42"/>
      <c r="AB48614" s="38"/>
    </row>
    <row r="48615">
      <c r="P48615" s="42"/>
      <c r="AB48615" s="38"/>
    </row>
    <row r="48616">
      <c r="P48616" s="42"/>
      <c r="AB48616" s="38"/>
    </row>
    <row r="48617">
      <c r="P48617" s="42"/>
      <c r="AB48617" s="38"/>
    </row>
    <row r="48618">
      <c r="P48618" s="42"/>
      <c r="AB48618" s="38"/>
    </row>
    <row r="48619">
      <c r="P48619" s="42"/>
      <c r="AB48619" s="38"/>
    </row>
    <row r="48620">
      <c r="P48620" s="42"/>
      <c r="AB48620" s="38"/>
    </row>
    <row r="48621">
      <c r="P48621" s="42"/>
      <c r="AB48621" s="38"/>
    </row>
    <row r="48622">
      <c r="P48622" s="42"/>
      <c r="AB48622" s="38"/>
    </row>
    <row r="48623">
      <c r="P48623" s="42"/>
      <c r="AB48623" s="38"/>
    </row>
    <row r="48624">
      <c r="P48624" s="42"/>
      <c r="AB48624" s="38"/>
    </row>
    <row r="48625">
      <c r="P48625" s="42"/>
      <c r="AB48625" s="38"/>
    </row>
    <row r="48626">
      <c r="P48626" s="42"/>
      <c r="AB48626" s="38"/>
    </row>
    <row r="48627">
      <c r="P48627" s="42"/>
      <c r="AB48627" s="38"/>
    </row>
    <row r="48628">
      <c r="P48628" s="42"/>
      <c r="AB48628" s="38"/>
    </row>
    <row r="48629">
      <c r="P48629" s="42"/>
      <c r="AB48629" s="38"/>
    </row>
    <row r="48630">
      <c r="P48630" s="42"/>
      <c r="AB48630" s="38"/>
    </row>
    <row r="48631">
      <c r="P48631" s="42"/>
      <c r="AB48631" s="38"/>
    </row>
    <row r="48632">
      <c r="P48632" s="42"/>
      <c r="AB48632" s="38"/>
    </row>
    <row r="48633">
      <c r="P48633" s="42"/>
      <c r="AB48633" s="38"/>
    </row>
    <row r="48634">
      <c r="P48634" s="42"/>
      <c r="AB48634" s="38"/>
    </row>
    <row r="48635">
      <c r="P48635" s="42"/>
      <c r="AB48635" s="38"/>
    </row>
    <row r="48636">
      <c r="P48636" s="42"/>
      <c r="AB48636" s="38"/>
    </row>
    <row r="48637">
      <c r="P48637" s="42"/>
      <c r="AB48637" s="38"/>
    </row>
    <row r="48638">
      <c r="P48638" s="42"/>
      <c r="AB48638" s="38"/>
    </row>
    <row r="48639">
      <c r="P48639" s="42"/>
      <c r="AB48639" s="38"/>
    </row>
    <row r="48640">
      <c r="P48640" s="42"/>
      <c r="AB48640" s="38"/>
    </row>
    <row r="48641">
      <c r="P48641" s="42"/>
      <c r="AB48641" s="38"/>
    </row>
    <row r="48642">
      <c r="P48642" s="42"/>
      <c r="AB48642" s="38"/>
    </row>
    <row r="48643">
      <c r="P48643" s="42"/>
      <c r="AB48643" s="38"/>
    </row>
    <row r="48644">
      <c r="P48644" s="42"/>
      <c r="AB48644" s="38"/>
    </row>
    <row r="48645">
      <c r="P48645" s="42"/>
      <c r="AB48645" s="38"/>
    </row>
    <row r="48646">
      <c r="P48646" s="42"/>
      <c r="AB48646" s="38"/>
    </row>
    <row r="48647">
      <c r="P48647" s="42"/>
      <c r="AB48647" s="38"/>
    </row>
    <row r="48648">
      <c r="P48648" s="42"/>
      <c r="AB48648" s="38"/>
    </row>
    <row r="48649">
      <c r="P48649" s="42"/>
      <c r="AB48649" s="38"/>
    </row>
    <row r="48650">
      <c r="P48650" s="42"/>
      <c r="AB48650" s="38"/>
    </row>
    <row r="48651">
      <c r="P48651" s="42"/>
      <c r="AB48651" s="38"/>
    </row>
    <row r="48652">
      <c r="P48652" s="42"/>
      <c r="AB48652" s="38"/>
    </row>
    <row r="48653">
      <c r="P48653" s="42"/>
      <c r="AB48653" s="38"/>
    </row>
    <row r="48654">
      <c r="P48654" s="42"/>
      <c r="AB48654" s="38"/>
    </row>
    <row r="48655">
      <c r="P48655" s="42"/>
      <c r="AB48655" s="38"/>
    </row>
    <row r="48656">
      <c r="P48656" s="42"/>
      <c r="AB48656" s="38"/>
    </row>
    <row r="48657">
      <c r="P48657" s="42"/>
      <c r="AB48657" s="38"/>
    </row>
    <row r="48658">
      <c r="P48658" s="42"/>
      <c r="AB48658" s="38"/>
    </row>
    <row r="48659">
      <c r="P48659" s="42"/>
      <c r="AB48659" s="38"/>
    </row>
    <row r="48660">
      <c r="P48660" s="42"/>
      <c r="AB48660" s="38"/>
    </row>
    <row r="48661">
      <c r="P48661" s="42"/>
      <c r="AB48661" s="38"/>
    </row>
    <row r="48662">
      <c r="P48662" s="42"/>
      <c r="AB48662" s="38"/>
    </row>
    <row r="48663">
      <c r="P48663" s="42"/>
      <c r="AB48663" s="38"/>
    </row>
    <row r="48664">
      <c r="P48664" s="42"/>
      <c r="AB48664" s="38"/>
    </row>
    <row r="48665">
      <c r="P48665" s="42"/>
      <c r="AB48665" s="38"/>
    </row>
    <row r="48666">
      <c r="P48666" s="42"/>
      <c r="AB48666" s="38"/>
    </row>
    <row r="48667">
      <c r="P48667" s="42"/>
      <c r="AB48667" s="38"/>
    </row>
    <row r="48668">
      <c r="P48668" s="42"/>
      <c r="AB48668" s="38"/>
    </row>
    <row r="48669">
      <c r="P48669" s="42"/>
      <c r="AB48669" s="38"/>
    </row>
    <row r="48670">
      <c r="P48670" s="42"/>
      <c r="AB48670" s="38"/>
    </row>
    <row r="48671">
      <c r="P48671" s="42"/>
      <c r="AB48671" s="38"/>
    </row>
    <row r="48672">
      <c r="P48672" s="42"/>
      <c r="AB48672" s="38"/>
    </row>
    <row r="48673">
      <c r="P48673" s="42"/>
      <c r="AB48673" s="38"/>
    </row>
    <row r="48674">
      <c r="P48674" s="42"/>
      <c r="AB48674" s="38"/>
    </row>
    <row r="48675">
      <c r="P48675" s="42"/>
      <c r="AB48675" s="38"/>
    </row>
    <row r="48676">
      <c r="P48676" s="42"/>
      <c r="AB48676" s="38"/>
    </row>
    <row r="48677">
      <c r="P48677" s="42"/>
      <c r="AB48677" s="38"/>
    </row>
    <row r="48678">
      <c r="P48678" s="42"/>
      <c r="AB48678" s="38"/>
    </row>
    <row r="48679">
      <c r="P48679" s="42"/>
      <c r="AB48679" s="38"/>
    </row>
    <row r="48680">
      <c r="P48680" s="42"/>
      <c r="AB48680" s="38"/>
    </row>
    <row r="48681">
      <c r="P48681" s="42"/>
      <c r="AB48681" s="38"/>
    </row>
    <row r="48682">
      <c r="P48682" s="42"/>
      <c r="AB48682" s="38"/>
    </row>
    <row r="48683">
      <c r="P48683" s="42"/>
      <c r="AB48683" s="38"/>
    </row>
    <row r="48684">
      <c r="P48684" s="42"/>
      <c r="AB48684" s="38"/>
    </row>
    <row r="48685">
      <c r="P48685" s="42"/>
      <c r="AB48685" s="38"/>
    </row>
    <row r="48686">
      <c r="P48686" s="42"/>
      <c r="AB48686" s="38"/>
    </row>
    <row r="48687">
      <c r="P48687" s="42"/>
      <c r="AB48687" s="38"/>
    </row>
    <row r="48688">
      <c r="P48688" s="42"/>
      <c r="AB48688" s="38"/>
    </row>
    <row r="48689">
      <c r="P48689" s="42"/>
      <c r="AB48689" s="38"/>
    </row>
    <row r="48690">
      <c r="P48690" s="42"/>
      <c r="AB48690" s="38"/>
    </row>
    <row r="48691">
      <c r="P48691" s="42"/>
      <c r="AB48691" s="38"/>
    </row>
    <row r="48692">
      <c r="P48692" s="42"/>
      <c r="AB48692" s="38"/>
    </row>
    <row r="48693">
      <c r="P48693" s="42"/>
      <c r="AB48693" s="38"/>
    </row>
    <row r="48694">
      <c r="P48694" s="42"/>
      <c r="AB48694" s="38"/>
    </row>
    <row r="48695">
      <c r="P48695" s="42"/>
      <c r="AB48695" s="38"/>
    </row>
    <row r="48696">
      <c r="P48696" s="42"/>
      <c r="AB48696" s="38"/>
    </row>
    <row r="48697">
      <c r="P48697" s="42"/>
      <c r="AB48697" s="38"/>
    </row>
    <row r="48698">
      <c r="P48698" s="42"/>
      <c r="AB48698" s="38"/>
    </row>
    <row r="48699">
      <c r="P48699" s="42"/>
      <c r="AB48699" s="38"/>
    </row>
    <row r="48700">
      <c r="P48700" s="42"/>
      <c r="AB48700" s="38"/>
    </row>
    <row r="48701">
      <c r="P48701" s="42"/>
      <c r="AB48701" s="38"/>
    </row>
    <row r="48702">
      <c r="P48702" s="42"/>
      <c r="AB48702" s="38"/>
    </row>
    <row r="48703">
      <c r="P48703" s="42"/>
      <c r="AB48703" s="38"/>
    </row>
    <row r="48704">
      <c r="P48704" s="42"/>
      <c r="AB48704" s="38"/>
    </row>
    <row r="48705">
      <c r="P48705" s="42"/>
      <c r="AB48705" s="38"/>
    </row>
    <row r="48706">
      <c r="P48706" s="42"/>
      <c r="AB48706" s="38"/>
    </row>
    <row r="48707">
      <c r="P48707" s="42"/>
      <c r="AB48707" s="38"/>
    </row>
    <row r="48708">
      <c r="P48708" s="42"/>
      <c r="AB48708" s="38"/>
    </row>
    <row r="48709">
      <c r="P48709" s="42"/>
      <c r="AB48709" s="38"/>
    </row>
    <row r="48710">
      <c r="P48710" s="42"/>
      <c r="AB48710" s="38"/>
    </row>
    <row r="48711">
      <c r="P48711" s="42"/>
      <c r="AB48711" s="38"/>
    </row>
    <row r="48712">
      <c r="P48712" s="42"/>
      <c r="AB48712" s="38"/>
    </row>
    <row r="48713">
      <c r="P48713" s="42"/>
      <c r="AB48713" s="38"/>
    </row>
    <row r="48714">
      <c r="P48714" s="42"/>
      <c r="AB48714" s="38"/>
    </row>
    <row r="48715">
      <c r="P48715" s="42"/>
      <c r="AB48715" s="38"/>
    </row>
    <row r="48716">
      <c r="P48716" s="42"/>
      <c r="AB48716" s="38"/>
    </row>
    <row r="48717">
      <c r="P48717" s="42"/>
      <c r="AB48717" s="38"/>
    </row>
    <row r="48718">
      <c r="P48718" s="42"/>
      <c r="AB48718" s="38"/>
    </row>
    <row r="48719">
      <c r="P48719" s="42"/>
      <c r="AB48719" s="38"/>
    </row>
    <row r="48720">
      <c r="P48720" s="42"/>
      <c r="AB48720" s="38"/>
    </row>
    <row r="48721">
      <c r="P48721" s="42"/>
      <c r="AB48721" s="38"/>
    </row>
    <row r="48722">
      <c r="P48722" s="42"/>
      <c r="AB48722" s="38"/>
    </row>
    <row r="48723">
      <c r="P48723" s="42"/>
      <c r="AB48723" s="38"/>
    </row>
    <row r="48724">
      <c r="P48724" s="42"/>
      <c r="AB48724" s="38"/>
    </row>
    <row r="48725">
      <c r="P48725" s="42"/>
      <c r="AB48725" s="38"/>
    </row>
    <row r="48726">
      <c r="P48726" s="42"/>
      <c r="AB48726" s="38"/>
    </row>
    <row r="48727">
      <c r="P48727" s="42"/>
      <c r="AB48727" s="38"/>
    </row>
    <row r="48728">
      <c r="P48728" s="42"/>
      <c r="AB48728" s="38"/>
    </row>
    <row r="48729">
      <c r="P48729" s="42"/>
      <c r="AB48729" s="38"/>
    </row>
    <row r="48730">
      <c r="P48730" s="42"/>
      <c r="AB48730" s="38"/>
    </row>
    <row r="48731">
      <c r="P48731" s="42"/>
      <c r="AB48731" s="38"/>
    </row>
    <row r="48732">
      <c r="P48732" s="42"/>
      <c r="AB48732" s="38"/>
    </row>
    <row r="48733">
      <c r="P48733" s="42"/>
      <c r="AB48733" s="38"/>
    </row>
    <row r="48734">
      <c r="P48734" s="42"/>
      <c r="AB48734" s="38"/>
    </row>
    <row r="48735">
      <c r="P48735" s="42"/>
      <c r="AB48735" s="38"/>
    </row>
    <row r="48736">
      <c r="P48736" s="42"/>
      <c r="AB48736" s="38"/>
    </row>
    <row r="48737">
      <c r="P48737" s="42"/>
      <c r="AB48737" s="38"/>
    </row>
    <row r="48738">
      <c r="P48738" s="42"/>
      <c r="AB48738" s="38"/>
    </row>
    <row r="48739">
      <c r="P48739" s="42"/>
      <c r="AB48739" s="38"/>
    </row>
    <row r="48740">
      <c r="P48740" s="42"/>
      <c r="AB48740" s="38"/>
    </row>
    <row r="48741">
      <c r="P48741" s="42"/>
      <c r="AB48741" s="38"/>
    </row>
    <row r="48742">
      <c r="P48742" s="42"/>
      <c r="AB48742" s="38"/>
    </row>
    <row r="48743">
      <c r="P48743" s="42"/>
      <c r="AB48743" s="38"/>
    </row>
    <row r="48744">
      <c r="P48744" s="42"/>
      <c r="AB48744" s="38"/>
    </row>
    <row r="48745">
      <c r="P48745" s="42"/>
      <c r="AB48745" s="38"/>
    </row>
    <row r="48746">
      <c r="P48746" s="42"/>
      <c r="AB48746" s="38"/>
    </row>
    <row r="48747">
      <c r="P48747" s="42"/>
      <c r="AB48747" s="38"/>
    </row>
    <row r="48748">
      <c r="P48748" s="42"/>
      <c r="AB48748" s="38"/>
    </row>
    <row r="48749">
      <c r="P48749" s="42"/>
      <c r="AB48749" s="38"/>
    </row>
    <row r="48750">
      <c r="P48750" s="42"/>
      <c r="AB48750" s="38"/>
    </row>
    <row r="48751">
      <c r="P48751" s="42"/>
      <c r="AB48751" s="38"/>
    </row>
    <row r="48752">
      <c r="P48752" s="42"/>
      <c r="AB48752" s="38"/>
    </row>
    <row r="48753">
      <c r="P48753" s="42"/>
      <c r="AB48753" s="38"/>
    </row>
    <row r="48754">
      <c r="P48754" s="42"/>
      <c r="AB48754" s="38"/>
    </row>
    <row r="48755">
      <c r="P48755" s="42"/>
      <c r="AB48755" s="38"/>
    </row>
    <row r="48756">
      <c r="P48756" s="42"/>
      <c r="AB48756" s="38"/>
    </row>
    <row r="48757">
      <c r="P48757" s="42"/>
      <c r="AB48757" s="38"/>
    </row>
    <row r="48758">
      <c r="P48758" s="42"/>
      <c r="AB48758" s="38"/>
    </row>
    <row r="48759">
      <c r="P48759" s="42"/>
      <c r="AB48759" s="38"/>
    </row>
    <row r="48760">
      <c r="P48760" s="42"/>
      <c r="AB48760" s="38"/>
    </row>
    <row r="48761">
      <c r="P48761" s="42"/>
      <c r="AB48761" s="38"/>
    </row>
    <row r="48762">
      <c r="P48762" s="42"/>
      <c r="AB48762" s="38"/>
    </row>
    <row r="48763">
      <c r="P48763" s="42"/>
      <c r="AB48763" s="38"/>
    </row>
    <row r="48764">
      <c r="P48764" s="42"/>
      <c r="AB48764" s="38"/>
    </row>
    <row r="48765">
      <c r="P48765" s="42"/>
      <c r="AB48765" s="38"/>
    </row>
    <row r="48766">
      <c r="P48766" s="42"/>
      <c r="AB48766" s="38"/>
    </row>
    <row r="48767">
      <c r="P48767" s="42"/>
      <c r="AB48767" s="38"/>
    </row>
    <row r="48768">
      <c r="P48768" s="42"/>
      <c r="AB48768" s="38"/>
    </row>
    <row r="48769">
      <c r="P48769" s="42"/>
      <c r="AB48769" s="38"/>
    </row>
    <row r="48770">
      <c r="P48770" s="42"/>
      <c r="AB48770" s="38"/>
    </row>
    <row r="48771">
      <c r="P48771" s="42"/>
      <c r="AB48771" s="38"/>
    </row>
    <row r="48772">
      <c r="P48772" s="42"/>
      <c r="AB48772" s="38"/>
    </row>
    <row r="48773">
      <c r="P48773" s="42"/>
      <c r="AB48773" s="38"/>
    </row>
    <row r="48774">
      <c r="P48774" s="42"/>
      <c r="AB48774" s="38"/>
    </row>
    <row r="48775">
      <c r="P48775" s="42"/>
      <c r="AB48775" s="38"/>
    </row>
    <row r="48776">
      <c r="P48776" s="42"/>
      <c r="AB48776" s="38"/>
    </row>
    <row r="48777">
      <c r="P48777" s="42"/>
      <c r="AB48777" s="38"/>
    </row>
    <row r="48778">
      <c r="P48778" s="42"/>
      <c r="AB48778" s="38"/>
    </row>
    <row r="48779">
      <c r="P48779" s="42"/>
      <c r="AB48779" s="38"/>
    </row>
    <row r="48780">
      <c r="P48780" s="42"/>
      <c r="AB48780" s="38"/>
    </row>
    <row r="48781">
      <c r="P48781" s="42"/>
      <c r="AB48781" s="38"/>
    </row>
    <row r="48782">
      <c r="P48782" s="42"/>
      <c r="AB48782" s="38"/>
    </row>
    <row r="48783">
      <c r="P48783" s="42"/>
      <c r="AB48783" s="38"/>
    </row>
    <row r="48784">
      <c r="P48784" s="42"/>
      <c r="AB48784" s="38"/>
    </row>
    <row r="48785">
      <c r="P48785" s="42"/>
      <c r="AB48785" s="38"/>
    </row>
    <row r="48786">
      <c r="P48786" s="42"/>
      <c r="AB48786" s="38"/>
    </row>
    <row r="48787">
      <c r="P48787" s="42"/>
      <c r="AB48787" s="38"/>
    </row>
    <row r="48788">
      <c r="P48788" s="42"/>
      <c r="AB48788" s="38"/>
    </row>
    <row r="48789">
      <c r="P48789" s="42"/>
      <c r="AB48789" s="38"/>
    </row>
    <row r="48790">
      <c r="P48790" s="42"/>
      <c r="AB48790" s="38"/>
    </row>
    <row r="48791">
      <c r="P48791" s="42"/>
      <c r="AB48791" s="38"/>
    </row>
    <row r="48792">
      <c r="P48792" s="42"/>
      <c r="AB48792" s="38"/>
    </row>
    <row r="48793">
      <c r="P48793" s="42"/>
      <c r="AB48793" s="38"/>
    </row>
    <row r="48794">
      <c r="P48794" s="42"/>
      <c r="AB48794" s="38"/>
    </row>
    <row r="48795">
      <c r="P48795" s="42"/>
      <c r="AB48795" s="38"/>
    </row>
    <row r="48796">
      <c r="P48796" s="42"/>
      <c r="AB48796" s="38"/>
    </row>
    <row r="48797">
      <c r="P48797" s="42"/>
      <c r="AB48797" s="38"/>
    </row>
    <row r="48798">
      <c r="P48798" s="42"/>
      <c r="AB48798" s="38"/>
    </row>
    <row r="48799">
      <c r="P48799" s="42"/>
      <c r="AB48799" s="38"/>
    </row>
    <row r="48800">
      <c r="P48800" s="42"/>
      <c r="AB48800" s="38"/>
    </row>
    <row r="48801">
      <c r="P48801" s="42"/>
      <c r="AB48801" s="38"/>
    </row>
    <row r="48802">
      <c r="P48802" s="42"/>
      <c r="AB48802" s="38"/>
    </row>
    <row r="48803">
      <c r="P48803" s="42"/>
      <c r="AB48803" s="38"/>
    </row>
    <row r="48804">
      <c r="P48804" s="42"/>
      <c r="AB48804" s="38"/>
    </row>
    <row r="48805">
      <c r="P48805" s="42"/>
      <c r="AB48805" s="38"/>
    </row>
    <row r="48806">
      <c r="P48806" s="42"/>
      <c r="AB48806" s="38"/>
    </row>
    <row r="48807">
      <c r="P48807" s="42"/>
      <c r="AB48807" s="38"/>
    </row>
    <row r="48808">
      <c r="P48808" s="42"/>
      <c r="AB48808" s="38"/>
    </row>
    <row r="48809">
      <c r="P48809" s="42"/>
      <c r="AB48809" s="38"/>
    </row>
    <row r="48810">
      <c r="P48810" s="42"/>
      <c r="AB48810" s="38"/>
    </row>
    <row r="48811">
      <c r="P48811" s="42"/>
      <c r="AB48811" s="38"/>
    </row>
    <row r="48812">
      <c r="P48812" s="42"/>
      <c r="AB48812" s="38"/>
    </row>
    <row r="48813">
      <c r="P48813" s="42"/>
      <c r="AB48813" s="38"/>
    </row>
    <row r="48814">
      <c r="P48814" s="42"/>
      <c r="AB48814" s="38"/>
    </row>
    <row r="48815">
      <c r="P48815" s="42"/>
      <c r="AB48815" s="38"/>
    </row>
    <row r="48816">
      <c r="P48816" s="42"/>
      <c r="AB48816" s="38"/>
    </row>
    <row r="48817">
      <c r="P48817" s="42"/>
      <c r="AB48817" s="38"/>
    </row>
    <row r="48818">
      <c r="P48818" s="42"/>
      <c r="AB48818" s="38"/>
    </row>
    <row r="48819">
      <c r="P48819" s="42"/>
      <c r="AB48819" s="38"/>
    </row>
    <row r="48820">
      <c r="P48820" s="42"/>
      <c r="AB48820" s="38"/>
    </row>
    <row r="48821">
      <c r="P48821" s="42"/>
      <c r="AB48821" s="38"/>
    </row>
    <row r="48822">
      <c r="P48822" s="42"/>
      <c r="AB48822" s="38"/>
    </row>
    <row r="48823">
      <c r="P48823" s="42"/>
      <c r="AB48823" s="38"/>
    </row>
    <row r="48824">
      <c r="P48824" s="42"/>
      <c r="AB48824" s="38"/>
    </row>
    <row r="48825">
      <c r="P48825" s="42"/>
      <c r="AB48825" s="38"/>
    </row>
    <row r="48826">
      <c r="P48826" s="42"/>
      <c r="AB48826" s="38"/>
    </row>
    <row r="48827">
      <c r="P48827" s="42"/>
      <c r="AB48827" s="38"/>
    </row>
    <row r="48828">
      <c r="P48828" s="42"/>
      <c r="AB48828" s="38"/>
    </row>
    <row r="48829">
      <c r="P48829" s="42"/>
      <c r="AB48829" s="38"/>
    </row>
    <row r="48830">
      <c r="P48830" s="42"/>
      <c r="AB48830" s="38"/>
    </row>
    <row r="48831">
      <c r="P48831" s="42"/>
      <c r="AB48831" s="38"/>
    </row>
    <row r="48832">
      <c r="P48832" s="42"/>
      <c r="AB48832" s="38"/>
    </row>
    <row r="48833">
      <c r="P48833" s="42"/>
      <c r="AB48833" s="38"/>
    </row>
    <row r="48834">
      <c r="P48834" s="42"/>
      <c r="AB48834" s="38"/>
    </row>
    <row r="48835">
      <c r="P48835" s="42"/>
      <c r="AB48835" s="38"/>
    </row>
    <row r="48836">
      <c r="P48836" s="42"/>
      <c r="AB48836" s="38"/>
    </row>
    <row r="48837">
      <c r="P48837" s="42"/>
      <c r="AB48837" s="38"/>
    </row>
    <row r="48838">
      <c r="P48838" s="42"/>
      <c r="AB48838" s="38"/>
    </row>
    <row r="48839">
      <c r="P48839" s="42"/>
      <c r="AB48839" s="38"/>
    </row>
    <row r="48840">
      <c r="P48840" s="42"/>
      <c r="AB48840" s="38"/>
    </row>
    <row r="48841">
      <c r="P48841" s="42"/>
      <c r="AB48841" s="38"/>
    </row>
    <row r="48842">
      <c r="P48842" s="42"/>
      <c r="AB48842" s="38"/>
    </row>
    <row r="48843">
      <c r="P48843" s="42"/>
      <c r="AB48843" s="38"/>
    </row>
    <row r="48844">
      <c r="P48844" s="42"/>
      <c r="AB48844" s="38"/>
    </row>
    <row r="48845">
      <c r="P48845" s="42"/>
      <c r="AB48845" s="38"/>
    </row>
    <row r="48846">
      <c r="P48846" s="42"/>
      <c r="AB48846" s="38"/>
    </row>
    <row r="48847">
      <c r="P48847" s="42"/>
      <c r="AB48847" s="38"/>
    </row>
    <row r="48848">
      <c r="P48848" s="42"/>
      <c r="AB48848" s="38"/>
    </row>
    <row r="48849">
      <c r="P48849" s="42"/>
      <c r="AB48849" s="38"/>
    </row>
    <row r="48850">
      <c r="P48850" s="42"/>
      <c r="AB48850" s="38"/>
    </row>
    <row r="48851">
      <c r="P48851" s="42"/>
      <c r="AB48851" s="38"/>
    </row>
    <row r="48852">
      <c r="P48852" s="42"/>
      <c r="AB48852" s="38"/>
    </row>
    <row r="48853">
      <c r="P48853" s="42"/>
      <c r="AB48853" s="38"/>
    </row>
    <row r="48854">
      <c r="P48854" s="42"/>
      <c r="AB48854" s="38"/>
    </row>
    <row r="48855">
      <c r="P48855" s="42"/>
      <c r="AB48855" s="38"/>
    </row>
    <row r="48856">
      <c r="P48856" s="42"/>
      <c r="AB48856" s="38"/>
    </row>
    <row r="48857">
      <c r="P48857" s="42"/>
      <c r="AB48857" s="38"/>
    </row>
    <row r="48858">
      <c r="P48858" s="42"/>
      <c r="AB48858" s="38"/>
    </row>
    <row r="48859">
      <c r="P48859" s="42"/>
      <c r="AB48859" s="38"/>
    </row>
    <row r="48860">
      <c r="P48860" s="42"/>
      <c r="AB48860" s="38"/>
    </row>
    <row r="48861">
      <c r="P48861" s="42"/>
      <c r="AB48861" s="38"/>
    </row>
    <row r="48862">
      <c r="P48862" s="42"/>
      <c r="AB48862" s="38"/>
    </row>
    <row r="48863">
      <c r="P48863" s="42"/>
      <c r="AB48863" s="38"/>
    </row>
    <row r="48864">
      <c r="P48864" s="42"/>
      <c r="AB48864" s="38"/>
    </row>
    <row r="48865">
      <c r="P48865" s="42"/>
      <c r="AB48865" s="38"/>
    </row>
    <row r="48866">
      <c r="P48866" s="42"/>
      <c r="AB48866" s="38"/>
    </row>
    <row r="48867">
      <c r="P48867" s="42"/>
      <c r="AB48867" s="38"/>
    </row>
    <row r="48868">
      <c r="P48868" s="42"/>
      <c r="AB48868" s="38"/>
    </row>
    <row r="48869">
      <c r="P48869" s="42"/>
      <c r="AB48869" s="38"/>
    </row>
    <row r="48870">
      <c r="P48870" s="42"/>
      <c r="AB48870" s="38"/>
    </row>
    <row r="48871">
      <c r="P48871" s="42"/>
      <c r="AB48871" s="38"/>
    </row>
    <row r="48872">
      <c r="P48872" s="42"/>
      <c r="AB48872" s="38"/>
    </row>
    <row r="48873">
      <c r="P48873" s="42"/>
      <c r="AB48873" s="38"/>
    </row>
    <row r="48874">
      <c r="P48874" s="42"/>
      <c r="AB48874" s="38"/>
    </row>
    <row r="48875">
      <c r="P48875" s="42"/>
      <c r="AB48875" s="38"/>
    </row>
    <row r="48876">
      <c r="P48876" s="42"/>
      <c r="AB48876" s="38"/>
    </row>
    <row r="48877">
      <c r="P48877" s="42"/>
      <c r="AB48877" s="38"/>
    </row>
    <row r="48878">
      <c r="P48878" s="42"/>
      <c r="AB48878" s="38"/>
    </row>
    <row r="48879">
      <c r="P48879" s="42"/>
      <c r="AB48879" s="38"/>
    </row>
    <row r="48880">
      <c r="P48880" s="42"/>
      <c r="AB48880" s="38"/>
    </row>
    <row r="48881">
      <c r="P48881" s="42"/>
      <c r="AB48881" s="38"/>
    </row>
    <row r="48882">
      <c r="P48882" s="42"/>
      <c r="AB48882" s="38"/>
    </row>
    <row r="48883">
      <c r="P48883" s="42"/>
      <c r="AB48883" s="38"/>
    </row>
    <row r="48884">
      <c r="P48884" s="42"/>
      <c r="AB48884" s="38"/>
    </row>
    <row r="48885">
      <c r="P48885" s="42"/>
      <c r="AB48885" s="38"/>
    </row>
    <row r="48886">
      <c r="P48886" s="42"/>
      <c r="AB48886" s="38"/>
    </row>
    <row r="48887">
      <c r="P48887" s="42"/>
      <c r="AB48887" s="38"/>
    </row>
    <row r="48888">
      <c r="P48888" s="42"/>
      <c r="AB48888" s="38"/>
    </row>
    <row r="48889">
      <c r="P48889" s="42"/>
      <c r="AB48889" s="38"/>
    </row>
    <row r="48890">
      <c r="P48890" s="42"/>
      <c r="AB48890" s="38"/>
    </row>
    <row r="48891">
      <c r="P48891" s="42"/>
      <c r="AB48891" s="38"/>
    </row>
    <row r="48892">
      <c r="P48892" s="42"/>
      <c r="AB48892" s="38"/>
    </row>
    <row r="48893">
      <c r="P48893" s="42"/>
      <c r="AB48893" s="38"/>
    </row>
    <row r="48894">
      <c r="P48894" s="42"/>
      <c r="AB48894" s="38"/>
    </row>
    <row r="48895">
      <c r="P48895" s="42"/>
      <c r="AB48895" s="38"/>
    </row>
    <row r="48896">
      <c r="P48896" s="42"/>
      <c r="AB48896" s="38"/>
    </row>
    <row r="48897">
      <c r="P48897" s="42"/>
      <c r="AB48897" s="38"/>
    </row>
    <row r="48898">
      <c r="P48898" s="42"/>
      <c r="AB48898" s="38"/>
    </row>
    <row r="48899">
      <c r="P48899" s="42"/>
      <c r="AB48899" s="38"/>
    </row>
    <row r="48900">
      <c r="P48900" s="42"/>
      <c r="AB48900" s="38"/>
    </row>
    <row r="48901">
      <c r="P48901" s="42"/>
      <c r="AB48901" s="38"/>
    </row>
    <row r="48902">
      <c r="P48902" s="42"/>
      <c r="AB48902" s="38"/>
    </row>
    <row r="48903">
      <c r="P48903" s="42"/>
      <c r="AB48903" s="38"/>
    </row>
    <row r="48904">
      <c r="P48904" s="42"/>
      <c r="AB48904" s="38"/>
    </row>
    <row r="48905">
      <c r="P48905" s="42"/>
      <c r="AB48905" s="38"/>
    </row>
    <row r="48906">
      <c r="P48906" s="42"/>
      <c r="AB48906" s="38"/>
    </row>
    <row r="48907">
      <c r="P48907" s="42"/>
      <c r="AB48907" s="38"/>
    </row>
    <row r="48908">
      <c r="P48908" s="42"/>
      <c r="AB48908" s="38"/>
    </row>
    <row r="48909">
      <c r="P48909" s="42"/>
      <c r="AB48909" s="38"/>
    </row>
    <row r="48910">
      <c r="P48910" s="42"/>
      <c r="AB48910" s="38"/>
    </row>
    <row r="48911">
      <c r="P48911" s="42"/>
      <c r="AB48911" s="38"/>
    </row>
    <row r="48912">
      <c r="P48912" s="42"/>
      <c r="AB48912" s="38"/>
    </row>
    <row r="48913">
      <c r="P48913" s="42"/>
      <c r="AB48913" s="38"/>
    </row>
    <row r="48914">
      <c r="P48914" s="42"/>
      <c r="AB48914" s="38"/>
    </row>
    <row r="48915">
      <c r="P48915" s="42"/>
      <c r="AB48915" s="38"/>
    </row>
    <row r="48916">
      <c r="P48916" s="42"/>
      <c r="AB48916" s="38"/>
    </row>
    <row r="48917">
      <c r="P48917" s="42"/>
      <c r="AB48917" s="38"/>
    </row>
    <row r="48918">
      <c r="P48918" s="42"/>
      <c r="AB48918" s="38"/>
    </row>
    <row r="48919">
      <c r="P48919" s="42"/>
      <c r="AB48919" s="38"/>
    </row>
    <row r="48920">
      <c r="P48920" s="42"/>
      <c r="AB48920" s="38"/>
    </row>
    <row r="48921">
      <c r="P48921" s="42"/>
      <c r="AB48921" s="38"/>
    </row>
    <row r="48922">
      <c r="P48922" s="42"/>
      <c r="AB48922" s="38"/>
    </row>
    <row r="48923">
      <c r="P48923" s="42"/>
      <c r="AB48923" s="38"/>
    </row>
    <row r="48924">
      <c r="P48924" s="42"/>
      <c r="AB48924" s="38"/>
    </row>
    <row r="48925">
      <c r="P48925" s="42"/>
      <c r="AB48925" s="38"/>
    </row>
    <row r="48926">
      <c r="P48926" s="42"/>
      <c r="AB48926" s="38"/>
    </row>
    <row r="48927">
      <c r="P48927" s="42"/>
      <c r="AB48927" s="38"/>
    </row>
    <row r="48928">
      <c r="P48928" s="42"/>
      <c r="AB48928" s="38"/>
    </row>
    <row r="48929">
      <c r="P48929" s="42"/>
      <c r="AB48929" s="38"/>
    </row>
    <row r="48930">
      <c r="P48930" s="42"/>
      <c r="AB48930" s="38"/>
    </row>
    <row r="48931">
      <c r="P48931" s="42"/>
      <c r="AB48931" s="38"/>
    </row>
    <row r="48932">
      <c r="P48932" s="42"/>
      <c r="AB48932" s="38"/>
    </row>
    <row r="48933">
      <c r="P48933" s="42"/>
      <c r="AB48933" s="38"/>
    </row>
    <row r="48934">
      <c r="P48934" s="42"/>
      <c r="AB48934" s="38"/>
    </row>
    <row r="48935">
      <c r="P48935" s="42"/>
      <c r="AB48935" s="38"/>
    </row>
    <row r="48936">
      <c r="P48936" s="42"/>
      <c r="AB48936" s="38"/>
    </row>
    <row r="48937">
      <c r="P48937" s="42"/>
      <c r="AB48937" s="38"/>
    </row>
    <row r="48938">
      <c r="P48938" s="42"/>
      <c r="AB48938" s="38"/>
    </row>
    <row r="48939">
      <c r="P48939" s="42"/>
      <c r="AB48939" s="38"/>
    </row>
    <row r="48940">
      <c r="P48940" s="42"/>
      <c r="AB48940" s="38"/>
    </row>
    <row r="48941">
      <c r="P48941" s="42"/>
      <c r="AB48941" s="38"/>
    </row>
    <row r="48942">
      <c r="P48942" s="42"/>
      <c r="AB48942" s="38"/>
    </row>
    <row r="48943">
      <c r="P48943" s="42"/>
      <c r="AB48943" s="38"/>
    </row>
    <row r="48944">
      <c r="P48944" s="42"/>
      <c r="AB48944" s="38"/>
    </row>
    <row r="48945">
      <c r="P48945" s="42"/>
      <c r="AB48945" s="38"/>
    </row>
    <row r="48946">
      <c r="P48946" s="42"/>
      <c r="AB48946" s="38"/>
    </row>
    <row r="48947">
      <c r="P48947" s="42"/>
      <c r="AB48947" s="38"/>
    </row>
    <row r="48948">
      <c r="P48948" s="42"/>
      <c r="AB48948" s="38"/>
    </row>
    <row r="48949">
      <c r="P48949" s="42"/>
      <c r="AB48949" s="38"/>
    </row>
    <row r="48950">
      <c r="P48950" s="42"/>
      <c r="AB48950" s="38"/>
    </row>
    <row r="48951">
      <c r="P48951" s="42"/>
      <c r="AB48951" s="38"/>
    </row>
    <row r="48952">
      <c r="P48952" s="42"/>
      <c r="AB48952" s="38"/>
    </row>
    <row r="48953">
      <c r="P48953" s="42"/>
      <c r="AB48953" s="38"/>
    </row>
    <row r="48954">
      <c r="P48954" s="42"/>
      <c r="AB48954" s="38"/>
    </row>
    <row r="48955">
      <c r="P48955" s="42"/>
      <c r="AB48955" s="38"/>
    </row>
    <row r="48956">
      <c r="P48956" s="42"/>
      <c r="AB48956" s="38"/>
    </row>
    <row r="48957">
      <c r="P48957" s="42"/>
      <c r="AB48957" s="38"/>
    </row>
    <row r="48958">
      <c r="P48958" s="42"/>
      <c r="AB48958" s="38"/>
    </row>
    <row r="48959">
      <c r="P48959" s="42"/>
      <c r="AB48959" s="38"/>
    </row>
    <row r="48960">
      <c r="P48960" s="42"/>
      <c r="AB48960" s="38"/>
    </row>
    <row r="48961">
      <c r="P48961" s="42"/>
      <c r="AB48961" s="38"/>
    </row>
    <row r="48962">
      <c r="P48962" s="42"/>
      <c r="AB48962" s="38"/>
    </row>
    <row r="48963">
      <c r="P48963" s="42"/>
      <c r="AB48963" s="38"/>
    </row>
    <row r="48964">
      <c r="P48964" s="42"/>
      <c r="AB48964" s="38"/>
    </row>
    <row r="48965">
      <c r="P48965" s="42"/>
      <c r="AB48965" s="38"/>
    </row>
    <row r="48966">
      <c r="P48966" s="42"/>
      <c r="AB48966" s="38"/>
    </row>
    <row r="48967">
      <c r="P48967" s="42"/>
      <c r="AB48967" s="38"/>
    </row>
    <row r="48968">
      <c r="P48968" s="42"/>
      <c r="AB48968" s="38"/>
    </row>
    <row r="48969">
      <c r="P48969" s="42"/>
      <c r="AB48969" s="38"/>
    </row>
    <row r="48970">
      <c r="P48970" s="42"/>
      <c r="AB48970" s="38"/>
    </row>
    <row r="48971">
      <c r="P48971" s="42"/>
      <c r="AB48971" s="38"/>
    </row>
    <row r="48972">
      <c r="P48972" s="42"/>
      <c r="AB48972" s="38"/>
    </row>
    <row r="48973">
      <c r="P48973" s="42"/>
      <c r="AB48973" s="38"/>
    </row>
    <row r="48974">
      <c r="P48974" s="42"/>
      <c r="AB48974" s="38"/>
    </row>
    <row r="48975">
      <c r="P48975" s="42"/>
      <c r="AB48975" s="38"/>
    </row>
    <row r="48976">
      <c r="P48976" s="42"/>
      <c r="AB48976" s="38"/>
    </row>
    <row r="48977">
      <c r="P48977" s="42"/>
      <c r="AB48977" s="38"/>
    </row>
    <row r="48978">
      <c r="P48978" s="42"/>
      <c r="AB48978" s="38"/>
    </row>
    <row r="48979">
      <c r="P48979" s="42"/>
      <c r="AB48979" s="38"/>
    </row>
    <row r="48980">
      <c r="P48980" s="42"/>
      <c r="AB48980" s="38"/>
    </row>
    <row r="48981">
      <c r="P48981" s="42"/>
      <c r="AB48981" s="38"/>
    </row>
    <row r="48982">
      <c r="P48982" s="42"/>
      <c r="AB48982" s="38"/>
    </row>
    <row r="48983">
      <c r="P48983" s="42"/>
      <c r="AB48983" s="38"/>
    </row>
    <row r="48984">
      <c r="P48984" s="42"/>
      <c r="AB48984" s="38"/>
    </row>
    <row r="48985">
      <c r="P48985" s="42"/>
      <c r="AB48985" s="38"/>
    </row>
    <row r="48986">
      <c r="P48986" s="42"/>
      <c r="AB48986" s="38"/>
    </row>
    <row r="48987">
      <c r="P48987" s="42"/>
      <c r="AB48987" s="38"/>
    </row>
    <row r="48988">
      <c r="P48988" s="42"/>
      <c r="AB48988" s="38"/>
    </row>
    <row r="48989">
      <c r="P48989" s="42"/>
      <c r="AB48989" s="38"/>
    </row>
    <row r="48990">
      <c r="P48990" s="42"/>
      <c r="AB48990" s="38"/>
    </row>
    <row r="48991">
      <c r="P48991" s="42"/>
      <c r="AB48991" s="38"/>
    </row>
    <row r="48992">
      <c r="P48992" s="42"/>
      <c r="AB48992" s="38"/>
    </row>
    <row r="48993">
      <c r="P48993" s="42"/>
      <c r="AB48993" s="38"/>
    </row>
    <row r="48994">
      <c r="P48994" s="42"/>
      <c r="AB48994" s="38"/>
    </row>
    <row r="48995">
      <c r="P48995" s="42"/>
      <c r="AB48995" s="38"/>
    </row>
    <row r="48996">
      <c r="P48996" s="42"/>
      <c r="AB48996" s="38"/>
    </row>
    <row r="48997">
      <c r="P48997" s="42"/>
      <c r="AB48997" s="38"/>
    </row>
    <row r="48998">
      <c r="P48998" s="42"/>
      <c r="AB48998" s="38"/>
    </row>
    <row r="48999">
      <c r="P48999" s="42"/>
      <c r="AB48999" s="38"/>
    </row>
    <row r="49000">
      <c r="P49000" s="42"/>
      <c r="AB49000" s="38"/>
    </row>
    <row r="49001">
      <c r="P49001" s="42"/>
      <c r="AB49001" s="38"/>
    </row>
    <row r="49002">
      <c r="P49002" s="42"/>
      <c r="AB49002" s="38"/>
    </row>
    <row r="49003">
      <c r="P49003" s="42"/>
      <c r="AB49003" s="38"/>
    </row>
    <row r="49004">
      <c r="P49004" s="42"/>
      <c r="AB49004" s="38"/>
    </row>
    <row r="49005">
      <c r="P49005" s="42"/>
      <c r="AB49005" s="38"/>
    </row>
    <row r="49006">
      <c r="P49006" s="42"/>
      <c r="AB49006" s="38"/>
    </row>
    <row r="49007">
      <c r="P49007" s="42"/>
      <c r="AB49007" s="38"/>
    </row>
    <row r="49008">
      <c r="P49008" s="42"/>
      <c r="AB49008" s="38"/>
    </row>
    <row r="49009">
      <c r="P49009" s="42"/>
      <c r="AB49009" s="38"/>
    </row>
    <row r="49010">
      <c r="P49010" s="42"/>
      <c r="AB49010" s="38"/>
    </row>
    <row r="49011">
      <c r="P49011" s="42"/>
      <c r="AB49011" s="38"/>
    </row>
    <row r="49012">
      <c r="P49012" s="42"/>
      <c r="AB49012" s="38"/>
    </row>
    <row r="49013">
      <c r="P49013" s="42"/>
      <c r="AB49013" s="38"/>
    </row>
    <row r="49014">
      <c r="P49014" s="42"/>
      <c r="AB49014" s="38"/>
    </row>
    <row r="49015">
      <c r="P49015" s="42"/>
      <c r="AB49015" s="38"/>
    </row>
    <row r="49016">
      <c r="P49016" s="42"/>
      <c r="AB49016" s="38"/>
    </row>
    <row r="49017">
      <c r="P49017" s="42"/>
      <c r="AB49017" s="38"/>
    </row>
    <row r="49018">
      <c r="P49018" s="42"/>
      <c r="AB49018" s="38"/>
    </row>
    <row r="49019">
      <c r="P49019" s="42"/>
      <c r="AB49019" s="38"/>
    </row>
    <row r="49020">
      <c r="P49020" s="42"/>
      <c r="AB49020" s="38"/>
    </row>
    <row r="49021">
      <c r="P49021" s="42"/>
      <c r="AB49021" s="38"/>
    </row>
    <row r="49022">
      <c r="P49022" s="42"/>
      <c r="AB49022" s="38"/>
    </row>
    <row r="49023">
      <c r="P49023" s="42"/>
      <c r="AB49023" s="38"/>
    </row>
    <row r="49024">
      <c r="P49024" s="42"/>
      <c r="AB49024" s="38"/>
    </row>
    <row r="49025">
      <c r="P49025" s="42"/>
      <c r="AB49025" s="38"/>
    </row>
    <row r="49026">
      <c r="P49026" s="42"/>
      <c r="AB49026" s="38"/>
    </row>
    <row r="49027">
      <c r="P49027" s="42"/>
      <c r="AB49027" s="38"/>
    </row>
    <row r="49028">
      <c r="P49028" s="42"/>
      <c r="AB49028" s="38"/>
    </row>
    <row r="49029">
      <c r="P49029" s="42"/>
      <c r="AB49029" s="38"/>
    </row>
    <row r="49030">
      <c r="P49030" s="42"/>
      <c r="AB49030" s="38"/>
    </row>
    <row r="49031">
      <c r="P49031" s="42"/>
      <c r="AB49031" s="38"/>
    </row>
    <row r="49032">
      <c r="P49032" s="42"/>
      <c r="AB49032" s="38"/>
    </row>
    <row r="49033">
      <c r="P49033" s="42"/>
      <c r="AB49033" s="38"/>
    </row>
    <row r="49034">
      <c r="P49034" s="42"/>
      <c r="AB49034" s="38"/>
    </row>
    <row r="49035">
      <c r="P49035" s="42"/>
      <c r="AB49035" s="38"/>
    </row>
    <row r="49036">
      <c r="P49036" s="42"/>
      <c r="AB49036" s="38"/>
    </row>
    <row r="49037">
      <c r="P49037" s="42"/>
      <c r="AB49037" s="38"/>
    </row>
    <row r="49038">
      <c r="P49038" s="42"/>
      <c r="AB49038" s="38"/>
    </row>
    <row r="49039">
      <c r="P49039" s="42"/>
      <c r="AB49039" s="38"/>
    </row>
    <row r="49040">
      <c r="P49040" s="42"/>
      <c r="AB49040" s="38"/>
    </row>
    <row r="49041">
      <c r="P49041" s="42"/>
      <c r="AB49041" s="38"/>
    </row>
    <row r="49042">
      <c r="P49042" s="42"/>
      <c r="AB49042" s="38"/>
    </row>
    <row r="49043">
      <c r="P49043" s="42"/>
      <c r="AB49043" s="38"/>
    </row>
    <row r="49044">
      <c r="P49044" s="42"/>
      <c r="AB49044" s="38"/>
    </row>
    <row r="49045">
      <c r="P49045" s="42"/>
      <c r="AB49045" s="38"/>
    </row>
    <row r="49046">
      <c r="P49046" s="42"/>
      <c r="AB49046" s="38"/>
    </row>
    <row r="49047">
      <c r="P49047" s="42"/>
      <c r="AB49047" s="38"/>
    </row>
    <row r="49048">
      <c r="P49048" s="42"/>
      <c r="AB49048" s="38"/>
    </row>
    <row r="49049">
      <c r="P49049" s="42"/>
      <c r="AB49049" s="38"/>
    </row>
    <row r="49050">
      <c r="P49050" s="42"/>
      <c r="AB49050" s="38"/>
    </row>
    <row r="49051">
      <c r="P49051" s="42"/>
      <c r="AB49051" s="38"/>
    </row>
    <row r="49052">
      <c r="P49052" s="42"/>
      <c r="AB49052" s="38"/>
    </row>
    <row r="49053">
      <c r="P49053" s="42"/>
      <c r="AB49053" s="38"/>
    </row>
    <row r="49054">
      <c r="P49054" s="42"/>
      <c r="AB49054" s="38"/>
    </row>
    <row r="49055">
      <c r="P49055" s="42"/>
      <c r="AB49055" s="38"/>
    </row>
    <row r="49056">
      <c r="P49056" s="42"/>
      <c r="AB49056" s="38"/>
    </row>
    <row r="49057">
      <c r="P49057" s="42"/>
      <c r="AB49057" s="38"/>
    </row>
    <row r="49058">
      <c r="P49058" s="42"/>
      <c r="AB49058" s="38"/>
    </row>
    <row r="49059">
      <c r="P49059" s="42"/>
      <c r="AB49059" s="38"/>
    </row>
    <row r="49060">
      <c r="P49060" s="42"/>
      <c r="AB49060" s="38"/>
    </row>
    <row r="49061">
      <c r="P49061" s="42"/>
      <c r="AB49061" s="38"/>
    </row>
    <row r="49062">
      <c r="P49062" s="42"/>
      <c r="AB49062" s="38"/>
    </row>
    <row r="49063">
      <c r="P49063" s="42"/>
      <c r="AB49063" s="38"/>
    </row>
    <row r="49064">
      <c r="P49064" s="42"/>
      <c r="AB49064" s="38"/>
    </row>
    <row r="49065">
      <c r="P49065" s="42"/>
      <c r="AB49065" s="38"/>
    </row>
    <row r="49066">
      <c r="P49066" s="42"/>
      <c r="AB49066" s="38"/>
    </row>
    <row r="49067">
      <c r="P49067" s="42"/>
      <c r="AB49067" s="38"/>
    </row>
    <row r="49068">
      <c r="P49068" s="42"/>
      <c r="AB49068" s="38"/>
    </row>
    <row r="49069">
      <c r="P49069" s="42"/>
      <c r="AB49069" s="38"/>
    </row>
    <row r="49070">
      <c r="P49070" s="42"/>
      <c r="AB49070" s="38"/>
    </row>
    <row r="49071">
      <c r="P49071" s="42"/>
      <c r="AB49071" s="38"/>
    </row>
    <row r="49072">
      <c r="P49072" s="42"/>
      <c r="AB49072" s="38"/>
    </row>
    <row r="49073">
      <c r="P49073" s="42"/>
      <c r="AB49073" s="38"/>
    </row>
    <row r="49074">
      <c r="P49074" s="42"/>
      <c r="AB49074" s="38"/>
    </row>
    <row r="49075">
      <c r="P49075" s="42"/>
      <c r="AB49075" s="38"/>
    </row>
    <row r="49076">
      <c r="P49076" s="42"/>
      <c r="AB49076" s="38"/>
    </row>
    <row r="49077">
      <c r="P49077" s="42"/>
      <c r="AB49077" s="38"/>
    </row>
    <row r="49078">
      <c r="P49078" s="42"/>
      <c r="AB49078" s="38"/>
    </row>
    <row r="49079">
      <c r="P49079" s="42"/>
      <c r="AB49079" s="38"/>
    </row>
    <row r="49080">
      <c r="P49080" s="42"/>
      <c r="AB49080" s="38"/>
    </row>
    <row r="49081">
      <c r="P49081" s="42"/>
      <c r="AB49081" s="38"/>
    </row>
    <row r="49082">
      <c r="P49082" s="42"/>
      <c r="AB49082" s="38"/>
    </row>
    <row r="49083">
      <c r="P49083" s="42"/>
      <c r="AB49083" s="38"/>
    </row>
    <row r="49084">
      <c r="P49084" s="42"/>
      <c r="AB49084" s="38"/>
    </row>
    <row r="49085">
      <c r="P49085" s="42"/>
      <c r="AB49085" s="38"/>
    </row>
    <row r="49086">
      <c r="P49086" s="42"/>
      <c r="AB49086" s="38"/>
    </row>
    <row r="49087">
      <c r="P49087" s="42"/>
      <c r="AB49087" s="38"/>
    </row>
    <row r="49088">
      <c r="P49088" s="42"/>
      <c r="AB49088" s="38"/>
    </row>
    <row r="49089">
      <c r="P49089" s="42"/>
      <c r="AB49089" s="38"/>
    </row>
    <row r="49090">
      <c r="P49090" s="42"/>
      <c r="AB49090" s="38"/>
    </row>
    <row r="49091">
      <c r="P49091" s="42"/>
      <c r="AB49091" s="38"/>
    </row>
    <row r="49092">
      <c r="P49092" s="42"/>
      <c r="AB49092" s="38"/>
    </row>
    <row r="49093">
      <c r="P49093" s="42"/>
      <c r="AB49093" s="38"/>
    </row>
    <row r="49094">
      <c r="P49094" s="42"/>
      <c r="AB49094" s="38"/>
    </row>
    <row r="49095">
      <c r="P49095" s="42"/>
      <c r="AB49095" s="38"/>
    </row>
    <row r="49096">
      <c r="P49096" s="42"/>
      <c r="AB49096" s="38"/>
    </row>
    <row r="49097">
      <c r="P49097" s="42"/>
      <c r="AB49097" s="38"/>
    </row>
    <row r="49098">
      <c r="P49098" s="42"/>
      <c r="AB49098" s="38"/>
    </row>
    <row r="49099">
      <c r="P49099" s="42"/>
      <c r="AB49099" s="38"/>
    </row>
    <row r="49100">
      <c r="P49100" s="42"/>
      <c r="AB49100" s="38"/>
    </row>
    <row r="49101">
      <c r="P49101" s="42"/>
      <c r="AB49101" s="38"/>
    </row>
    <row r="49102">
      <c r="P49102" s="42"/>
      <c r="AB49102" s="38"/>
    </row>
    <row r="49103">
      <c r="P49103" s="42"/>
      <c r="AB49103" s="38"/>
    </row>
    <row r="49104">
      <c r="P49104" s="42"/>
      <c r="AB49104" s="38"/>
    </row>
    <row r="49105">
      <c r="P49105" s="42"/>
      <c r="AB49105" s="38"/>
    </row>
    <row r="49106">
      <c r="P49106" s="42"/>
      <c r="AB49106" s="38"/>
    </row>
    <row r="49107">
      <c r="P49107" s="42"/>
      <c r="AB49107" s="38"/>
    </row>
    <row r="49108">
      <c r="P49108" s="42"/>
      <c r="AB49108" s="38"/>
    </row>
    <row r="49109">
      <c r="P49109" s="42"/>
      <c r="AB49109" s="38"/>
    </row>
    <row r="49110">
      <c r="P49110" s="42"/>
      <c r="AB49110" s="38"/>
    </row>
    <row r="49111">
      <c r="P49111" s="42"/>
      <c r="AB49111" s="38"/>
    </row>
    <row r="49112">
      <c r="P49112" s="42"/>
      <c r="AB49112" s="38"/>
    </row>
    <row r="49113">
      <c r="P49113" s="42"/>
      <c r="AB49113" s="38"/>
    </row>
    <row r="49114">
      <c r="P49114" s="42"/>
      <c r="AB49114" s="38"/>
    </row>
    <row r="49115">
      <c r="P49115" s="42"/>
      <c r="AB49115" s="38"/>
    </row>
    <row r="49116">
      <c r="P49116" s="42"/>
      <c r="AB49116" s="38"/>
    </row>
    <row r="49117">
      <c r="P49117" s="42"/>
      <c r="AB49117" s="38"/>
    </row>
    <row r="49118">
      <c r="P49118" s="42"/>
      <c r="AB49118" s="38"/>
    </row>
    <row r="49119">
      <c r="P49119" s="42"/>
      <c r="AB49119" s="38"/>
    </row>
    <row r="49120">
      <c r="P49120" s="42"/>
      <c r="AB49120" s="38"/>
    </row>
    <row r="49121">
      <c r="P49121" s="42"/>
      <c r="AB49121" s="38"/>
    </row>
    <row r="49122">
      <c r="P49122" s="42"/>
      <c r="AB49122" s="38"/>
    </row>
    <row r="49123">
      <c r="P49123" s="42"/>
      <c r="AB49123" s="38"/>
    </row>
    <row r="49124">
      <c r="P49124" s="42"/>
      <c r="AB49124" s="38"/>
    </row>
    <row r="49125">
      <c r="P49125" s="42"/>
      <c r="AB49125" s="38"/>
    </row>
    <row r="49126">
      <c r="P49126" s="42"/>
      <c r="AB49126" s="38"/>
    </row>
    <row r="49127">
      <c r="P49127" s="42"/>
      <c r="AB49127" s="38"/>
    </row>
    <row r="49128">
      <c r="P49128" s="42"/>
      <c r="AB49128" s="38"/>
    </row>
    <row r="49129">
      <c r="P49129" s="42"/>
      <c r="AB49129" s="38"/>
    </row>
    <row r="49130">
      <c r="P49130" s="42"/>
      <c r="AB49130" s="38"/>
    </row>
    <row r="49131">
      <c r="P49131" s="42"/>
      <c r="AB49131" s="38"/>
    </row>
    <row r="49132">
      <c r="P49132" s="42"/>
      <c r="AB49132" s="38"/>
    </row>
    <row r="49133">
      <c r="P49133" s="42"/>
      <c r="AB49133" s="38"/>
    </row>
    <row r="49134">
      <c r="P49134" s="42"/>
      <c r="AB49134" s="38"/>
    </row>
    <row r="49135">
      <c r="P49135" s="42"/>
      <c r="AB49135" s="38"/>
    </row>
    <row r="49136">
      <c r="P49136" s="42"/>
      <c r="AB49136" s="38"/>
    </row>
    <row r="49137">
      <c r="P49137" s="42"/>
      <c r="AB49137" s="38"/>
    </row>
    <row r="49138">
      <c r="P49138" s="42"/>
      <c r="AB49138" s="38"/>
    </row>
    <row r="49139">
      <c r="P49139" s="42"/>
      <c r="AB49139" s="38"/>
    </row>
    <row r="49140">
      <c r="P49140" s="42"/>
      <c r="AB49140" s="38"/>
    </row>
    <row r="49141">
      <c r="P49141" s="42"/>
      <c r="AB49141" s="38"/>
    </row>
    <row r="49142">
      <c r="P49142" s="42"/>
      <c r="AB49142" s="38"/>
    </row>
    <row r="49143">
      <c r="P49143" s="42"/>
      <c r="AB49143" s="38"/>
    </row>
    <row r="49144">
      <c r="P49144" s="42"/>
      <c r="AB49144" s="38"/>
    </row>
    <row r="49145">
      <c r="P49145" s="42"/>
      <c r="AB49145" s="38"/>
    </row>
    <row r="49146">
      <c r="P49146" s="42"/>
      <c r="AB49146" s="38"/>
    </row>
    <row r="49147">
      <c r="P49147" s="42"/>
      <c r="AB49147" s="38"/>
    </row>
    <row r="49148">
      <c r="P49148" s="42"/>
      <c r="AB49148" s="38"/>
    </row>
    <row r="49149">
      <c r="P49149" s="42"/>
      <c r="AB49149" s="38"/>
    </row>
    <row r="49150">
      <c r="P49150" s="42"/>
      <c r="AB49150" s="38"/>
    </row>
    <row r="49151">
      <c r="P49151" s="42"/>
      <c r="AB49151" s="38"/>
    </row>
    <row r="49152">
      <c r="P49152" s="42"/>
      <c r="AB49152" s="38"/>
    </row>
    <row r="49153">
      <c r="P49153" s="42"/>
      <c r="AB49153" s="38"/>
    </row>
    <row r="49154">
      <c r="P49154" s="42"/>
      <c r="AB49154" s="38"/>
    </row>
    <row r="49155">
      <c r="P49155" s="42"/>
      <c r="AB49155" s="38"/>
    </row>
    <row r="49156">
      <c r="P49156" s="42"/>
      <c r="AB49156" s="38"/>
    </row>
    <row r="49157">
      <c r="P49157" s="42"/>
      <c r="AB49157" s="38"/>
    </row>
    <row r="49158">
      <c r="P49158" s="42"/>
      <c r="AB49158" s="38"/>
    </row>
    <row r="49159">
      <c r="P49159" s="42"/>
      <c r="AB49159" s="38"/>
    </row>
    <row r="49160">
      <c r="P49160" s="42"/>
      <c r="AB49160" s="38"/>
    </row>
    <row r="49161">
      <c r="P49161" s="42"/>
      <c r="AB49161" s="38"/>
    </row>
    <row r="49162">
      <c r="P49162" s="42"/>
      <c r="AB49162" s="38"/>
    </row>
    <row r="49163">
      <c r="P49163" s="42"/>
      <c r="AB49163" s="38"/>
    </row>
    <row r="49164">
      <c r="P49164" s="42"/>
      <c r="AB49164" s="38"/>
    </row>
    <row r="49165">
      <c r="P49165" s="42"/>
      <c r="AB49165" s="38"/>
    </row>
    <row r="49166">
      <c r="P49166" s="42"/>
      <c r="AB49166" s="38"/>
    </row>
    <row r="49167">
      <c r="P49167" s="42"/>
      <c r="AB49167" s="38"/>
    </row>
    <row r="49168">
      <c r="P49168" s="42"/>
      <c r="AB49168" s="38"/>
    </row>
    <row r="49169">
      <c r="P49169" s="42"/>
      <c r="AB49169" s="38"/>
    </row>
    <row r="49170">
      <c r="P49170" s="42"/>
      <c r="AB49170" s="38"/>
    </row>
    <row r="49171">
      <c r="P49171" s="42"/>
      <c r="AB49171" s="38"/>
    </row>
    <row r="49172">
      <c r="P49172" s="42"/>
      <c r="AB49172" s="38"/>
    </row>
    <row r="49173">
      <c r="P49173" s="42"/>
      <c r="AB49173" s="38"/>
    </row>
    <row r="49174">
      <c r="P49174" s="42"/>
      <c r="AB49174" s="38"/>
    </row>
    <row r="49175">
      <c r="P49175" s="42"/>
      <c r="AB49175" s="38"/>
    </row>
    <row r="49176">
      <c r="P49176" s="42"/>
      <c r="AB49176" s="38"/>
    </row>
    <row r="49177">
      <c r="P49177" s="42"/>
      <c r="AB49177" s="38"/>
    </row>
    <row r="49178">
      <c r="P49178" s="42"/>
      <c r="AB49178" s="38"/>
    </row>
    <row r="49179">
      <c r="P49179" s="42"/>
      <c r="AB49179" s="38"/>
    </row>
    <row r="49180">
      <c r="P49180" s="42"/>
      <c r="AB49180" s="38"/>
    </row>
    <row r="49181">
      <c r="P49181" s="42"/>
      <c r="AB49181" s="38"/>
    </row>
    <row r="49182">
      <c r="P49182" s="42"/>
      <c r="AB49182" s="38"/>
    </row>
    <row r="49183">
      <c r="P49183" s="42"/>
      <c r="AB49183" s="38"/>
    </row>
    <row r="49184">
      <c r="P49184" s="42"/>
      <c r="AB49184" s="38"/>
    </row>
    <row r="49185">
      <c r="P49185" s="42"/>
      <c r="AB49185" s="38"/>
    </row>
    <row r="49186">
      <c r="P49186" s="42"/>
      <c r="AB49186" s="38"/>
    </row>
    <row r="49187">
      <c r="P49187" s="42"/>
      <c r="AB49187" s="38"/>
    </row>
    <row r="49188">
      <c r="P49188" s="42"/>
      <c r="AB49188" s="38"/>
    </row>
    <row r="49189">
      <c r="P49189" s="42"/>
      <c r="AB49189" s="38"/>
    </row>
    <row r="49190">
      <c r="P49190" s="42"/>
      <c r="AB49190" s="38"/>
    </row>
    <row r="49191">
      <c r="P49191" s="42"/>
      <c r="AB49191" s="38"/>
    </row>
    <row r="49192">
      <c r="P49192" s="42"/>
      <c r="AB49192" s="38"/>
    </row>
    <row r="49193">
      <c r="P49193" s="42"/>
      <c r="AB49193" s="38"/>
    </row>
    <row r="49194">
      <c r="P49194" s="42"/>
      <c r="AB49194" s="38"/>
    </row>
    <row r="49195">
      <c r="P49195" s="42"/>
      <c r="AB49195" s="38"/>
    </row>
    <row r="49196">
      <c r="P49196" s="42"/>
      <c r="AB49196" s="38"/>
    </row>
    <row r="49197">
      <c r="P49197" s="42"/>
      <c r="AB49197" s="38"/>
    </row>
    <row r="49198">
      <c r="P49198" s="42"/>
      <c r="AB49198" s="38"/>
    </row>
    <row r="49199">
      <c r="P49199" s="42"/>
      <c r="AB49199" s="38"/>
    </row>
    <row r="49200">
      <c r="P49200" s="42"/>
      <c r="AB49200" s="38"/>
    </row>
    <row r="49201">
      <c r="P49201" s="42"/>
      <c r="AB49201" s="38"/>
    </row>
    <row r="49202">
      <c r="P49202" s="42"/>
      <c r="AB49202" s="38"/>
    </row>
    <row r="49203">
      <c r="P49203" s="42"/>
      <c r="AB49203" s="38"/>
    </row>
    <row r="49204">
      <c r="P49204" s="42"/>
      <c r="AB49204" s="38"/>
    </row>
    <row r="49205">
      <c r="P49205" s="42"/>
      <c r="AB49205" s="38"/>
    </row>
    <row r="49206">
      <c r="P49206" s="42"/>
      <c r="AB49206" s="38"/>
    </row>
    <row r="49207">
      <c r="P49207" s="42"/>
      <c r="AB49207" s="38"/>
    </row>
    <row r="49208">
      <c r="P49208" s="42"/>
      <c r="AB49208" s="38"/>
    </row>
    <row r="49209">
      <c r="P49209" s="42"/>
      <c r="AB49209" s="38"/>
    </row>
    <row r="49210">
      <c r="P49210" s="42"/>
      <c r="AB49210" s="38"/>
    </row>
    <row r="49211">
      <c r="P49211" s="42"/>
      <c r="AB49211" s="38"/>
    </row>
    <row r="49212">
      <c r="P49212" s="42"/>
      <c r="AB49212" s="38"/>
    </row>
    <row r="49213">
      <c r="P49213" s="42"/>
      <c r="AB49213" s="38"/>
    </row>
    <row r="49214">
      <c r="P49214" s="42"/>
      <c r="AB49214" s="38"/>
    </row>
    <row r="49215">
      <c r="P49215" s="42"/>
      <c r="AB49215" s="38"/>
    </row>
    <row r="49216">
      <c r="P49216" s="42"/>
      <c r="AB49216" s="38"/>
    </row>
    <row r="49217">
      <c r="P49217" s="42"/>
      <c r="AB49217" s="38"/>
    </row>
    <row r="49218">
      <c r="P49218" s="42"/>
      <c r="AB49218" s="38"/>
    </row>
    <row r="49219">
      <c r="P49219" s="42"/>
      <c r="AB49219" s="38"/>
    </row>
    <row r="49220">
      <c r="P49220" s="42"/>
      <c r="AB49220" s="38"/>
    </row>
    <row r="49221">
      <c r="P49221" s="42"/>
      <c r="AB49221" s="38"/>
    </row>
    <row r="49222">
      <c r="P49222" s="42"/>
      <c r="AB49222" s="38"/>
    </row>
    <row r="49223">
      <c r="P49223" s="42"/>
      <c r="AB49223" s="38"/>
    </row>
    <row r="49224">
      <c r="P49224" s="42"/>
      <c r="AB49224" s="38"/>
    </row>
    <row r="49225">
      <c r="P49225" s="42"/>
      <c r="AB49225" s="38"/>
    </row>
    <row r="49226">
      <c r="P49226" s="42"/>
      <c r="AB49226" s="38"/>
    </row>
    <row r="49227">
      <c r="P49227" s="42"/>
      <c r="AB49227" s="38"/>
    </row>
    <row r="49228">
      <c r="P49228" s="42"/>
      <c r="AB49228" s="38"/>
    </row>
    <row r="49229">
      <c r="P49229" s="42"/>
      <c r="AB49229" s="38"/>
    </row>
    <row r="49230">
      <c r="P49230" s="42"/>
      <c r="AB49230" s="38"/>
    </row>
    <row r="49231">
      <c r="P49231" s="42"/>
      <c r="AB49231" s="38"/>
    </row>
    <row r="49232">
      <c r="P49232" s="42"/>
      <c r="AB49232" s="38"/>
    </row>
    <row r="49233">
      <c r="P49233" s="42"/>
      <c r="AB49233" s="38"/>
    </row>
    <row r="49234">
      <c r="P49234" s="42"/>
      <c r="AB49234" s="38"/>
    </row>
    <row r="49235">
      <c r="P49235" s="42"/>
      <c r="AB49235" s="38"/>
    </row>
    <row r="49236">
      <c r="P49236" s="42"/>
      <c r="AB49236" s="38"/>
    </row>
    <row r="49237">
      <c r="P49237" s="42"/>
      <c r="AB49237" s="38"/>
    </row>
    <row r="49238">
      <c r="P49238" s="42"/>
      <c r="AB49238" s="38"/>
    </row>
    <row r="49239">
      <c r="P49239" s="42"/>
      <c r="AB49239" s="38"/>
    </row>
    <row r="49240">
      <c r="P49240" s="42"/>
      <c r="AB49240" s="38"/>
    </row>
    <row r="49241">
      <c r="P49241" s="42"/>
      <c r="AB49241" s="38"/>
    </row>
    <row r="49242">
      <c r="P49242" s="42"/>
      <c r="AB49242" s="38"/>
    </row>
    <row r="49243">
      <c r="P49243" s="42"/>
      <c r="AB49243" s="38"/>
    </row>
    <row r="49244">
      <c r="P49244" s="42"/>
      <c r="AB49244" s="38"/>
    </row>
    <row r="49245">
      <c r="P49245" s="42"/>
      <c r="AB49245" s="38"/>
    </row>
    <row r="49246">
      <c r="P49246" s="42"/>
      <c r="AB49246" s="38"/>
    </row>
    <row r="49247">
      <c r="P49247" s="42"/>
      <c r="AB49247" s="38"/>
    </row>
    <row r="49248">
      <c r="P49248" s="42"/>
      <c r="AB49248" s="38"/>
    </row>
    <row r="49249">
      <c r="P49249" s="42"/>
      <c r="AB49249" s="38"/>
    </row>
    <row r="49250">
      <c r="P49250" s="42"/>
      <c r="AB49250" s="38"/>
    </row>
    <row r="49251">
      <c r="P49251" s="42"/>
      <c r="AB49251" s="38"/>
    </row>
    <row r="49252">
      <c r="P49252" s="42"/>
      <c r="AB49252" s="38"/>
    </row>
    <row r="49253">
      <c r="P49253" s="42"/>
      <c r="AB49253" s="38"/>
    </row>
    <row r="49254">
      <c r="P49254" s="42"/>
      <c r="AB49254" s="38"/>
    </row>
    <row r="49255">
      <c r="P49255" s="42"/>
      <c r="AB49255" s="38"/>
    </row>
    <row r="49256">
      <c r="P49256" s="42"/>
      <c r="AB49256" s="38"/>
    </row>
    <row r="49257">
      <c r="P49257" s="42"/>
      <c r="AB49257" s="38"/>
    </row>
    <row r="49258">
      <c r="P49258" s="42"/>
      <c r="AB49258" s="38"/>
    </row>
    <row r="49259">
      <c r="P49259" s="42"/>
      <c r="AB49259" s="38"/>
    </row>
    <row r="49260">
      <c r="P49260" s="42"/>
      <c r="AB49260" s="38"/>
    </row>
    <row r="49261">
      <c r="P49261" s="42"/>
      <c r="AB49261" s="38"/>
    </row>
    <row r="49262">
      <c r="P49262" s="42"/>
      <c r="AB49262" s="38"/>
    </row>
    <row r="49263">
      <c r="P49263" s="42"/>
      <c r="AB49263" s="38"/>
    </row>
    <row r="49264">
      <c r="P49264" s="42"/>
      <c r="AB49264" s="38"/>
    </row>
    <row r="49265">
      <c r="P49265" s="42"/>
      <c r="AB49265" s="38"/>
    </row>
    <row r="49266">
      <c r="P49266" s="42"/>
      <c r="AB49266" s="38"/>
    </row>
    <row r="49267">
      <c r="P49267" s="42"/>
      <c r="AB49267" s="38"/>
    </row>
    <row r="49268">
      <c r="P49268" s="42"/>
      <c r="AB49268" s="38"/>
    </row>
    <row r="49269">
      <c r="P49269" s="42"/>
      <c r="AB49269" s="38"/>
    </row>
    <row r="49270">
      <c r="P49270" s="42"/>
      <c r="AB49270" s="38"/>
    </row>
    <row r="49271">
      <c r="P49271" s="42"/>
      <c r="AB49271" s="38"/>
    </row>
    <row r="49272">
      <c r="P49272" s="42"/>
      <c r="AB49272" s="38"/>
    </row>
    <row r="49273">
      <c r="P49273" s="42"/>
      <c r="AB49273" s="38"/>
    </row>
    <row r="49274">
      <c r="P49274" s="42"/>
      <c r="AB49274" s="38"/>
    </row>
    <row r="49275">
      <c r="P49275" s="42"/>
      <c r="AB49275" s="38"/>
    </row>
    <row r="49276">
      <c r="P49276" s="42"/>
      <c r="AB49276" s="38"/>
    </row>
    <row r="49277">
      <c r="P49277" s="42"/>
      <c r="AB49277" s="38"/>
    </row>
    <row r="49278">
      <c r="P49278" s="42"/>
      <c r="AB49278" s="38"/>
    </row>
    <row r="49279">
      <c r="P49279" s="42"/>
      <c r="AB49279" s="38"/>
    </row>
    <row r="49280">
      <c r="P49280" s="42"/>
      <c r="AB49280" s="38"/>
    </row>
    <row r="49281">
      <c r="P49281" s="42"/>
      <c r="AB49281" s="38"/>
    </row>
    <row r="49282">
      <c r="P49282" s="42"/>
      <c r="AB49282" s="38"/>
    </row>
    <row r="49283">
      <c r="P49283" s="42"/>
      <c r="AB49283" s="38"/>
    </row>
    <row r="49284">
      <c r="P49284" s="42"/>
      <c r="AB49284" s="38"/>
    </row>
    <row r="49285">
      <c r="P49285" s="42"/>
      <c r="AB49285" s="38"/>
    </row>
    <row r="49286">
      <c r="P49286" s="42"/>
      <c r="AB49286" s="38"/>
    </row>
    <row r="49287">
      <c r="P49287" s="42"/>
      <c r="AB49287" s="38"/>
    </row>
    <row r="49288">
      <c r="P49288" s="42"/>
      <c r="AB49288" s="38"/>
    </row>
    <row r="49289">
      <c r="P49289" s="42"/>
      <c r="AB49289" s="38"/>
    </row>
    <row r="49290">
      <c r="P49290" s="42"/>
      <c r="AB49290" s="38"/>
    </row>
    <row r="49291">
      <c r="P49291" s="42"/>
      <c r="AB49291" s="38"/>
    </row>
    <row r="49292">
      <c r="P49292" s="42"/>
      <c r="AB49292" s="38"/>
    </row>
    <row r="49293">
      <c r="P49293" s="42"/>
      <c r="AB49293" s="38"/>
    </row>
    <row r="49294">
      <c r="P49294" s="42"/>
      <c r="AB49294" s="38"/>
    </row>
    <row r="49295">
      <c r="P49295" s="42"/>
      <c r="AB49295" s="38"/>
    </row>
    <row r="49296">
      <c r="P49296" s="42"/>
      <c r="AB49296" s="38"/>
    </row>
    <row r="49297">
      <c r="P49297" s="42"/>
      <c r="AB49297" s="38"/>
    </row>
    <row r="49298">
      <c r="P49298" s="42"/>
      <c r="AB49298" s="38"/>
    </row>
    <row r="49299">
      <c r="P49299" s="42"/>
      <c r="AB49299" s="38"/>
    </row>
    <row r="49300">
      <c r="P49300" s="42"/>
      <c r="AB49300" s="38"/>
    </row>
    <row r="49301">
      <c r="P49301" s="42"/>
      <c r="AB49301" s="38"/>
    </row>
    <row r="49302">
      <c r="P49302" s="42"/>
      <c r="AB49302" s="38"/>
    </row>
    <row r="49303">
      <c r="P49303" s="42"/>
      <c r="AB49303" s="38"/>
    </row>
    <row r="49304">
      <c r="P49304" s="42"/>
      <c r="AB49304" s="38"/>
    </row>
    <row r="49305">
      <c r="P49305" s="42"/>
      <c r="AB49305" s="38"/>
    </row>
    <row r="49306">
      <c r="P49306" s="42"/>
      <c r="AB49306" s="38"/>
    </row>
    <row r="49307">
      <c r="P49307" s="42"/>
      <c r="AB49307" s="38"/>
    </row>
    <row r="49308">
      <c r="P49308" s="42"/>
      <c r="AB49308" s="38"/>
    </row>
    <row r="49309">
      <c r="P49309" s="42"/>
      <c r="AB49309" s="38"/>
    </row>
    <row r="49310">
      <c r="P49310" s="42"/>
      <c r="AB49310" s="38"/>
    </row>
    <row r="49311">
      <c r="P49311" s="42"/>
      <c r="AB49311" s="38"/>
    </row>
    <row r="49312">
      <c r="P49312" s="42"/>
      <c r="AB49312" s="38"/>
    </row>
    <row r="49313">
      <c r="P49313" s="42"/>
      <c r="AB49313" s="38"/>
    </row>
    <row r="49314">
      <c r="P49314" s="42"/>
      <c r="AB49314" s="38"/>
    </row>
    <row r="49315">
      <c r="P49315" s="42"/>
      <c r="AB49315" s="38"/>
    </row>
    <row r="49316">
      <c r="P49316" s="42"/>
      <c r="AB49316" s="38"/>
    </row>
    <row r="49317">
      <c r="P49317" s="42"/>
      <c r="AB49317" s="38"/>
    </row>
    <row r="49318">
      <c r="P49318" s="42"/>
      <c r="AB49318" s="38"/>
    </row>
    <row r="49319">
      <c r="P49319" s="42"/>
      <c r="AB49319" s="38"/>
    </row>
    <row r="49320">
      <c r="P49320" s="42"/>
      <c r="AB49320" s="38"/>
    </row>
    <row r="49321">
      <c r="P49321" s="42"/>
      <c r="AB49321" s="38"/>
    </row>
    <row r="49322">
      <c r="P49322" s="42"/>
      <c r="AB49322" s="38"/>
    </row>
    <row r="49323">
      <c r="P49323" s="42"/>
      <c r="AB49323" s="38"/>
    </row>
    <row r="49324">
      <c r="P49324" s="42"/>
      <c r="AB49324" s="38"/>
    </row>
    <row r="49325">
      <c r="P49325" s="42"/>
      <c r="AB49325" s="38"/>
    </row>
    <row r="49326">
      <c r="P49326" s="42"/>
      <c r="AB49326" s="38"/>
    </row>
    <row r="49327">
      <c r="P49327" s="42"/>
      <c r="AB49327" s="38"/>
    </row>
    <row r="49328">
      <c r="P49328" s="42"/>
      <c r="AB49328" s="38"/>
    </row>
    <row r="49329">
      <c r="P49329" s="42"/>
      <c r="AB49329" s="38"/>
    </row>
    <row r="49330">
      <c r="P49330" s="42"/>
      <c r="AB49330" s="38"/>
    </row>
    <row r="49331">
      <c r="P49331" s="42"/>
      <c r="AB49331" s="38"/>
    </row>
    <row r="49332">
      <c r="P49332" s="42"/>
      <c r="AB49332" s="38"/>
    </row>
    <row r="49333">
      <c r="P49333" s="42"/>
      <c r="AB49333" s="38"/>
    </row>
    <row r="49334">
      <c r="P49334" s="42"/>
      <c r="AB49334" s="38"/>
    </row>
    <row r="49335">
      <c r="P49335" s="42"/>
      <c r="AB49335" s="38"/>
    </row>
    <row r="49336">
      <c r="P49336" s="42"/>
      <c r="AB49336" s="38"/>
    </row>
    <row r="49337">
      <c r="P49337" s="42"/>
      <c r="AB49337" s="38"/>
    </row>
    <row r="49338">
      <c r="P49338" s="42"/>
      <c r="AB49338" s="38"/>
    </row>
    <row r="49339">
      <c r="P49339" s="42"/>
      <c r="AB49339" s="38"/>
    </row>
    <row r="49340">
      <c r="P49340" s="42"/>
      <c r="AB49340" s="38"/>
    </row>
    <row r="49341">
      <c r="P49341" s="42"/>
      <c r="AB49341" s="38"/>
    </row>
    <row r="49342">
      <c r="P49342" s="42"/>
      <c r="AB49342" s="38"/>
    </row>
    <row r="49343">
      <c r="P49343" s="42"/>
      <c r="AB49343" s="38"/>
    </row>
    <row r="49344">
      <c r="P49344" s="42"/>
      <c r="AB49344" s="38"/>
    </row>
    <row r="49345">
      <c r="P49345" s="42"/>
      <c r="AB49345" s="38"/>
    </row>
    <row r="49346">
      <c r="P49346" s="42"/>
      <c r="AB49346" s="38"/>
    </row>
    <row r="49347">
      <c r="P49347" s="42"/>
      <c r="AB49347" s="38"/>
    </row>
    <row r="49348">
      <c r="P49348" s="42"/>
      <c r="AB49348" s="38"/>
    </row>
    <row r="49349">
      <c r="P49349" s="42"/>
      <c r="AB49349" s="38"/>
    </row>
    <row r="49350">
      <c r="P49350" s="42"/>
      <c r="AB49350" s="38"/>
    </row>
    <row r="49351">
      <c r="P49351" s="42"/>
      <c r="AB49351" s="38"/>
    </row>
    <row r="49352">
      <c r="P49352" s="42"/>
      <c r="AB49352" s="38"/>
    </row>
    <row r="49353">
      <c r="P49353" s="42"/>
      <c r="AB49353" s="38"/>
    </row>
    <row r="49354">
      <c r="P49354" s="42"/>
      <c r="AB49354" s="38"/>
    </row>
    <row r="49355">
      <c r="P49355" s="42"/>
      <c r="AB49355" s="38"/>
    </row>
    <row r="49356">
      <c r="P49356" s="42"/>
      <c r="AB49356" s="38"/>
    </row>
    <row r="49357">
      <c r="P49357" s="42"/>
      <c r="AB49357" s="38"/>
    </row>
    <row r="49358">
      <c r="P49358" s="42"/>
      <c r="AB49358" s="38"/>
    </row>
    <row r="49359">
      <c r="P49359" s="42"/>
      <c r="AB49359" s="38"/>
    </row>
    <row r="49360">
      <c r="P49360" s="42"/>
      <c r="AB49360" s="38"/>
    </row>
    <row r="49361">
      <c r="P49361" s="42"/>
      <c r="AB49361" s="38"/>
    </row>
    <row r="49362">
      <c r="P49362" s="42"/>
      <c r="AB49362" s="38"/>
    </row>
    <row r="49363">
      <c r="P49363" s="42"/>
      <c r="AB49363" s="38"/>
    </row>
    <row r="49364">
      <c r="P49364" s="42"/>
      <c r="AB49364" s="38"/>
    </row>
    <row r="49365">
      <c r="P49365" s="42"/>
      <c r="AB49365" s="38"/>
    </row>
    <row r="49366">
      <c r="P49366" s="42"/>
      <c r="AB49366" s="38"/>
    </row>
    <row r="49367">
      <c r="P49367" s="42"/>
      <c r="AB49367" s="38"/>
    </row>
    <row r="49368">
      <c r="P49368" s="42"/>
      <c r="AB49368" s="38"/>
    </row>
    <row r="49369">
      <c r="P49369" s="42"/>
      <c r="AB49369" s="38"/>
    </row>
    <row r="49370">
      <c r="P49370" s="42"/>
      <c r="AB49370" s="38"/>
    </row>
    <row r="49371">
      <c r="P49371" s="42"/>
      <c r="AB49371" s="38"/>
    </row>
    <row r="49372">
      <c r="P49372" s="42"/>
      <c r="AB49372" s="38"/>
    </row>
    <row r="49373">
      <c r="P49373" s="42"/>
      <c r="AB49373" s="38"/>
    </row>
    <row r="49374">
      <c r="P49374" s="42"/>
      <c r="AB49374" s="38"/>
    </row>
    <row r="49375">
      <c r="P49375" s="42"/>
      <c r="AB49375" s="38"/>
    </row>
    <row r="49376">
      <c r="P49376" s="42"/>
      <c r="AB49376" s="38"/>
    </row>
    <row r="49377">
      <c r="P49377" s="42"/>
      <c r="AB49377" s="38"/>
    </row>
    <row r="49378">
      <c r="P49378" s="42"/>
      <c r="AB49378" s="38"/>
    </row>
    <row r="49379">
      <c r="P49379" s="42"/>
      <c r="AB49379" s="38"/>
    </row>
    <row r="49380">
      <c r="P49380" s="42"/>
      <c r="AB49380" s="38"/>
    </row>
    <row r="49381">
      <c r="P49381" s="42"/>
      <c r="AB49381" s="38"/>
    </row>
    <row r="49382">
      <c r="P49382" s="42"/>
      <c r="AB49382" s="38"/>
    </row>
    <row r="49383">
      <c r="P49383" s="42"/>
      <c r="AB49383" s="38"/>
    </row>
    <row r="49384">
      <c r="P49384" s="42"/>
      <c r="AB49384" s="38"/>
    </row>
    <row r="49385">
      <c r="P49385" s="42"/>
      <c r="AB49385" s="38"/>
    </row>
    <row r="49386">
      <c r="P49386" s="42"/>
      <c r="AB49386" s="38"/>
    </row>
    <row r="49387">
      <c r="P49387" s="42"/>
      <c r="AB49387" s="38"/>
    </row>
    <row r="49388">
      <c r="P49388" s="42"/>
      <c r="AB49388" s="38"/>
    </row>
    <row r="49389">
      <c r="P49389" s="42"/>
      <c r="AB49389" s="38"/>
    </row>
    <row r="49390">
      <c r="P49390" s="42"/>
      <c r="AB49390" s="38"/>
    </row>
    <row r="49391">
      <c r="P49391" s="42"/>
      <c r="AB49391" s="38"/>
    </row>
    <row r="49392">
      <c r="P49392" s="42"/>
      <c r="AB49392" s="38"/>
    </row>
    <row r="49393">
      <c r="P49393" s="42"/>
      <c r="AB49393" s="38"/>
    </row>
    <row r="49394">
      <c r="P49394" s="42"/>
      <c r="AB49394" s="38"/>
    </row>
    <row r="49395">
      <c r="P49395" s="42"/>
      <c r="AB49395" s="38"/>
    </row>
    <row r="49396">
      <c r="P49396" s="42"/>
      <c r="AB49396" s="38"/>
    </row>
    <row r="49397">
      <c r="P49397" s="42"/>
      <c r="AB49397" s="38"/>
    </row>
    <row r="49398">
      <c r="P49398" s="42"/>
      <c r="AB49398" s="38"/>
    </row>
    <row r="49399">
      <c r="P49399" s="42"/>
      <c r="AB49399" s="38"/>
    </row>
    <row r="49400">
      <c r="P49400" s="42"/>
      <c r="AB49400" s="38"/>
    </row>
    <row r="49401">
      <c r="P49401" s="42"/>
      <c r="AB49401" s="38"/>
    </row>
    <row r="49402">
      <c r="P49402" s="42"/>
      <c r="AB49402" s="38"/>
    </row>
    <row r="49403">
      <c r="P49403" s="42"/>
      <c r="AB49403" s="38"/>
    </row>
    <row r="49404">
      <c r="P49404" s="42"/>
      <c r="AB49404" s="38"/>
    </row>
    <row r="49405">
      <c r="P49405" s="42"/>
      <c r="AB49405" s="38"/>
    </row>
    <row r="49406">
      <c r="P49406" s="42"/>
      <c r="AB49406" s="38"/>
    </row>
    <row r="49407">
      <c r="P49407" s="42"/>
      <c r="AB49407" s="38"/>
    </row>
    <row r="49408">
      <c r="P49408" s="42"/>
      <c r="AB49408" s="38"/>
    </row>
    <row r="49409">
      <c r="P49409" s="42"/>
      <c r="AB49409" s="38"/>
    </row>
    <row r="49410">
      <c r="P49410" s="42"/>
      <c r="AB49410" s="38"/>
    </row>
    <row r="49411">
      <c r="P49411" s="42"/>
      <c r="AB49411" s="38"/>
    </row>
    <row r="49412">
      <c r="P49412" s="42"/>
      <c r="AB49412" s="38"/>
    </row>
    <row r="49413">
      <c r="P49413" s="42"/>
      <c r="AB49413" s="38"/>
    </row>
    <row r="49414">
      <c r="P49414" s="42"/>
      <c r="AB49414" s="38"/>
    </row>
    <row r="49415">
      <c r="P49415" s="42"/>
      <c r="AB49415" s="38"/>
    </row>
    <row r="49416">
      <c r="P49416" s="42"/>
      <c r="AB49416" s="38"/>
    </row>
    <row r="49417">
      <c r="P49417" s="42"/>
      <c r="AB49417" s="38"/>
    </row>
    <row r="49418">
      <c r="P49418" s="42"/>
      <c r="AB49418" s="38"/>
    </row>
    <row r="49419">
      <c r="P49419" s="42"/>
      <c r="AB49419" s="38"/>
    </row>
    <row r="49420">
      <c r="P49420" s="42"/>
      <c r="AB49420" s="38"/>
    </row>
    <row r="49421">
      <c r="P49421" s="42"/>
      <c r="AB49421" s="38"/>
    </row>
    <row r="49422">
      <c r="P49422" s="42"/>
      <c r="AB49422" s="38"/>
    </row>
    <row r="49423">
      <c r="P49423" s="42"/>
      <c r="AB49423" s="38"/>
    </row>
    <row r="49424">
      <c r="P49424" s="42"/>
      <c r="AB49424" s="38"/>
    </row>
    <row r="49425">
      <c r="P49425" s="42"/>
      <c r="AB49425" s="38"/>
    </row>
    <row r="49426">
      <c r="P49426" s="42"/>
      <c r="AB49426" s="38"/>
    </row>
    <row r="49427">
      <c r="P49427" s="42"/>
      <c r="AB49427" s="38"/>
    </row>
    <row r="49428">
      <c r="P49428" s="42"/>
      <c r="AB49428" s="38"/>
    </row>
    <row r="49429">
      <c r="P49429" s="42"/>
      <c r="AB49429" s="38"/>
    </row>
    <row r="49430">
      <c r="P49430" s="42"/>
      <c r="AB49430" s="38"/>
    </row>
    <row r="49431">
      <c r="P49431" s="42"/>
      <c r="AB49431" s="38"/>
    </row>
    <row r="49432">
      <c r="P49432" s="42"/>
      <c r="AB49432" s="38"/>
    </row>
    <row r="49433">
      <c r="P49433" s="42"/>
      <c r="AB49433" s="38"/>
    </row>
    <row r="49434">
      <c r="P49434" s="42"/>
      <c r="AB49434" s="38"/>
    </row>
    <row r="49435">
      <c r="P49435" s="42"/>
      <c r="AB49435" s="38"/>
    </row>
    <row r="49436">
      <c r="P49436" s="42"/>
      <c r="AB49436" s="38"/>
    </row>
    <row r="49437">
      <c r="P49437" s="42"/>
      <c r="AB49437" s="38"/>
    </row>
    <row r="49438">
      <c r="P49438" s="42"/>
      <c r="AB49438" s="38"/>
    </row>
    <row r="49439">
      <c r="P49439" s="42"/>
      <c r="AB49439" s="38"/>
    </row>
    <row r="49440">
      <c r="P49440" s="42"/>
      <c r="AB49440" s="38"/>
    </row>
    <row r="49441">
      <c r="P49441" s="42"/>
      <c r="AB49441" s="38"/>
    </row>
    <row r="49442">
      <c r="P49442" s="42"/>
      <c r="AB49442" s="38"/>
    </row>
    <row r="49443">
      <c r="P49443" s="42"/>
      <c r="AB49443" s="38"/>
    </row>
    <row r="49444">
      <c r="P49444" s="42"/>
      <c r="AB49444" s="38"/>
    </row>
    <row r="49445">
      <c r="P49445" s="42"/>
      <c r="AB49445" s="38"/>
    </row>
    <row r="49446">
      <c r="P49446" s="42"/>
      <c r="AB49446" s="38"/>
    </row>
    <row r="49447">
      <c r="P49447" s="42"/>
      <c r="AB49447" s="38"/>
    </row>
    <row r="49448">
      <c r="P49448" s="42"/>
      <c r="AB49448" s="38"/>
    </row>
    <row r="49449">
      <c r="P49449" s="42"/>
      <c r="AB49449" s="38"/>
    </row>
    <row r="49450">
      <c r="P49450" s="42"/>
      <c r="AB49450" s="38"/>
    </row>
    <row r="49451">
      <c r="P49451" s="42"/>
      <c r="AB49451" s="38"/>
    </row>
    <row r="49452">
      <c r="P49452" s="42"/>
      <c r="AB49452" s="38"/>
    </row>
    <row r="49453">
      <c r="P49453" s="42"/>
      <c r="AB49453" s="38"/>
    </row>
    <row r="49454">
      <c r="P49454" s="42"/>
      <c r="AB49454" s="38"/>
    </row>
    <row r="49455">
      <c r="P49455" s="42"/>
      <c r="AB49455" s="38"/>
    </row>
    <row r="49456">
      <c r="P49456" s="42"/>
      <c r="AB49456" s="38"/>
    </row>
    <row r="49457">
      <c r="P49457" s="42"/>
      <c r="AB49457" s="38"/>
    </row>
    <row r="49458">
      <c r="P49458" s="42"/>
      <c r="AB49458" s="38"/>
    </row>
    <row r="49459">
      <c r="P49459" s="42"/>
      <c r="AB49459" s="38"/>
    </row>
    <row r="49460">
      <c r="P49460" s="42"/>
      <c r="AB49460" s="38"/>
    </row>
    <row r="49461">
      <c r="P49461" s="42"/>
      <c r="AB49461" s="38"/>
    </row>
    <row r="49462">
      <c r="P49462" s="42"/>
      <c r="AB49462" s="38"/>
    </row>
    <row r="49463">
      <c r="P49463" s="42"/>
      <c r="AB49463" s="38"/>
    </row>
    <row r="49464">
      <c r="P49464" s="42"/>
      <c r="AB49464" s="38"/>
    </row>
    <row r="49465">
      <c r="P49465" s="42"/>
      <c r="AB49465" s="38"/>
    </row>
    <row r="49466">
      <c r="P49466" s="42"/>
      <c r="AB49466" s="38"/>
    </row>
    <row r="49467">
      <c r="P49467" s="42"/>
      <c r="AB49467" s="38"/>
    </row>
    <row r="49468">
      <c r="P49468" s="42"/>
      <c r="AB49468" s="38"/>
    </row>
    <row r="49469">
      <c r="P49469" s="42"/>
      <c r="AB49469" s="38"/>
    </row>
    <row r="49470">
      <c r="P49470" s="42"/>
      <c r="AB49470" s="38"/>
    </row>
    <row r="49471">
      <c r="P49471" s="42"/>
      <c r="AB49471" s="38"/>
    </row>
    <row r="49472">
      <c r="P49472" s="42"/>
      <c r="AB49472" s="38"/>
    </row>
    <row r="49473">
      <c r="P49473" s="42"/>
      <c r="AB49473" s="38"/>
    </row>
    <row r="49474">
      <c r="P49474" s="42"/>
      <c r="AB49474" s="38"/>
    </row>
    <row r="49475">
      <c r="P49475" s="42"/>
      <c r="AB49475" s="38"/>
    </row>
    <row r="49476">
      <c r="P49476" s="42"/>
      <c r="AB49476" s="38"/>
    </row>
    <row r="49477">
      <c r="P49477" s="42"/>
      <c r="AB49477" s="38"/>
    </row>
    <row r="49478">
      <c r="P49478" s="42"/>
      <c r="AB49478" s="38"/>
    </row>
    <row r="49479">
      <c r="P49479" s="42"/>
      <c r="AB49479" s="38"/>
    </row>
    <row r="49480">
      <c r="P49480" s="42"/>
      <c r="AB49480" s="38"/>
    </row>
    <row r="49481">
      <c r="P49481" s="42"/>
      <c r="AB49481" s="38"/>
    </row>
    <row r="49482">
      <c r="P49482" s="42"/>
      <c r="AB49482" s="38"/>
    </row>
    <row r="49483">
      <c r="P49483" s="42"/>
      <c r="AB49483" s="38"/>
    </row>
    <row r="49484">
      <c r="P49484" s="42"/>
      <c r="AB49484" s="38"/>
    </row>
    <row r="49485">
      <c r="P49485" s="42"/>
      <c r="AB49485" s="38"/>
    </row>
    <row r="49486">
      <c r="P49486" s="42"/>
      <c r="AB49486" s="38"/>
    </row>
    <row r="49487">
      <c r="P49487" s="42"/>
      <c r="AB49487" s="38"/>
    </row>
    <row r="49488">
      <c r="P49488" s="42"/>
      <c r="AB49488" s="38"/>
    </row>
    <row r="49489">
      <c r="P49489" s="42"/>
      <c r="AB49489" s="38"/>
    </row>
    <row r="49490">
      <c r="P49490" s="42"/>
      <c r="AB49490" s="38"/>
    </row>
    <row r="49491">
      <c r="P49491" s="42"/>
      <c r="AB49491" s="38"/>
    </row>
    <row r="49492">
      <c r="P49492" s="42"/>
      <c r="AB49492" s="38"/>
    </row>
    <row r="49493">
      <c r="P49493" s="42"/>
      <c r="AB49493" s="38"/>
    </row>
    <row r="49494">
      <c r="P49494" s="42"/>
      <c r="AB49494" s="38"/>
    </row>
    <row r="49495">
      <c r="P49495" s="42"/>
      <c r="AB49495" s="38"/>
    </row>
    <row r="49496">
      <c r="P49496" s="42"/>
      <c r="AB49496" s="38"/>
    </row>
    <row r="49497">
      <c r="P49497" s="42"/>
      <c r="AB49497" s="38"/>
    </row>
    <row r="49498">
      <c r="P49498" s="42"/>
      <c r="AB49498" s="38"/>
    </row>
    <row r="49499">
      <c r="P49499" s="42"/>
      <c r="AB49499" s="38"/>
    </row>
    <row r="49500">
      <c r="P49500" s="42"/>
      <c r="AB49500" s="38"/>
    </row>
    <row r="49501">
      <c r="P49501" s="42"/>
      <c r="AB49501" s="38"/>
    </row>
    <row r="49502">
      <c r="P49502" s="42"/>
      <c r="AB49502" s="38"/>
    </row>
    <row r="49503">
      <c r="P49503" s="42"/>
      <c r="AB49503" s="38"/>
    </row>
    <row r="49504">
      <c r="P49504" s="42"/>
      <c r="AB49504" s="38"/>
    </row>
    <row r="49505">
      <c r="P49505" s="42"/>
      <c r="AB49505" s="38"/>
    </row>
    <row r="49506">
      <c r="P49506" s="42"/>
      <c r="AB49506" s="38"/>
    </row>
    <row r="49507">
      <c r="P49507" s="42"/>
      <c r="AB49507" s="38"/>
    </row>
    <row r="49508">
      <c r="P49508" s="42"/>
      <c r="AB49508" s="38"/>
    </row>
    <row r="49509">
      <c r="P49509" s="42"/>
      <c r="AB49509" s="38"/>
    </row>
    <row r="49510">
      <c r="P49510" s="42"/>
      <c r="AB49510" s="38"/>
    </row>
    <row r="49511">
      <c r="P49511" s="42"/>
      <c r="AB49511" s="38"/>
    </row>
    <row r="49512">
      <c r="P49512" s="42"/>
      <c r="AB49512" s="38"/>
    </row>
    <row r="49513">
      <c r="P49513" s="42"/>
      <c r="AB49513" s="38"/>
    </row>
    <row r="49514">
      <c r="P49514" s="42"/>
      <c r="AB49514" s="38"/>
    </row>
    <row r="49515">
      <c r="P49515" s="42"/>
      <c r="AB49515" s="38"/>
    </row>
    <row r="49516">
      <c r="P49516" s="42"/>
      <c r="AB49516" s="38"/>
    </row>
    <row r="49517">
      <c r="P49517" s="42"/>
      <c r="AB49517" s="38"/>
    </row>
    <row r="49518">
      <c r="P49518" s="42"/>
      <c r="AB49518" s="38"/>
    </row>
    <row r="49519">
      <c r="P49519" s="42"/>
      <c r="AB49519" s="38"/>
    </row>
    <row r="49520">
      <c r="P49520" s="42"/>
      <c r="AB49520" s="38"/>
    </row>
    <row r="49521">
      <c r="P49521" s="42"/>
      <c r="AB49521" s="38"/>
    </row>
    <row r="49522">
      <c r="P49522" s="42"/>
      <c r="AB49522" s="38"/>
    </row>
    <row r="49523">
      <c r="P49523" s="42"/>
      <c r="AB49523" s="38"/>
    </row>
    <row r="49524">
      <c r="P49524" s="42"/>
      <c r="AB49524" s="38"/>
    </row>
    <row r="49525">
      <c r="P49525" s="42"/>
      <c r="AB49525" s="38"/>
    </row>
    <row r="49526">
      <c r="P49526" s="42"/>
      <c r="AB49526" s="38"/>
    </row>
    <row r="49527">
      <c r="P49527" s="42"/>
      <c r="AB49527" s="38"/>
    </row>
    <row r="49528">
      <c r="P49528" s="42"/>
      <c r="AB49528" s="38"/>
    </row>
    <row r="49529">
      <c r="P49529" s="42"/>
      <c r="AB49529" s="38"/>
    </row>
    <row r="49530">
      <c r="P49530" s="42"/>
      <c r="AB49530" s="38"/>
    </row>
    <row r="49531">
      <c r="P49531" s="42"/>
      <c r="AB49531" s="38"/>
    </row>
    <row r="49532">
      <c r="P49532" s="42"/>
      <c r="AB49532" s="38"/>
    </row>
    <row r="49533">
      <c r="P49533" s="42"/>
      <c r="AB49533" s="38"/>
    </row>
    <row r="49534">
      <c r="P49534" s="42"/>
      <c r="AB49534" s="38"/>
    </row>
    <row r="49535">
      <c r="P49535" s="42"/>
      <c r="AB49535" s="38"/>
    </row>
    <row r="49536">
      <c r="P49536" s="42"/>
      <c r="AB49536" s="38"/>
    </row>
    <row r="49537">
      <c r="P49537" s="42"/>
      <c r="AB49537" s="38"/>
    </row>
    <row r="49538">
      <c r="P49538" s="42"/>
      <c r="AB49538" s="38"/>
    </row>
    <row r="49539">
      <c r="P49539" s="42"/>
      <c r="AB49539" s="38"/>
    </row>
    <row r="49540">
      <c r="P49540" s="42"/>
      <c r="AB49540" s="38"/>
    </row>
    <row r="49541">
      <c r="P49541" s="42"/>
      <c r="AB49541" s="38"/>
    </row>
    <row r="49542">
      <c r="P49542" s="42"/>
      <c r="AB49542" s="38"/>
    </row>
    <row r="49543">
      <c r="P49543" s="42"/>
      <c r="AB49543" s="38"/>
    </row>
    <row r="49544">
      <c r="P49544" s="42"/>
      <c r="AB49544" s="38"/>
    </row>
    <row r="49545">
      <c r="P49545" s="42"/>
      <c r="AB49545" s="38"/>
    </row>
    <row r="49546">
      <c r="P49546" s="42"/>
      <c r="AB49546" s="38"/>
    </row>
    <row r="49547">
      <c r="P49547" s="42"/>
      <c r="AB49547" s="38"/>
    </row>
    <row r="49548">
      <c r="P49548" s="42"/>
      <c r="AB49548" s="38"/>
    </row>
    <row r="49549">
      <c r="P49549" s="42"/>
      <c r="AB49549" s="38"/>
    </row>
    <row r="49550">
      <c r="P49550" s="42"/>
      <c r="AB49550" s="38"/>
    </row>
    <row r="49551">
      <c r="P49551" s="42"/>
      <c r="AB49551" s="38"/>
    </row>
    <row r="49552">
      <c r="P49552" s="42"/>
      <c r="AB49552" s="38"/>
    </row>
    <row r="49553">
      <c r="P49553" s="42"/>
      <c r="AB49553" s="38"/>
    </row>
    <row r="49554">
      <c r="P49554" s="42"/>
      <c r="AB49554" s="38"/>
    </row>
    <row r="49555">
      <c r="P49555" s="42"/>
      <c r="AB49555" s="38"/>
    </row>
    <row r="49556">
      <c r="P49556" s="42"/>
      <c r="AB49556" s="38"/>
    </row>
    <row r="49557">
      <c r="P49557" s="42"/>
      <c r="AB49557" s="38"/>
    </row>
    <row r="49558">
      <c r="P49558" s="42"/>
      <c r="AB49558" s="38"/>
    </row>
    <row r="49559">
      <c r="P49559" s="42"/>
      <c r="AB49559" s="38"/>
    </row>
    <row r="49560">
      <c r="P49560" s="42"/>
      <c r="AB49560" s="38"/>
    </row>
    <row r="49561">
      <c r="P49561" s="42"/>
      <c r="AB49561" s="38"/>
    </row>
    <row r="49562">
      <c r="P49562" s="42"/>
      <c r="AB49562" s="38"/>
    </row>
    <row r="49563">
      <c r="P49563" s="42"/>
      <c r="AB49563" s="38"/>
    </row>
    <row r="49564">
      <c r="P49564" s="42"/>
      <c r="AB49564" s="38"/>
    </row>
    <row r="49565">
      <c r="P49565" s="42"/>
      <c r="AB49565" s="38"/>
    </row>
    <row r="49566">
      <c r="P49566" s="42"/>
      <c r="AB49566" s="38"/>
    </row>
    <row r="49567">
      <c r="P49567" s="42"/>
      <c r="AB49567" s="38"/>
    </row>
    <row r="49568">
      <c r="P49568" s="42"/>
      <c r="AB49568" s="38"/>
    </row>
    <row r="49569">
      <c r="P49569" s="42"/>
      <c r="AB49569" s="38"/>
    </row>
    <row r="49570">
      <c r="P49570" s="42"/>
      <c r="AB49570" s="38"/>
    </row>
    <row r="49571">
      <c r="P49571" s="42"/>
      <c r="AB49571" s="38"/>
    </row>
    <row r="49572">
      <c r="P49572" s="42"/>
      <c r="AB49572" s="38"/>
    </row>
    <row r="49573">
      <c r="P49573" s="42"/>
      <c r="AB49573" s="38"/>
    </row>
    <row r="49574">
      <c r="P49574" s="42"/>
      <c r="AB49574" s="38"/>
    </row>
    <row r="49575">
      <c r="P49575" s="42"/>
      <c r="AB49575" s="38"/>
    </row>
    <row r="49576">
      <c r="P49576" s="42"/>
      <c r="AB49576" s="38"/>
    </row>
    <row r="49577">
      <c r="P49577" s="42"/>
      <c r="AB49577" s="38"/>
    </row>
    <row r="49578">
      <c r="P49578" s="42"/>
      <c r="AB49578" s="38"/>
    </row>
    <row r="49579">
      <c r="P49579" s="42"/>
      <c r="AB49579" s="38"/>
    </row>
    <row r="49580">
      <c r="P49580" s="42"/>
      <c r="AB49580" s="38"/>
    </row>
    <row r="49581">
      <c r="P49581" s="42"/>
      <c r="AB49581" s="38"/>
    </row>
    <row r="49582">
      <c r="P49582" s="42"/>
      <c r="AB49582" s="38"/>
    </row>
    <row r="49583">
      <c r="P49583" s="42"/>
      <c r="AB49583" s="38"/>
    </row>
    <row r="49584">
      <c r="P49584" s="42"/>
      <c r="AB49584" s="38"/>
    </row>
    <row r="49585">
      <c r="P49585" s="42"/>
      <c r="AB49585" s="38"/>
    </row>
    <row r="49586">
      <c r="P49586" s="42"/>
      <c r="AB49586" s="38"/>
    </row>
    <row r="49587">
      <c r="P49587" s="42"/>
      <c r="AB49587" s="38"/>
    </row>
    <row r="49588">
      <c r="P49588" s="42"/>
      <c r="AB49588" s="38"/>
    </row>
    <row r="49589">
      <c r="P49589" s="42"/>
      <c r="AB49589" s="38"/>
    </row>
    <row r="49590">
      <c r="P49590" s="42"/>
      <c r="AB49590" s="38"/>
    </row>
    <row r="49591">
      <c r="P49591" s="42"/>
      <c r="AB49591" s="38"/>
    </row>
    <row r="49592">
      <c r="P49592" s="42"/>
      <c r="AB49592" s="38"/>
    </row>
    <row r="49593">
      <c r="P49593" s="42"/>
      <c r="AB49593" s="38"/>
    </row>
    <row r="49594">
      <c r="P49594" s="42"/>
      <c r="AB49594" s="38"/>
    </row>
    <row r="49595">
      <c r="P49595" s="42"/>
      <c r="AB49595" s="38"/>
    </row>
    <row r="49596">
      <c r="P49596" s="42"/>
      <c r="AB49596" s="38"/>
    </row>
    <row r="49597">
      <c r="P49597" s="42"/>
      <c r="AB49597" s="38"/>
    </row>
    <row r="49598">
      <c r="P49598" s="42"/>
      <c r="AB49598" s="38"/>
    </row>
    <row r="49599">
      <c r="P49599" s="42"/>
      <c r="AB49599" s="38"/>
    </row>
    <row r="49600">
      <c r="P49600" s="42"/>
      <c r="AB49600" s="38"/>
    </row>
    <row r="49601">
      <c r="P49601" s="42"/>
      <c r="AB49601" s="38"/>
    </row>
    <row r="49602">
      <c r="P49602" s="42"/>
      <c r="AB49602" s="38"/>
    </row>
    <row r="49603">
      <c r="P49603" s="42"/>
      <c r="AB49603" s="38"/>
    </row>
    <row r="49604">
      <c r="P49604" s="42"/>
      <c r="AB49604" s="38"/>
    </row>
    <row r="49605">
      <c r="P49605" s="42"/>
      <c r="AB49605" s="38"/>
    </row>
    <row r="49606">
      <c r="P49606" s="42"/>
      <c r="AB49606" s="38"/>
    </row>
    <row r="49607">
      <c r="P49607" s="42"/>
      <c r="AB49607" s="38"/>
    </row>
    <row r="49608">
      <c r="P49608" s="42"/>
      <c r="AB49608" s="38"/>
    </row>
    <row r="49609">
      <c r="P49609" s="42"/>
      <c r="AB49609" s="38"/>
    </row>
    <row r="49610">
      <c r="P49610" s="42"/>
      <c r="AB49610" s="38"/>
    </row>
    <row r="49611">
      <c r="P49611" s="42"/>
      <c r="AB49611" s="38"/>
    </row>
    <row r="49612">
      <c r="P49612" s="42"/>
      <c r="AB49612" s="38"/>
    </row>
    <row r="49613">
      <c r="P49613" s="42"/>
      <c r="AB49613" s="38"/>
    </row>
    <row r="49614">
      <c r="P49614" s="42"/>
      <c r="AB49614" s="38"/>
    </row>
    <row r="49615">
      <c r="P49615" s="42"/>
      <c r="AB49615" s="38"/>
    </row>
    <row r="49616">
      <c r="P49616" s="42"/>
      <c r="AB49616" s="38"/>
    </row>
    <row r="49617">
      <c r="P49617" s="42"/>
      <c r="AB49617" s="38"/>
    </row>
    <row r="49618">
      <c r="P49618" s="42"/>
      <c r="AB49618" s="38"/>
    </row>
    <row r="49619">
      <c r="P49619" s="42"/>
      <c r="AB49619" s="38"/>
    </row>
    <row r="49620">
      <c r="P49620" s="42"/>
      <c r="AB49620" s="38"/>
    </row>
    <row r="49621">
      <c r="P49621" s="42"/>
      <c r="AB49621" s="38"/>
    </row>
    <row r="49622">
      <c r="P49622" s="42"/>
      <c r="AB49622" s="38"/>
    </row>
    <row r="49623">
      <c r="P49623" s="42"/>
      <c r="AB49623" s="38"/>
    </row>
    <row r="49624">
      <c r="P49624" s="42"/>
      <c r="AB49624" s="38"/>
    </row>
    <row r="49625">
      <c r="P49625" s="42"/>
      <c r="AB49625" s="38"/>
    </row>
    <row r="49626">
      <c r="P49626" s="42"/>
      <c r="AB49626" s="38"/>
    </row>
    <row r="49627">
      <c r="P49627" s="42"/>
      <c r="AB49627" s="38"/>
    </row>
    <row r="49628">
      <c r="P49628" s="42"/>
      <c r="AB49628" s="38"/>
    </row>
    <row r="49629">
      <c r="P49629" s="42"/>
      <c r="AB49629" s="38"/>
    </row>
    <row r="49630">
      <c r="P49630" s="42"/>
      <c r="AB49630" s="38"/>
    </row>
    <row r="49631">
      <c r="P49631" s="42"/>
      <c r="AB49631" s="38"/>
    </row>
    <row r="49632">
      <c r="P49632" s="42"/>
      <c r="AB49632" s="38"/>
    </row>
    <row r="49633">
      <c r="P49633" s="42"/>
      <c r="AB49633" s="38"/>
    </row>
    <row r="49634">
      <c r="P49634" s="42"/>
      <c r="AB49634" s="38"/>
    </row>
    <row r="49635">
      <c r="P49635" s="42"/>
      <c r="AB49635" s="38"/>
    </row>
    <row r="49636">
      <c r="P49636" s="42"/>
      <c r="AB49636" s="38"/>
    </row>
    <row r="49637">
      <c r="P49637" s="42"/>
      <c r="AB49637" s="38"/>
    </row>
    <row r="49638">
      <c r="P49638" s="42"/>
      <c r="AB49638" s="38"/>
    </row>
    <row r="49639">
      <c r="P49639" s="42"/>
      <c r="AB49639" s="38"/>
    </row>
    <row r="49640">
      <c r="P49640" s="42"/>
      <c r="AB49640" s="38"/>
    </row>
    <row r="49641">
      <c r="P49641" s="42"/>
      <c r="AB49641" s="38"/>
    </row>
    <row r="49642">
      <c r="P49642" s="42"/>
      <c r="AB49642" s="38"/>
    </row>
    <row r="49643">
      <c r="P49643" s="42"/>
      <c r="AB49643" s="38"/>
    </row>
    <row r="49644">
      <c r="P49644" s="42"/>
      <c r="AB49644" s="38"/>
    </row>
    <row r="49645">
      <c r="P49645" s="42"/>
      <c r="AB49645" s="38"/>
    </row>
    <row r="49646">
      <c r="P49646" s="42"/>
      <c r="AB49646" s="38"/>
    </row>
    <row r="49647">
      <c r="P49647" s="42"/>
      <c r="AB49647" s="38"/>
    </row>
    <row r="49648">
      <c r="P49648" s="42"/>
      <c r="AB49648" s="38"/>
    </row>
    <row r="49649">
      <c r="P49649" s="42"/>
      <c r="AB49649" s="38"/>
    </row>
    <row r="49650">
      <c r="P49650" s="42"/>
      <c r="AB49650" s="38"/>
    </row>
    <row r="49651">
      <c r="P49651" s="42"/>
      <c r="AB49651" s="38"/>
    </row>
    <row r="49652">
      <c r="P49652" s="42"/>
      <c r="AB49652" s="38"/>
    </row>
    <row r="49653">
      <c r="P49653" s="42"/>
      <c r="AB49653" s="38"/>
    </row>
    <row r="49654">
      <c r="P49654" s="42"/>
      <c r="AB49654" s="38"/>
    </row>
    <row r="49655">
      <c r="P49655" s="42"/>
      <c r="AB49655" s="38"/>
    </row>
    <row r="49656">
      <c r="P49656" s="42"/>
      <c r="AB49656" s="38"/>
    </row>
    <row r="49657">
      <c r="P49657" s="42"/>
      <c r="AB49657" s="38"/>
    </row>
    <row r="49658">
      <c r="P49658" s="42"/>
      <c r="AB49658" s="38"/>
    </row>
    <row r="49659">
      <c r="P49659" s="42"/>
      <c r="AB49659" s="38"/>
    </row>
    <row r="49660">
      <c r="P49660" s="42"/>
      <c r="AB49660" s="38"/>
    </row>
    <row r="49661">
      <c r="P49661" s="42"/>
      <c r="AB49661" s="38"/>
    </row>
    <row r="49662">
      <c r="P49662" s="42"/>
      <c r="AB49662" s="38"/>
    </row>
    <row r="49663">
      <c r="P49663" s="42"/>
      <c r="AB49663" s="38"/>
    </row>
    <row r="49664">
      <c r="P49664" s="42"/>
      <c r="AB49664" s="38"/>
    </row>
    <row r="49665">
      <c r="P49665" s="42"/>
      <c r="AB49665" s="38"/>
    </row>
    <row r="49666">
      <c r="P49666" s="42"/>
      <c r="AB49666" s="38"/>
    </row>
    <row r="49667">
      <c r="P49667" s="42"/>
      <c r="AB49667" s="38"/>
    </row>
    <row r="49668">
      <c r="P49668" s="42"/>
      <c r="AB49668" s="38"/>
    </row>
    <row r="49669">
      <c r="P49669" s="42"/>
      <c r="AB49669" s="38"/>
    </row>
    <row r="49670">
      <c r="P49670" s="42"/>
      <c r="AB49670" s="38"/>
    </row>
    <row r="49671">
      <c r="P49671" s="42"/>
      <c r="AB49671" s="38"/>
    </row>
    <row r="49672">
      <c r="P49672" s="42"/>
      <c r="AB49672" s="38"/>
    </row>
    <row r="49673">
      <c r="P49673" s="42"/>
      <c r="AB49673" s="38"/>
    </row>
    <row r="49674">
      <c r="P49674" s="42"/>
      <c r="AB49674" s="38"/>
    </row>
    <row r="49675">
      <c r="P49675" s="42"/>
      <c r="AB49675" s="38"/>
    </row>
    <row r="49676">
      <c r="P49676" s="42"/>
      <c r="AB49676" s="38"/>
    </row>
    <row r="49677">
      <c r="P49677" s="42"/>
      <c r="AB49677" s="38"/>
    </row>
    <row r="49678">
      <c r="P49678" s="42"/>
      <c r="AB49678" s="38"/>
    </row>
    <row r="49679">
      <c r="P49679" s="42"/>
      <c r="AB49679" s="38"/>
    </row>
    <row r="49680">
      <c r="P49680" s="42"/>
      <c r="AB49680" s="38"/>
    </row>
    <row r="49681">
      <c r="P49681" s="42"/>
      <c r="AB49681" s="38"/>
    </row>
    <row r="49682">
      <c r="P49682" s="42"/>
      <c r="AB49682" s="38"/>
    </row>
    <row r="49683">
      <c r="P49683" s="42"/>
      <c r="AB49683" s="38"/>
    </row>
    <row r="49684">
      <c r="P49684" s="42"/>
      <c r="AB49684" s="38"/>
    </row>
    <row r="49685">
      <c r="P49685" s="42"/>
      <c r="AB49685" s="38"/>
    </row>
    <row r="49686">
      <c r="P49686" s="42"/>
      <c r="AB49686" s="38"/>
    </row>
    <row r="49687">
      <c r="P49687" s="42"/>
      <c r="AB49687" s="38"/>
    </row>
    <row r="49688">
      <c r="P49688" s="42"/>
      <c r="AB49688" s="38"/>
    </row>
    <row r="49689">
      <c r="P49689" s="42"/>
      <c r="AB49689" s="38"/>
    </row>
    <row r="49690">
      <c r="P49690" s="42"/>
      <c r="AB49690" s="38"/>
    </row>
    <row r="49691">
      <c r="P49691" s="42"/>
      <c r="AB49691" s="38"/>
    </row>
    <row r="49692">
      <c r="P49692" s="42"/>
      <c r="AB49692" s="38"/>
    </row>
    <row r="49693">
      <c r="P49693" s="42"/>
      <c r="AB49693" s="38"/>
    </row>
    <row r="49694">
      <c r="P49694" s="42"/>
      <c r="AB49694" s="38"/>
    </row>
    <row r="49695">
      <c r="P49695" s="42"/>
      <c r="AB49695" s="38"/>
    </row>
    <row r="49696">
      <c r="P49696" s="42"/>
      <c r="AB49696" s="38"/>
    </row>
    <row r="49697">
      <c r="P49697" s="42"/>
      <c r="AB49697" s="38"/>
    </row>
    <row r="49698">
      <c r="P49698" s="42"/>
      <c r="AB49698" s="38"/>
    </row>
    <row r="49699">
      <c r="P49699" s="42"/>
      <c r="AB49699" s="38"/>
    </row>
    <row r="49700">
      <c r="P49700" s="42"/>
      <c r="AB49700" s="38"/>
    </row>
    <row r="49701">
      <c r="P49701" s="42"/>
      <c r="AB49701" s="38"/>
    </row>
    <row r="49702">
      <c r="P49702" s="42"/>
      <c r="AB49702" s="38"/>
    </row>
    <row r="49703">
      <c r="P49703" s="42"/>
      <c r="AB49703" s="38"/>
    </row>
    <row r="49704">
      <c r="P49704" s="42"/>
      <c r="AB49704" s="38"/>
    </row>
    <row r="49705">
      <c r="P49705" s="42"/>
      <c r="AB49705" s="38"/>
    </row>
    <row r="49706">
      <c r="P49706" s="42"/>
      <c r="AB49706" s="38"/>
    </row>
    <row r="49707">
      <c r="P49707" s="42"/>
      <c r="AB49707" s="38"/>
    </row>
    <row r="49708">
      <c r="P49708" s="42"/>
      <c r="AB49708" s="38"/>
    </row>
    <row r="49709">
      <c r="P49709" s="42"/>
      <c r="AB49709" s="38"/>
    </row>
    <row r="49710">
      <c r="P49710" s="42"/>
      <c r="AB49710" s="38"/>
    </row>
    <row r="49711">
      <c r="P49711" s="42"/>
      <c r="AB49711" s="38"/>
    </row>
    <row r="49712">
      <c r="P49712" s="42"/>
      <c r="AB49712" s="38"/>
    </row>
    <row r="49713">
      <c r="P49713" s="42"/>
      <c r="AB49713" s="38"/>
    </row>
    <row r="49714">
      <c r="P49714" s="42"/>
      <c r="AB49714" s="38"/>
    </row>
    <row r="49715">
      <c r="P49715" s="42"/>
      <c r="AB49715" s="38"/>
    </row>
    <row r="49716">
      <c r="P49716" s="42"/>
      <c r="AB49716" s="38"/>
    </row>
    <row r="49717">
      <c r="P49717" s="42"/>
      <c r="AB49717" s="38"/>
    </row>
    <row r="49718">
      <c r="P49718" s="42"/>
      <c r="AB49718" s="38"/>
    </row>
    <row r="49719">
      <c r="P49719" s="42"/>
      <c r="AB49719" s="38"/>
    </row>
    <row r="49720">
      <c r="P49720" s="42"/>
      <c r="AB49720" s="38"/>
    </row>
    <row r="49721">
      <c r="P49721" s="42"/>
      <c r="AB49721" s="38"/>
    </row>
    <row r="49722">
      <c r="P49722" s="42"/>
      <c r="AB49722" s="38"/>
    </row>
    <row r="49723">
      <c r="P49723" s="42"/>
      <c r="AB49723" s="38"/>
    </row>
    <row r="49724">
      <c r="P49724" s="42"/>
      <c r="AB49724" s="38"/>
    </row>
    <row r="49725">
      <c r="P49725" s="42"/>
      <c r="AB49725" s="38"/>
    </row>
    <row r="49726">
      <c r="P49726" s="42"/>
      <c r="AB49726" s="38"/>
    </row>
    <row r="49727">
      <c r="P49727" s="42"/>
      <c r="AB49727" s="38"/>
    </row>
    <row r="49728">
      <c r="P49728" s="42"/>
      <c r="AB49728" s="38"/>
    </row>
    <row r="49729">
      <c r="P49729" s="42"/>
      <c r="AB49729" s="38"/>
    </row>
    <row r="49730">
      <c r="P49730" s="42"/>
      <c r="AB49730" s="38"/>
    </row>
    <row r="49731">
      <c r="P49731" s="42"/>
      <c r="AB49731" s="38"/>
    </row>
    <row r="49732">
      <c r="P49732" s="42"/>
      <c r="AB49732" s="38"/>
    </row>
    <row r="49733">
      <c r="P49733" s="42"/>
      <c r="AB49733" s="38"/>
    </row>
    <row r="49734">
      <c r="P49734" s="42"/>
      <c r="AB49734" s="38"/>
    </row>
    <row r="49735">
      <c r="P49735" s="42"/>
      <c r="AB49735" s="38"/>
    </row>
    <row r="49736">
      <c r="P49736" s="42"/>
      <c r="AB49736" s="38"/>
    </row>
    <row r="49737">
      <c r="P49737" s="42"/>
      <c r="AB49737" s="38"/>
    </row>
    <row r="49738">
      <c r="P49738" s="42"/>
      <c r="AB49738" s="38"/>
    </row>
    <row r="49739">
      <c r="P49739" s="42"/>
      <c r="AB49739" s="38"/>
    </row>
    <row r="49740">
      <c r="P49740" s="42"/>
      <c r="AB49740" s="38"/>
    </row>
    <row r="49741">
      <c r="P49741" s="42"/>
      <c r="AB49741" s="38"/>
    </row>
    <row r="49742">
      <c r="P49742" s="42"/>
      <c r="AB49742" s="38"/>
    </row>
    <row r="49743">
      <c r="P49743" s="42"/>
      <c r="AB49743" s="38"/>
    </row>
    <row r="49744">
      <c r="P49744" s="42"/>
      <c r="AB49744" s="38"/>
    </row>
    <row r="49745">
      <c r="P49745" s="42"/>
      <c r="AB49745" s="38"/>
    </row>
    <row r="49746">
      <c r="P49746" s="42"/>
      <c r="AB49746" s="38"/>
    </row>
    <row r="49747">
      <c r="P49747" s="42"/>
      <c r="AB49747" s="38"/>
    </row>
    <row r="49748">
      <c r="P49748" s="42"/>
      <c r="AB49748" s="38"/>
    </row>
    <row r="49749">
      <c r="P49749" s="42"/>
      <c r="AB49749" s="38"/>
    </row>
    <row r="49750">
      <c r="P49750" s="42"/>
      <c r="AB49750" s="38"/>
    </row>
    <row r="49751">
      <c r="P49751" s="42"/>
      <c r="AB49751" s="38"/>
    </row>
    <row r="49752">
      <c r="P49752" s="42"/>
      <c r="AB49752" s="38"/>
    </row>
    <row r="49753">
      <c r="P49753" s="42"/>
      <c r="AB49753" s="38"/>
    </row>
    <row r="49754">
      <c r="P49754" s="42"/>
      <c r="AB49754" s="38"/>
    </row>
    <row r="49755">
      <c r="P49755" s="42"/>
      <c r="AB49755" s="38"/>
    </row>
    <row r="49756">
      <c r="P49756" s="42"/>
      <c r="AB49756" s="38"/>
    </row>
    <row r="49757">
      <c r="P49757" s="42"/>
      <c r="AB49757" s="38"/>
    </row>
    <row r="49758">
      <c r="P49758" s="42"/>
      <c r="AB49758" s="38"/>
    </row>
    <row r="49759">
      <c r="P49759" s="42"/>
      <c r="AB49759" s="38"/>
    </row>
    <row r="49760">
      <c r="P49760" s="42"/>
      <c r="AB49760" s="38"/>
    </row>
    <row r="49761">
      <c r="P49761" s="42"/>
      <c r="AB49761" s="38"/>
    </row>
    <row r="49762">
      <c r="P49762" s="42"/>
      <c r="AB49762" s="38"/>
    </row>
    <row r="49763">
      <c r="P49763" s="42"/>
      <c r="AB49763" s="38"/>
    </row>
    <row r="49764">
      <c r="P49764" s="42"/>
      <c r="AB49764" s="38"/>
    </row>
    <row r="49765">
      <c r="P49765" s="42"/>
      <c r="AB49765" s="38"/>
    </row>
    <row r="49766">
      <c r="P49766" s="42"/>
      <c r="AB49766" s="38"/>
    </row>
    <row r="49767">
      <c r="P49767" s="42"/>
      <c r="AB49767" s="38"/>
    </row>
    <row r="49768">
      <c r="P49768" s="42"/>
      <c r="AB49768" s="38"/>
    </row>
    <row r="49769">
      <c r="P49769" s="42"/>
      <c r="AB49769" s="38"/>
    </row>
    <row r="49770">
      <c r="P49770" s="42"/>
      <c r="AB49770" s="38"/>
    </row>
    <row r="49771">
      <c r="P49771" s="42"/>
      <c r="AB49771" s="38"/>
    </row>
    <row r="49772">
      <c r="P49772" s="42"/>
      <c r="AB49772" s="38"/>
    </row>
    <row r="49773">
      <c r="P49773" s="42"/>
      <c r="AB49773" s="38"/>
    </row>
    <row r="49774">
      <c r="P49774" s="42"/>
      <c r="AB49774" s="38"/>
    </row>
    <row r="49775">
      <c r="P49775" s="42"/>
      <c r="AB49775" s="38"/>
    </row>
    <row r="49776">
      <c r="P49776" s="42"/>
      <c r="AB49776" s="38"/>
    </row>
    <row r="49777">
      <c r="P49777" s="42"/>
      <c r="AB49777" s="38"/>
    </row>
    <row r="49778">
      <c r="P49778" s="42"/>
      <c r="AB49778" s="38"/>
    </row>
    <row r="49779">
      <c r="P49779" s="42"/>
      <c r="AB49779" s="38"/>
    </row>
    <row r="49780">
      <c r="P49780" s="42"/>
      <c r="AB49780" s="38"/>
    </row>
    <row r="49781">
      <c r="P49781" s="42"/>
      <c r="AB49781" s="38"/>
    </row>
    <row r="49782">
      <c r="P49782" s="42"/>
      <c r="AB49782" s="38"/>
    </row>
    <row r="49783">
      <c r="P49783" s="42"/>
      <c r="AB49783" s="38"/>
    </row>
    <row r="49784">
      <c r="P49784" s="42"/>
      <c r="AB49784" s="38"/>
    </row>
    <row r="49785">
      <c r="P49785" s="42"/>
      <c r="AB49785" s="38"/>
    </row>
    <row r="49786">
      <c r="P49786" s="42"/>
      <c r="AB49786" s="38"/>
    </row>
    <row r="49787">
      <c r="P49787" s="42"/>
      <c r="AB49787" s="38"/>
    </row>
    <row r="49788">
      <c r="P49788" s="42"/>
      <c r="AB49788" s="38"/>
    </row>
    <row r="49789">
      <c r="P49789" s="42"/>
      <c r="AB49789" s="38"/>
    </row>
    <row r="49790">
      <c r="P49790" s="42"/>
      <c r="AB49790" s="38"/>
    </row>
    <row r="49791">
      <c r="P49791" s="42"/>
      <c r="AB49791" s="38"/>
    </row>
    <row r="49792">
      <c r="P49792" s="42"/>
      <c r="AB49792" s="38"/>
    </row>
    <row r="49793">
      <c r="P49793" s="42"/>
      <c r="AB49793" s="38"/>
    </row>
    <row r="49794">
      <c r="P49794" s="42"/>
      <c r="AB49794" s="38"/>
    </row>
    <row r="49795">
      <c r="P49795" s="42"/>
      <c r="AB49795" s="38"/>
    </row>
    <row r="49796">
      <c r="P49796" s="42"/>
      <c r="AB49796" s="38"/>
    </row>
    <row r="49797">
      <c r="P49797" s="42"/>
      <c r="AB49797" s="38"/>
    </row>
    <row r="49798">
      <c r="P49798" s="42"/>
      <c r="AB49798" s="38"/>
    </row>
    <row r="49799">
      <c r="P49799" s="42"/>
      <c r="AB49799" s="38"/>
    </row>
    <row r="49800">
      <c r="P49800" s="42"/>
      <c r="AB49800" s="38"/>
    </row>
    <row r="49801">
      <c r="P49801" s="42"/>
      <c r="AB49801" s="38"/>
    </row>
    <row r="49802">
      <c r="P49802" s="42"/>
      <c r="AB49802" s="38"/>
    </row>
    <row r="49803">
      <c r="P49803" s="42"/>
      <c r="AB49803" s="38"/>
    </row>
    <row r="49804">
      <c r="P49804" s="42"/>
      <c r="AB49804" s="38"/>
    </row>
    <row r="49805">
      <c r="P49805" s="42"/>
      <c r="AB49805" s="38"/>
    </row>
    <row r="49806">
      <c r="P49806" s="42"/>
      <c r="AB49806" s="38"/>
    </row>
    <row r="49807">
      <c r="P49807" s="42"/>
      <c r="AB49807" s="38"/>
    </row>
    <row r="49808">
      <c r="P49808" s="42"/>
      <c r="AB49808" s="38"/>
    </row>
    <row r="49809">
      <c r="P49809" s="42"/>
      <c r="AB49809" s="38"/>
    </row>
    <row r="49810">
      <c r="P49810" s="42"/>
      <c r="AB49810" s="38"/>
    </row>
    <row r="49811">
      <c r="P49811" s="42"/>
      <c r="AB49811" s="38"/>
    </row>
    <row r="49812">
      <c r="P49812" s="42"/>
      <c r="AB49812" s="38"/>
    </row>
    <row r="49813">
      <c r="P49813" s="42"/>
      <c r="AB49813" s="38"/>
    </row>
    <row r="49814">
      <c r="P49814" s="42"/>
      <c r="AB49814" s="38"/>
    </row>
    <row r="49815">
      <c r="P49815" s="42"/>
      <c r="AB49815" s="38"/>
    </row>
    <row r="49816">
      <c r="P49816" s="42"/>
      <c r="AB49816" s="38"/>
    </row>
    <row r="49817">
      <c r="P49817" s="42"/>
      <c r="AB49817" s="38"/>
    </row>
    <row r="49818">
      <c r="P49818" s="42"/>
      <c r="AB49818" s="38"/>
    </row>
    <row r="49819">
      <c r="P49819" s="42"/>
      <c r="AB49819" s="38"/>
    </row>
    <row r="49820">
      <c r="P49820" s="42"/>
      <c r="AB49820" s="38"/>
    </row>
    <row r="49821">
      <c r="P49821" s="42"/>
      <c r="AB49821" s="38"/>
    </row>
    <row r="49822">
      <c r="P49822" s="42"/>
      <c r="AB49822" s="38"/>
    </row>
    <row r="49823">
      <c r="P49823" s="42"/>
      <c r="AB49823" s="38"/>
    </row>
    <row r="49824">
      <c r="P49824" s="42"/>
      <c r="AB49824" s="38"/>
    </row>
    <row r="49825">
      <c r="P49825" s="42"/>
      <c r="AB49825" s="38"/>
    </row>
    <row r="49826">
      <c r="P49826" s="42"/>
      <c r="AB49826" s="38"/>
    </row>
    <row r="49827">
      <c r="P49827" s="42"/>
      <c r="AB49827" s="38"/>
    </row>
    <row r="49828">
      <c r="P49828" s="42"/>
      <c r="AB49828" s="38"/>
    </row>
    <row r="49829">
      <c r="P49829" s="42"/>
      <c r="AB49829" s="38"/>
    </row>
    <row r="49830">
      <c r="P49830" s="42"/>
      <c r="AB49830" s="38"/>
    </row>
    <row r="49831">
      <c r="P49831" s="42"/>
      <c r="AB49831" s="38"/>
    </row>
    <row r="49832">
      <c r="P49832" s="42"/>
      <c r="AB49832" s="38"/>
    </row>
    <row r="49833">
      <c r="P49833" s="42"/>
      <c r="AB49833" s="38"/>
    </row>
    <row r="49834">
      <c r="P49834" s="42"/>
      <c r="AB49834" s="38"/>
    </row>
    <row r="49835">
      <c r="P49835" s="42"/>
      <c r="AB49835" s="38"/>
    </row>
    <row r="49836">
      <c r="P49836" s="42"/>
      <c r="AB49836" s="38"/>
    </row>
    <row r="49837">
      <c r="P49837" s="42"/>
      <c r="AB49837" s="38"/>
    </row>
    <row r="49838">
      <c r="P49838" s="42"/>
      <c r="AB49838" s="38"/>
    </row>
    <row r="49839">
      <c r="P49839" s="42"/>
      <c r="AB49839" s="38"/>
    </row>
    <row r="49840">
      <c r="P49840" s="42"/>
      <c r="AB49840" s="38"/>
    </row>
    <row r="49841">
      <c r="P49841" s="42"/>
      <c r="AB49841" s="38"/>
    </row>
    <row r="49842">
      <c r="P49842" s="42"/>
      <c r="AB49842" s="38"/>
    </row>
    <row r="49843">
      <c r="P49843" s="42"/>
      <c r="AB49843" s="38"/>
    </row>
    <row r="49844">
      <c r="P49844" s="42"/>
      <c r="AB49844" s="38"/>
    </row>
    <row r="49845">
      <c r="P49845" s="42"/>
      <c r="AB49845" s="38"/>
    </row>
    <row r="49846">
      <c r="P49846" s="42"/>
      <c r="AB49846" s="38"/>
    </row>
    <row r="49847">
      <c r="P49847" s="42"/>
      <c r="AB49847" s="38"/>
    </row>
    <row r="49848">
      <c r="P49848" s="42"/>
      <c r="AB49848" s="38"/>
    </row>
    <row r="49849">
      <c r="P49849" s="42"/>
      <c r="AB49849" s="38"/>
    </row>
    <row r="49850">
      <c r="P49850" s="42"/>
      <c r="AB49850" s="38"/>
    </row>
    <row r="49851">
      <c r="P49851" s="42"/>
      <c r="AB49851" s="38"/>
    </row>
    <row r="49852">
      <c r="P49852" s="42"/>
      <c r="AB49852" s="38"/>
    </row>
    <row r="49853">
      <c r="P49853" s="42"/>
      <c r="AB49853" s="38"/>
    </row>
    <row r="49854">
      <c r="P49854" s="42"/>
      <c r="AB49854" s="38"/>
    </row>
    <row r="49855">
      <c r="P49855" s="42"/>
      <c r="AB49855" s="38"/>
    </row>
    <row r="49856">
      <c r="P49856" s="42"/>
      <c r="AB49856" s="38"/>
    </row>
    <row r="49857">
      <c r="P49857" s="42"/>
      <c r="AB49857" s="38"/>
    </row>
    <row r="49858">
      <c r="P49858" s="42"/>
      <c r="AB49858" s="38"/>
    </row>
    <row r="49859">
      <c r="P49859" s="42"/>
      <c r="AB49859" s="38"/>
    </row>
    <row r="49860">
      <c r="P49860" s="42"/>
      <c r="AB49860" s="38"/>
    </row>
    <row r="49861">
      <c r="P49861" s="42"/>
      <c r="AB49861" s="38"/>
    </row>
    <row r="49862">
      <c r="P49862" s="42"/>
      <c r="AB49862" s="38"/>
    </row>
    <row r="49863">
      <c r="P49863" s="42"/>
      <c r="AB49863" s="38"/>
    </row>
    <row r="49864">
      <c r="P49864" s="42"/>
      <c r="AB49864" s="38"/>
    </row>
    <row r="49865">
      <c r="P49865" s="42"/>
      <c r="AB49865" s="38"/>
    </row>
    <row r="49866">
      <c r="P49866" s="42"/>
      <c r="AB49866" s="38"/>
    </row>
    <row r="49867">
      <c r="P49867" s="42"/>
      <c r="AB49867" s="38"/>
    </row>
    <row r="49868">
      <c r="P49868" s="42"/>
      <c r="AB49868" s="38"/>
    </row>
    <row r="49869">
      <c r="P49869" s="42"/>
      <c r="AB49869" s="38"/>
    </row>
    <row r="49870">
      <c r="P49870" s="42"/>
      <c r="AB49870" s="38"/>
    </row>
    <row r="49871">
      <c r="P49871" s="42"/>
      <c r="AB49871" s="38"/>
    </row>
    <row r="49872">
      <c r="P49872" s="42"/>
      <c r="AB49872" s="38"/>
    </row>
    <row r="49873">
      <c r="P49873" s="42"/>
      <c r="AB49873" s="38"/>
    </row>
    <row r="49874">
      <c r="P49874" s="42"/>
      <c r="AB49874" s="38"/>
    </row>
    <row r="49875">
      <c r="P49875" s="42"/>
      <c r="AB49875" s="38"/>
    </row>
    <row r="49876">
      <c r="P49876" s="42"/>
      <c r="AB49876" s="38"/>
    </row>
    <row r="49877">
      <c r="P49877" s="42"/>
      <c r="AB49877" s="38"/>
    </row>
    <row r="49878">
      <c r="P49878" s="42"/>
      <c r="AB49878" s="38"/>
    </row>
    <row r="49879">
      <c r="P49879" s="42"/>
      <c r="AB49879" s="38"/>
    </row>
    <row r="49880">
      <c r="P49880" s="42"/>
      <c r="AB49880" s="38"/>
    </row>
    <row r="49881">
      <c r="P49881" s="42"/>
      <c r="AB49881" s="38"/>
    </row>
    <row r="49882">
      <c r="P49882" s="42"/>
      <c r="AB49882" s="38"/>
    </row>
    <row r="49883">
      <c r="P49883" s="42"/>
      <c r="AB49883" s="38"/>
    </row>
    <row r="49884">
      <c r="P49884" s="42"/>
      <c r="AB49884" s="38"/>
    </row>
    <row r="49885">
      <c r="P49885" s="42"/>
      <c r="AB49885" s="38"/>
    </row>
    <row r="49886">
      <c r="P49886" s="42"/>
      <c r="AB49886" s="38"/>
    </row>
    <row r="49887">
      <c r="P49887" s="42"/>
      <c r="AB49887" s="38"/>
    </row>
    <row r="49888">
      <c r="P49888" s="42"/>
      <c r="AB49888" s="38"/>
    </row>
    <row r="49889">
      <c r="P49889" s="42"/>
      <c r="AB49889" s="38"/>
    </row>
    <row r="49890">
      <c r="P49890" s="42"/>
      <c r="AB49890" s="38"/>
    </row>
    <row r="49891">
      <c r="P49891" s="42"/>
      <c r="AB49891" s="38"/>
    </row>
    <row r="49892">
      <c r="P49892" s="42"/>
      <c r="AB49892" s="38"/>
    </row>
    <row r="49893">
      <c r="P49893" s="42"/>
      <c r="AB49893" s="38"/>
    </row>
    <row r="49894">
      <c r="P49894" s="42"/>
      <c r="AB49894" s="38"/>
    </row>
    <row r="49895">
      <c r="P49895" s="42"/>
      <c r="AB49895" s="38"/>
    </row>
    <row r="49896">
      <c r="P49896" s="42"/>
      <c r="AB49896" s="38"/>
    </row>
    <row r="49897">
      <c r="P49897" s="42"/>
      <c r="AB49897" s="38"/>
    </row>
    <row r="49898">
      <c r="P49898" s="42"/>
      <c r="AB49898" s="38"/>
    </row>
    <row r="49899">
      <c r="P49899" s="42"/>
      <c r="AB49899" s="38"/>
    </row>
    <row r="49900">
      <c r="P49900" s="42"/>
      <c r="AB49900" s="38"/>
    </row>
    <row r="49901">
      <c r="P49901" s="42"/>
      <c r="AB49901" s="38"/>
    </row>
    <row r="49902">
      <c r="P49902" s="42"/>
      <c r="AB49902" s="38"/>
    </row>
    <row r="49903">
      <c r="P49903" s="42"/>
      <c r="AB49903" s="38"/>
    </row>
    <row r="49904">
      <c r="P49904" s="42"/>
      <c r="AB49904" s="38"/>
    </row>
    <row r="49905">
      <c r="P49905" s="42"/>
      <c r="AB49905" s="38"/>
    </row>
    <row r="49906">
      <c r="P49906" s="42"/>
      <c r="AB49906" s="38"/>
    </row>
    <row r="49907">
      <c r="P49907" s="42"/>
      <c r="AB49907" s="38"/>
    </row>
    <row r="49908">
      <c r="P49908" s="42"/>
      <c r="AB49908" s="38"/>
    </row>
    <row r="49909">
      <c r="P49909" s="42"/>
      <c r="AB49909" s="38"/>
    </row>
    <row r="49910">
      <c r="P49910" s="42"/>
      <c r="AB49910" s="38"/>
    </row>
    <row r="49911">
      <c r="P49911" s="42"/>
      <c r="AB49911" s="38"/>
    </row>
    <row r="49912">
      <c r="P49912" s="42"/>
      <c r="AB49912" s="38"/>
    </row>
    <row r="49913">
      <c r="P49913" s="42"/>
      <c r="AB49913" s="38"/>
    </row>
    <row r="49914">
      <c r="P49914" s="42"/>
      <c r="AB49914" s="38"/>
    </row>
    <row r="49915">
      <c r="P49915" s="42"/>
      <c r="AB49915" s="38"/>
    </row>
    <row r="49916">
      <c r="P49916" s="42"/>
      <c r="AB49916" s="38"/>
    </row>
    <row r="49917">
      <c r="P49917" s="42"/>
      <c r="AB49917" s="38"/>
    </row>
    <row r="49918">
      <c r="P49918" s="42"/>
      <c r="AB49918" s="38"/>
    </row>
    <row r="49919">
      <c r="P49919" s="42"/>
      <c r="AB49919" s="38"/>
    </row>
    <row r="49920">
      <c r="P49920" s="42"/>
      <c r="AB49920" s="38"/>
    </row>
    <row r="49921">
      <c r="P49921" s="42"/>
      <c r="AB49921" s="38"/>
    </row>
    <row r="49922">
      <c r="P49922" s="42"/>
      <c r="AB49922" s="38"/>
    </row>
    <row r="49923">
      <c r="P49923" s="42"/>
      <c r="AB49923" s="38"/>
    </row>
    <row r="49924">
      <c r="P49924" s="42"/>
      <c r="AB49924" s="38"/>
    </row>
    <row r="49925">
      <c r="P49925" s="42"/>
      <c r="AB49925" s="38"/>
    </row>
    <row r="49926">
      <c r="P49926" s="42"/>
      <c r="AB49926" s="38"/>
    </row>
    <row r="49927">
      <c r="P49927" s="42"/>
      <c r="AB49927" s="38"/>
    </row>
    <row r="49928">
      <c r="P49928" s="42"/>
      <c r="AB49928" s="38"/>
    </row>
    <row r="49929">
      <c r="P49929" s="42"/>
      <c r="AB49929" s="38"/>
    </row>
    <row r="49930">
      <c r="P49930" s="42"/>
      <c r="AB49930" s="38"/>
    </row>
    <row r="49931">
      <c r="P49931" s="42"/>
      <c r="AB49931" s="38"/>
    </row>
    <row r="49932">
      <c r="P49932" s="42"/>
      <c r="AB49932" s="38"/>
    </row>
    <row r="49933">
      <c r="P49933" s="42"/>
      <c r="AB49933" s="38"/>
    </row>
    <row r="49934">
      <c r="P49934" s="42"/>
      <c r="AB49934" s="38"/>
    </row>
    <row r="49935">
      <c r="P49935" s="42"/>
      <c r="AB49935" s="38"/>
    </row>
    <row r="49936">
      <c r="P49936" s="42"/>
      <c r="AB49936" s="38"/>
    </row>
    <row r="49937">
      <c r="P49937" s="42"/>
      <c r="AB49937" s="38"/>
    </row>
    <row r="49938">
      <c r="P49938" s="42"/>
      <c r="AB49938" s="38"/>
    </row>
    <row r="49939">
      <c r="P49939" s="42"/>
      <c r="AB49939" s="38"/>
    </row>
    <row r="49940">
      <c r="P49940" s="42"/>
      <c r="AB49940" s="38"/>
    </row>
    <row r="49941">
      <c r="P49941" s="42"/>
      <c r="AB49941" s="38"/>
    </row>
    <row r="49942">
      <c r="P49942" s="42"/>
      <c r="AB49942" s="38"/>
    </row>
    <row r="49943">
      <c r="P49943" s="42"/>
      <c r="AB49943" s="38"/>
    </row>
    <row r="49944">
      <c r="P49944" s="42"/>
      <c r="AB49944" s="38"/>
    </row>
    <row r="49945">
      <c r="P49945" s="42"/>
      <c r="AB49945" s="38"/>
    </row>
    <row r="49946">
      <c r="P49946" s="42"/>
      <c r="AB49946" s="38"/>
    </row>
    <row r="49947">
      <c r="P49947" s="42"/>
      <c r="AB49947" s="38"/>
    </row>
    <row r="49948">
      <c r="P49948" s="42"/>
      <c r="AB49948" s="38"/>
    </row>
    <row r="49949">
      <c r="P49949" s="42"/>
      <c r="AB49949" s="38"/>
    </row>
    <row r="49950">
      <c r="P49950" s="42"/>
      <c r="AB49950" s="38"/>
    </row>
    <row r="49951">
      <c r="P49951" s="42"/>
      <c r="AB49951" s="38"/>
    </row>
    <row r="49952">
      <c r="P49952" s="42"/>
      <c r="AB49952" s="38"/>
    </row>
    <row r="49953">
      <c r="P49953" s="42"/>
      <c r="AB49953" s="38"/>
    </row>
    <row r="49954">
      <c r="P49954" s="42"/>
      <c r="AB49954" s="38"/>
    </row>
    <row r="49955">
      <c r="P49955" s="42"/>
      <c r="AB49955" s="38"/>
    </row>
    <row r="49956">
      <c r="P49956" s="42"/>
      <c r="AB49956" s="38"/>
    </row>
    <row r="49957">
      <c r="P49957" s="42"/>
      <c r="AB49957" s="38"/>
    </row>
    <row r="49958">
      <c r="P49958" s="42"/>
      <c r="AB49958" s="38"/>
    </row>
    <row r="49959">
      <c r="P49959" s="42"/>
      <c r="AB49959" s="38"/>
    </row>
    <row r="49960">
      <c r="P49960" s="42"/>
      <c r="AB49960" s="38"/>
    </row>
    <row r="49961">
      <c r="P49961" s="42"/>
      <c r="AB49961" s="38"/>
    </row>
    <row r="49962">
      <c r="P49962" s="42"/>
      <c r="AB49962" s="38"/>
    </row>
    <row r="49963">
      <c r="P49963" s="42"/>
      <c r="AB49963" s="38"/>
    </row>
    <row r="49964">
      <c r="P49964" s="42"/>
      <c r="AB49964" s="38"/>
    </row>
    <row r="49965">
      <c r="P49965" s="42"/>
      <c r="AB49965" s="38"/>
    </row>
    <row r="49966">
      <c r="P49966" s="42"/>
      <c r="AB49966" s="38"/>
    </row>
    <row r="49967">
      <c r="P49967" s="42"/>
      <c r="AB49967" s="38"/>
    </row>
    <row r="49968">
      <c r="P49968" s="42"/>
      <c r="AB49968" s="38"/>
    </row>
    <row r="49969">
      <c r="P49969" s="42"/>
      <c r="AB49969" s="38"/>
    </row>
    <row r="49970">
      <c r="P49970" s="42"/>
      <c r="AB49970" s="38"/>
    </row>
    <row r="49971">
      <c r="P49971" s="42"/>
      <c r="AB49971" s="38"/>
    </row>
    <row r="49972">
      <c r="P49972" s="42"/>
      <c r="AB49972" s="38"/>
    </row>
    <row r="49973">
      <c r="P49973" s="42"/>
      <c r="AB49973" s="38"/>
    </row>
    <row r="49974">
      <c r="P49974" s="42"/>
      <c r="AB49974" s="38"/>
    </row>
    <row r="49975">
      <c r="P49975" s="42"/>
      <c r="AB49975" s="38"/>
    </row>
    <row r="49976">
      <c r="P49976" s="42"/>
      <c r="AB49976" s="38"/>
    </row>
    <row r="49977">
      <c r="P49977" s="42"/>
      <c r="AB49977" s="38"/>
    </row>
    <row r="49978">
      <c r="P49978" s="42"/>
      <c r="AB49978" s="38"/>
    </row>
    <row r="49979">
      <c r="P49979" s="42"/>
      <c r="AB49979" s="38"/>
    </row>
    <row r="49980">
      <c r="P49980" s="42"/>
      <c r="AB49980" s="38"/>
    </row>
    <row r="49981">
      <c r="P49981" s="42"/>
      <c r="AB49981" s="38"/>
    </row>
    <row r="49982">
      <c r="P49982" s="42"/>
      <c r="AB49982" s="38"/>
    </row>
    <row r="49983">
      <c r="P49983" s="42"/>
      <c r="AB49983" s="38"/>
    </row>
    <row r="49984">
      <c r="P49984" s="42"/>
      <c r="AB49984" s="38"/>
    </row>
    <row r="49985">
      <c r="P49985" s="42"/>
      <c r="AB49985" s="38"/>
    </row>
    <row r="49986">
      <c r="P49986" s="42"/>
      <c r="AB49986" s="38"/>
    </row>
    <row r="49987">
      <c r="P49987" s="42"/>
      <c r="AB49987" s="38"/>
    </row>
    <row r="49988">
      <c r="P49988" s="42"/>
      <c r="AB49988" s="38"/>
    </row>
    <row r="49989">
      <c r="P49989" s="42"/>
      <c r="AB49989" s="38"/>
    </row>
    <row r="49990">
      <c r="P49990" s="42"/>
      <c r="AB49990" s="38"/>
    </row>
    <row r="49991">
      <c r="P49991" s="42"/>
      <c r="AB49991" s="38"/>
    </row>
    <row r="49992">
      <c r="P49992" s="42"/>
      <c r="AB49992" s="38"/>
    </row>
    <row r="49993">
      <c r="P49993" s="42"/>
      <c r="AB49993" s="38"/>
    </row>
    <row r="49994">
      <c r="P49994" s="42"/>
      <c r="AB49994" s="38"/>
    </row>
    <row r="49995">
      <c r="P49995" s="42"/>
      <c r="AB49995" s="38"/>
    </row>
    <row r="49996">
      <c r="P49996" s="42"/>
      <c r="AB49996" s="38"/>
    </row>
    <row r="49997">
      <c r="P49997" s="42"/>
      <c r="AB49997" s="38"/>
    </row>
    <row r="49998">
      <c r="P49998" s="42"/>
      <c r="AB49998" s="38"/>
    </row>
    <row r="49999">
      <c r="P49999" s="42"/>
      <c r="AB49999" s="38"/>
    </row>
    <row r="50000">
      <c r="P50000" s="42"/>
      <c r="AB50000" s="38"/>
    </row>
    <row r="50001">
      <c r="P50001" s="42"/>
      <c r="AB50001" s="38"/>
    </row>
    <row r="50002">
      <c r="P50002" s="42"/>
      <c r="AB50002" s="38"/>
    </row>
    <row r="50003">
      <c r="P50003" s="42"/>
      <c r="AB50003" s="38"/>
    </row>
    <row r="50004">
      <c r="P50004" s="42"/>
      <c r="AB50004" s="38"/>
    </row>
    <row r="50005">
      <c r="P50005" s="42"/>
      <c r="AB50005" s="38"/>
    </row>
    <row r="50006">
      <c r="P50006" s="42"/>
      <c r="AB50006" s="38"/>
    </row>
    <row r="50007">
      <c r="P50007" s="42"/>
      <c r="AB50007" s="38"/>
    </row>
    <row r="50008">
      <c r="P50008" s="42"/>
      <c r="AB50008" s="38"/>
    </row>
    <row r="50009">
      <c r="P50009" s="42"/>
      <c r="AB50009" s="38"/>
    </row>
    <row r="50010">
      <c r="P50010" s="42"/>
      <c r="AB50010" s="38"/>
    </row>
    <row r="50011">
      <c r="P50011" s="42"/>
      <c r="AB50011" s="38"/>
    </row>
    <row r="50012">
      <c r="P50012" s="42"/>
      <c r="AB50012" s="38"/>
    </row>
    <row r="50013">
      <c r="P50013" s="42"/>
      <c r="AB50013" s="38"/>
    </row>
    <row r="50014">
      <c r="P50014" s="42"/>
      <c r="AB50014" s="38"/>
    </row>
    <row r="50015">
      <c r="P50015" s="42"/>
      <c r="AB50015" s="38"/>
    </row>
    <row r="50016">
      <c r="P50016" s="42"/>
      <c r="AB50016" s="38"/>
    </row>
    <row r="50017">
      <c r="P50017" s="42"/>
      <c r="AB50017" s="38"/>
    </row>
    <row r="50018">
      <c r="P50018" s="42"/>
      <c r="AB50018" s="38"/>
    </row>
    <row r="50019">
      <c r="P50019" s="42"/>
      <c r="AB50019" s="38"/>
    </row>
    <row r="50020">
      <c r="P50020" s="42"/>
      <c r="AB50020" s="38"/>
    </row>
    <row r="50021">
      <c r="P50021" s="42"/>
      <c r="AB50021" s="38"/>
    </row>
    <row r="50022">
      <c r="P50022" s="42"/>
      <c r="AB50022" s="38"/>
    </row>
    <row r="50023">
      <c r="P50023" s="42"/>
      <c r="AB50023" s="38"/>
    </row>
    <row r="50024">
      <c r="P50024" s="42"/>
      <c r="AB50024" s="38"/>
    </row>
    <row r="50025">
      <c r="P50025" s="42"/>
      <c r="AB50025" s="38"/>
    </row>
    <row r="50026">
      <c r="P50026" s="42"/>
      <c r="AB50026" s="38"/>
    </row>
    <row r="50027">
      <c r="P50027" s="42"/>
      <c r="AB50027" s="38"/>
    </row>
    <row r="50028">
      <c r="P50028" s="42"/>
      <c r="AB50028" s="38"/>
    </row>
    <row r="50029">
      <c r="P50029" s="42"/>
      <c r="AB50029" s="38"/>
    </row>
    <row r="50030">
      <c r="P50030" s="42"/>
      <c r="AB50030" s="38"/>
    </row>
    <row r="50031">
      <c r="P50031" s="42"/>
      <c r="AB50031" s="38"/>
    </row>
    <row r="50032">
      <c r="P50032" s="42"/>
      <c r="AB50032" s="38"/>
    </row>
    <row r="50033">
      <c r="P50033" s="42"/>
      <c r="AB50033" s="38"/>
    </row>
    <row r="50034">
      <c r="P50034" s="42"/>
      <c r="AB50034" s="38"/>
    </row>
    <row r="50035">
      <c r="P50035" s="42"/>
      <c r="AB50035" s="38"/>
    </row>
    <row r="50036">
      <c r="P50036" s="42"/>
      <c r="AB50036" s="38"/>
    </row>
    <row r="50037">
      <c r="P50037" s="42"/>
      <c r="AB50037" s="38"/>
    </row>
    <row r="50038">
      <c r="P50038" s="42"/>
      <c r="AB50038" s="38"/>
    </row>
    <row r="50039">
      <c r="P50039" s="42"/>
      <c r="AB50039" s="38"/>
    </row>
    <row r="50040">
      <c r="P50040" s="42"/>
      <c r="AB50040" s="38"/>
    </row>
    <row r="50041">
      <c r="P50041" s="42"/>
      <c r="AB50041" s="38"/>
    </row>
    <row r="50042">
      <c r="P50042" s="42"/>
      <c r="AB50042" s="38"/>
    </row>
    <row r="50043">
      <c r="P50043" s="42"/>
      <c r="AB50043" s="38"/>
    </row>
    <row r="50044">
      <c r="P50044" s="42"/>
      <c r="AB50044" s="38"/>
    </row>
    <row r="50045">
      <c r="P50045" s="42"/>
      <c r="AB50045" s="38"/>
    </row>
    <row r="50046">
      <c r="P50046" s="42"/>
      <c r="AB50046" s="38"/>
    </row>
    <row r="50047">
      <c r="P50047" s="42"/>
      <c r="AB50047" s="38"/>
    </row>
    <row r="50048">
      <c r="P50048" s="42"/>
      <c r="AB50048" s="38"/>
    </row>
    <row r="50049">
      <c r="P50049" s="42"/>
      <c r="AB50049" s="38"/>
    </row>
    <row r="50050">
      <c r="P50050" s="42"/>
      <c r="AB50050" s="38"/>
    </row>
    <row r="50051">
      <c r="P50051" s="42"/>
      <c r="AB50051" s="38"/>
    </row>
    <row r="50052">
      <c r="P50052" s="42"/>
      <c r="AB50052" s="38"/>
    </row>
    <row r="50053">
      <c r="P50053" s="42"/>
      <c r="AB50053" s="38"/>
    </row>
    <row r="50054">
      <c r="P50054" s="42"/>
      <c r="AB50054" s="38"/>
    </row>
    <row r="50055">
      <c r="P50055" s="42"/>
      <c r="AB50055" s="38"/>
    </row>
    <row r="50056">
      <c r="P50056" s="42"/>
      <c r="AB50056" s="38"/>
    </row>
    <row r="50057">
      <c r="P50057" s="42"/>
      <c r="AB50057" s="38"/>
    </row>
    <row r="50058">
      <c r="P50058" s="42"/>
      <c r="AB50058" s="38"/>
    </row>
    <row r="50059">
      <c r="P50059" s="42"/>
      <c r="AB50059" s="38"/>
    </row>
    <row r="50060">
      <c r="P50060" s="42"/>
      <c r="AB50060" s="38"/>
    </row>
    <row r="50061">
      <c r="P50061" s="42"/>
      <c r="AB50061" s="38"/>
    </row>
    <row r="50062">
      <c r="P50062" s="42"/>
      <c r="AB50062" s="38"/>
    </row>
    <row r="50063">
      <c r="P50063" s="42"/>
      <c r="AB50063" s="38"/>
    </row>
    <row r="50064">
      <c r="P50064" s="42"/>
      <c r="AB50064" s="38"/>
    </row>
    <row r="50065">
      <c r="P50065" s="42"/>
      <c r="AB50065" s="38"/>
    </row>
    <row r="50066">
      <c r="P50066" s="42"/>
      <c r="AB50066" s="38"/>
    </row>
    <row r="50067">
      <c r="P50067" s="42"/>
      <c r="AB50067" s="38"/>
    </row>
    <row r="50068">
      <c r="P50068" s="42"/>
      <c r="AB50068" s="38"/>
    </row>
    <row r="50069">
      <c r="P50069" s="42"/>
      <c r="AB50069" s="38"/>
    </row>
    <row r="50070">
      <c r="P50070" s="42"/>
      <c r="AB50070" s="38"/>
    </row>
    <row r="50071">
      <c r="P50071" s="42"/>
      <c r="AB50071" s="38"/>
    </row>
    <row r="50072">
      <c r="P50072" s="42"/>
      <c r="AB50072" s="38"/>
    </row>
    <row r="50073">
      <c r="P50073" s="42"/>
      <c r="AB50073" s="38"/>
    </row>
    <row r="50074">
      <c r="P50074" s="42"/>
      <c r="AB50074" s="38"/>
    </row>
    <row r="50075">
      <c r="P50075" s="42"/>
      <c r="AB50075" s="38"/>
    </row>
    <row r="50076">
      <c r="P50076" s="42"/>
      <c r="AB50076" s="38"/>
    </row>
    <row r="50077">
      <c r="P50077" s="42"/>
      <c r="AB50077" s="38"/>
    </row>
    <row r="50078">
      <c r="P50078" s="42"/>
      <c r="AB50078" s="38"/>
    </row>
    <row r="50079">
      <c r="P50079" s="42"/>
      <c r="AB50079" s="38"/>
    </row>
    <row r="50080">
      <c r="P50080" s="42"/>
      <c r="AB50080" s="38"/>
    </row>
    <row r="50081">
      <c r="P50081" s="42"/>
      <c r="AB50081" s="38"/>
    </row>
    <row r="50082">
      <c r="P50082" s="42"/>
      <c r="AB50082" s="38"/>
    </row>
    <row r="50083">
      <c r="P50083" s="42"/>
      <c r="AB50083" s="38"/>
    </row>
    <row r="50084">
      <c r="P50084" s="42"/>
      <c r="AB50084" s="38"/>
    </row>
    <row r="50085">
      <c r="P50085" s="42"/>
      <c r="AB50085" s="38"/>
    </row>
    <row r="50086">
      <c r="P50086" s="42"/>
      <c r="AB50086" s="38"/>
    </row>
    <row r="50087">
      <c r="P50087" s="42"/>
      <c r="AB50087" s="38"/>
    </row>
    <row r="50088">
      <c r="P50088" s="42"/>
      <c r="AB50088" s="38"/>
    </row>
    <row r="50089">
      <c r="P50089" s="42"/>
      <c r="AB50089" s="38"/>
    </row>
    <row r="50090">
      <c r="P50090" s="42"/>
      <c r="AB50090" s="38"/>
    </row>
    <row r="50091">
      <c r="P50091" s="42"/>
      <c r="AB50091" s="38"/>
    </row>
    <row r="50092">
      <c r="P50092" s="42"/>
      <c r="AB50092" s="38"/>
    </row>
    <row r="50093">
      <c r="P50093" s="42"/>
      <c r="AB50093" s="38"/>
    </row>
    <row r="50094">
      <c r="P50094" s="42"/>
      <c r="AB50094" s="38"/>
    </row>
    <row r="50095">
      <c r="P50095" s="42"/>
      <c r="AB50095" s="38"/>
    </row>
    <row r="50096">
      <c r="P50096" s="42"/>
      <c r="AB50096" s="38"/>
    </row>
    <row r="50097">
      <c r="P50097" s="42"/>
      <c r="AB50097" s="38"/>
    </row>
    <row r="50098">
      <c r="P50098" s="42"/>
      <c r="AB50098" s="38"/>
    </row>
    <row r="50099">
      <c r="P50099" s="42"/>
      <c r="AB50099" s="38"/>
    </row>
    <row r="50100">
      <c r="P50100" s="42"/>
      <c r="AB50100" s="38"/>
    </row>
    <row r="50101">
      <c r="P50101" s="42"/>
      <c r="AB50101" s="38"/>
    </row>
    <row r="50102">
      <c r="P50102" s="42"/>
      <c r="AB50102" s="38"/>
    </row>
    <row r="50103">
      <c r="P50103" s="42"/>
      <c r="AB50103" s="38"/>
    </row>
    <row r="50104">
      <c r="P50104" s="42"/>
      <c r="AB50104" s="38"/>
    </row>
    <row r="50105">
      <c r="P50105" s="42"/>
      <c r="AB50105" s="38"/>
    </row>
    <row r="50106">
      <c r="P50106" s="42"/>
      <c r="AB50106" s="38"/>
    </row>
    <row r="50107">
      <c r="P50107" s="42"/>
      <c r="AB50107" s="38"/>
    </row>
    <row r="50108">
      <c r="P50108" s="42"/>
      <c r="AB50108" s="38"/>
    </row>
    <row r="50109">
      <c r="P50109" s="42"/>
      <c r="AB50109" s="38"/>
    </row>
    <row r="50110">
      <c r="P50110" s="42"/>
      <c r="AB50110" s="38"/>
    </row>
    <row r="50111">
      <c r="P50111" s="42"/>
      <c r="AB50111" s="38"/>
    </row>
    <row r="50112">
      <c r="P50112" s="42"/>
      <c r="AB50112" s="38"/>
    </row>
    <row r="50113">
      <c r="P50113" s="42"/>
      <c r="AB50113" s="38"/>
    </row>
    <row r="50114">
      <c r="P50114" s="42"/>
      <c r="AB50114" s="38"/>
    </row>
    <row r="50115">
      <c r="P50115" s="42"/>
      <c r="AB50115" s="38"/>
    </row>
    <row r="50116">
      <c r="P50116" s="42"/>
      <c r="AB50116" s="38"/>
    </row>
    <row r="50117">
      <c r="P50117" s="42"/>
      <c r="AB50117" s="38"/>
    </row>
    <row r="50118">
      <c r="P50118" s="42"/>
      <c r="AB50118" s="38"/>
    </row>
    <row r="50119">
      <c r="P50119" s="42"/>
      <c r="AB50119" s="38"/>
    </row>
    <row r="50120">
      <c r="P50120" s="42"/>
      <c r="AB50120" s="38"/>
    </row>
    <row r="50121">
      <c r="P50121" s="42"/>
      <c r="AB50121" s="38"/>
    </row>
    <row r="50122">
      <c r="P50122" s="42"/>
      <c r="AB50122" s="38"/>
    </row>
    <row r="50123">
      <c r="P50123" s="42"/>
      <c r="AB50123" s="38"/>
    </row>
    <row r="50124">
      <c r="P50124" s="42"/>
      <c r="AB50124" s="38"/>
    </row>
    <row r="50125">
      <c r="P50125" s="42"/>
      <c r="AB50125" s="38"/>
    </row>
    <row r="50126">
      <c r="P50126" s="42"/>
      <c r="AB50126" s="38"/>
    </row>
    <row r="50127">
      <c r="P50127" s="42"/>
      <c r="AB50127" s="38"/>
    </row>
    <row r="50128">
      <c r="P50128" s="42"/>
      <c r="AB50128" s="38"/>
    </row>
    <row r="50129">
      <c r="P50129" s="42"/>
      <c r="AB50129" s="38"/>
    </row>
    <row r="50130">
      <c r="P50130" s="42"/>
      <c r="AB50130" s="38"/>
    </row>
    <row r="50131">
      <c r="P50131" s="42"/>
      <c r="AB50131" s="38"/>
    </row>
    <row r="50132">
      <c r="P50132" s="42"/>
      <c r="AB50132" s="38"/>
    </row>
    <row r="50133">
      <c r="P50133" s="42"/>
      <c r="AB50133" s="38"/>
    </row>
    <row r="50134">
      <c r="P50134" s="42"/>
      <c r="AB50134" s="38"/>
    </row>
    <row r="50135">
      <c r="P50135" s="42"/>
      <c r="AB50135" s="38"/>
    </row>
    <row r="50136">
      <c r="P50136" s="42"/>
      <c r="AB50136" s="38"/>
    </row>
    <row r="50137">
      <c r="P50137" s="42"/>
      <c r="AB50137" s="38"/>
    </row>
    <row r="50138">
      <c r="P50138" s="42"/>
      <c r="AB50138" s="38"/>
    </row>
    <row r="50139">
      <c r="P50139" s="42"/>
      <c r="AB50139" s="38"/>
    </row>
    <row r="50140">
      <c r="P50140" s="42"/>
      <c r="AB50140" s="38"/>
    </row>
    <row r="50141">
      <c r="P50141" s="42"/>
      <c r="AB50141" s="38"/>
    </row>
    <row r="50142">
      <c r="P50142" s="42"/>
      <c r="AB50142" s="38"/>
    </row>
    <row r="50143">
      <c r="P50143" s="42"/>
      <c r="AB50143" s="38"/>
    </row>
    <row r="50144">
      <c r="P50144" s="42"/>
      <c r="AB50144" s="38"/>
    </row>
    <row r="50145">
      <c r="P50145" s="42"/>
      <c r="AB50145" s="38"/>
    </row>
    <row r="50146">
      <c r="P50146" s="42"/>
      <c r="AB50146" s="38"/>
    </row>
    <row r="50147">
      <c r="P50147" s="42"/>
      <c r="AB50147" s="38"/>
    </row>
    <row r="50148">
      <c r="P50148" s="42"/>
      <c r="AB50148" s="38"/>
    </row>
    <row r="50149">
      <c r="P50149" s="42"/>
      <c r="AB50149" s="38"/>
    </row>
    <row r="50150">
      <c r="P50150" s="42"/>
      <c r="AB50150" s="38"/>
    </row>
    <row r="50151">
      <c r="P50151" s="42"/>
      <c r="AB50151" s="38"/>
    </row>
    <row r="50152">
      <c r="P50152" s="42"/>
      <c r="AB50152" s="38"/>
    </row>
    <row r="50153">
      <c r="P50153" s="42"/>
      <c r="AB50153" s="38"/>
    </row>
    <row r="50154">
      <c r="P50154" s="42"/>
      <c r="AB50154" s="38"/>
    </row>
    <row r="50155">
      <c r="P50155" s="42"/>
      <c r="AB50155" s="38"/>
    </row>
    <row r="50156">
      <c r="P50156" s="42"/>
      <c r="AB50156" s="38"/>
    </row>
    <row r="50157">
      <c r="P50157" s="42"/>
      <c r="AB50157" s="38"/>
    </row>
    <row r="50158">
      <c r="P50158" s="42"/>
      <c r="AB50158" s="38"/>
    </row>
    <row r="50159">
      <c r="P50159" s="42"/>
      <c r="AB50159" s="38"/>
    </row>
    <row r="50160">
      <c r="P50160" s="42"/>
      <c r="AB50160" s="38"/>
    </row>
    <row r="50161">
      <c r="P50161" s="42"/>
      <c r="AB50161" s="38"/>
    </row>
    <row r="50162">
      <c r="P50162" s="42"/>
      <c r="AB50162" s="38"/>
    </row>
    <row r="50163">
      <c r="P50163" s="42"/>
      <c r="AB50163" s="38"/>
    </row>
    <row r="50164">
      <c r="P50164" s="42"/>
      <c r="AB50164" s="38"/>
    </row>
    <row r="50165">
      <c r="P50165" s="42"/>
      <c r="AB50165" s="38"/>
    </row>
    <row r="50166">
      <c r="P50166" s="42"/>
      <c r="AB50166" s="38"/>
    </row>
    <row r="50167">
      <c r="P50167" s="42"/>
      <c r="AB50167" s="38"/>
    </row>
    <row r="50168">
      <c r="P50168" s="42"/>
      <c r="AB50168" s="38"/>
    </row>
    <row r="50169">
      <c r="P50169" s="42"/>
      <c r="AB50169" s="38"/>
    </row>
    <row r="50170">
      <c r="P50170" s="42"/>
      <c r="AB50170" s="38"/>
    </row>
    <row r="50171">
      <c r="P50171" s="42"/>
      <c r="AB50171" s="38"/>
    </row>
    <row r="50172">
      <c r="P50172" s="42"/>
      <c r="AB50172" s="38"/>
    </row>
    <row r="50173">
      <c r="P50173" s="42"/>
      <c r="AB50173" s="38"/>
    </row>
    <row r="50174">
      <c r="P50174" s="42"/>
      <c r="AB50174" s="38"/>
    </row>
    <row r="50175">
      <c r="P50175" s="42"/>
      <c r="AB50175" s="38"/>
    </row>
    <row r="50176">
      <c r="P50176" s="42"/>
      <c r="AB50176" s="38"/>
    </row>
    <row r="50177">
      <c r="P50177" s="42"/>
      <c r="AB50177" s="38"/>
    </row>
    <row r="50178">
      <c r="P50178" s="42"/>
      <c r="AB50178" s="38"/>
    </row>
    <row r="50179">
      <c r="P50179" s="42"/>
      <c r="AB50179" s="38"/>
    </row>
    <row r="50180">
      <c r="P50180" s="42"/>
      <c r="AB50180" s="38"/>
    </row>
    <row r="50181">
      <c r="P50181" s="42"/>
      <c r="AB50181" s="38"/>
    </row>
    <row r="50182">
      <c r="P50182" s="42"/>
      <c r="AB50182" s="38"/>
    </row>
    <row r="50183">
      <c r="P50183" s="42"/>
      <c r="AB50183" s="38"/>
    </row>
    <row r="50184">
      <c r="P50184" s="42"/>
      <c r="AB50184" s="38"/>
    </row>
    <row r="50185">
      <c r="P50185" s="42"/>
      <c r="AB50185" s="38"/>
    </row>
    <row r="50186">
      <c r="P50186" s="42"/>
      <c r="AB50186" s="38"/>
    </row>
    <row r="50187">
      <c r="P50187" s="42"/>
      <c r="AB50187" s="38"/>
    </row>
    <row r="50188">
      <c r="P50188" s="42"/>
      <c r="AB50188" s="38"/>
    </row>
    <row r="50189">
      <c r="P50189" s="42"/>
      <c r="AB50189" s="38"/>
    </row>
    <row r="50190">
      <c r="P50190" s="42"/>
      <c r="AB50190" s="38"/>
    </row>
    <row r="50191">
      <c r="P50191" s="42"/>
      <c r="AB50191" s="38"/>
    </row>
    <row r="50192">
      <c r="P50192" s="42"/>
      <c r="AB50192" s="38"/>
    </row>
    <row r="50193">
      <c r="P50193" s="42"/>
      <c r="AB50193" s="38"/>
    </row>
    <row r="50194">
      <c r="P50194" s="42"/>
      <c r="AB50194" s="38"/>
    </row>
    <row r="50195">
      <c r="P50195" s="42"/>
      <c r="AB50195" s="38"/>
    </row>
    <row r="50196">
      <c r="P50196" s="42"/>
      <c r="AB50196" s="38"/>
    </row>
    <row r="50197">
      <c r="P50197" s="42"/>
      <c r="AB50197" s="38"/>
    </row>
    <row r="50198">
      <c r="P50198" s="42"/>
      <c r="AB50198" s="38"/>
    </row>
    <row r="50199">
      <c r="P50199" s="42"/>
      <c r="AB50199" s="38"/>
    </row>
    <row r="50200">
      <c r="P50200" s="42"/>
      <c r="AB50200" s="38"/>
    </row>
    <row r="50201">
      <c r="P50201" s="42"/>
      <c r="AB50201" s="38"/>
    </row>
    <row r="50202">
      <c r="P50202" s="42"/>
      <c r="AB50202" s="38"/>
    </row>
    <row r="50203">
      <c r="P50203" s="42"/>
      <c r="AB50203" s="38"/>
    </row>
    <row r="50204">
      <c r="P50204" s="42"/>
      <c r="AB50204" s="38"/>
    </row>
    <row r="50205">
      <c r="P50205" s="42"/>
      <c r="AB50205" s="38"/>
    </row>
    <row r="50206">
      <c r="P50206" s="42"/>
      <c r="AB50206" s="38"/>
    </row>
    <row r="50207">
      <c r="P50207" s="42"/>
      <c r="AB50207" s="38"/>
    </row>
    <row r="50208">
      <c r="P50208" s="42"/>
      <c r="AB50208" s="38"/>
    </row>
    <row r="50209">
      <c r="P50209" s="42"/>
      <c r="AB50209" s="38"/>
    </row>
    <row r="50210">
      <c r="P50210" s="42"/>
      <c r="AB50210" s="38"/>
    </row>
    <row r="50211">
      <c r="P50211" s="42"/>
      <c r="AB50211" s="38"/>
    </row>
    <row r="50212">
      <c r="P50212" s="42"/>
      <c r="AB50212" s="38"/>
    </row>
    <row r="50213">
      <c r="P50213" s="42"/>
      <c r="AB50213" s="38"/>
    </row>
    <row r="50214">
      <c r="P50214" s="42"/>
      <c r="AB50214" s="38"/>
    </row>
    <row r="50215">
      <c r="P50215" s="42"/>
      <c r="AB50215" s="38"/>
    </row>
    <row r="50216">
      <c r="P50216" s="42"/>
      <c r="AB50216" s="38"/>
    </row>
    <row r="50217">
      <c r="P50217" s="42"/>
      <c r="AB50217" s="38"/>
    </row>
    <row r="50218">
      <c r="P50218" s="42"/>
      <c r="AB50218" s="38"/>
    </row>
    <row r="50219">
      <c r="P50219" s="42"/>
      <c r="AB50219" s="38"/>
    </row>
    <row r="50220">
      <c r="P50220" s="42"/>
      <c r="AB50220" s="38"/>
    </row>
    <row r="50221">
      <c r="P50221" s="42"/>
      <c r="AB50221" s="38"/>
    </row>
    <row r="50222">
      <c r="P50222" s="42"/>
      <c r="AB50222" s="38"/>
    </row>
    <row r="50223">
      <c r="P50223" s="42"/>
      <c r="AB50223" s="38"/>
    </row>
    <row r="50224">
      <c r="P50224" s="42"/>
      <c r="AB50224" s="38"/>
    </row>
    <row r="50225">
      <c r="P50225" s="42"/>
      <c r="AB50225" s="38"/>
    </row>
    <row r="50226">
      <c r="P50226" s="42"/>
      <c r="AB50226" s="38"/>
    </row>
    <row r="50227">
      <c r="P50227" s="42"/>
      <c r="AB50227" s="38"/>
    </row>
    <row r="50228">
      <c r="P50228" s="42"/>
      <c r="AB50228" s="38"/>
    </row>
    <row r="50229">
      <c r="P50229" s="42"/>
      <c r="AB50229" s="38"/>
    </row>
    <row r="50230">
      <c r="P50230" s="42"/>
      <c r="AB50230" s="38"/>
    </row>
    <row r="50231">
      <c r="P50231" s="42"/>
      <c r="AB50231" s="38"/>
    </row>
    <row r="50232">
      <c r="P50232" s="42"/>
      <c r="AB50232" s="38"/>
    </row>
    <row r="50233">
      <c r="P50233" s="42"/>
      <c r="AB50233" s="38"/>
    </row>
    <row r="50234">
      <c r="P50234" s="42"/>
      <c r="AB50234" s="38"/>
    </row>
    <row r="50235">
      <c r="P50235" s="42"/>
      <c r="AB50235" s="38"/>
    </row>
    <row r="50236">
      <c r="P50236" s="42"/>
      <c r="AB50236" s="38"/>
    </row>
    <row r="50237">
      <c r="P50237" s="42"/>
      <c r="AB50237" s="38"/>
    </row>
    <row r="50238">
      <c r="P50238" s="42"/>
      <c r="AB50238" s="38"/>
    </row>
    <row r="50239">
      <c r="P50239" s="42"/>
      <c r="AB50239" s="38"/>
    </row>
    <row r="50240">
      <c r="P50240" s="42"/>
      <c r="AB50240" s="38"/>
    </row>
    <row r="50241">
      <c r="P50241" s="42"/>
      <c r="AB50241" s="38"/>
    </row>
    <row r="50242">
      <c r="P50242" s="42"/>
      <c r="AB50242" s="38"/>
    </row>
    <row r="50243">
      <c r="P50243" s="42"/>
      <c r="AB50243" s="38"/>
    </row>
    <row r="50244">
      <c r="P50244" s="42"/>
      <c r="AB50244" s="38"/>
    </row>
    <row r="50245">
      <c r="P50245" s="42"/>
      <c r="AB50245" s="38"/>
    </row>
    <row r="50246">
      <c r="P50246" s="42"/>
      <c r="AB50246" s="38"/>
    </row>
    <row r="50247">
      <c r="P50247" s="42"/>
      <c r="AB50247" s="38"/>
    </row>
    <row r="50248">
      <c r="P50248" s="42"/>
      <c r="AB50248" s="38"/>
    </row>
    <row r="50249">
      <c r="P50249" s="42"/>
      <c r="AB50249" s="38"/>
    </row>
    <row r="50250">
      <c r="P50250" s="42"/>
      <c r="AB50250" s="38"/>
    </row>
    <row r="50251">
      <c r="P50251" s="42"/>
      <c r="AB50251" s="38"/>
    </row>
    <row r="50252">
      <c r="P50252" s="42"/>
      <c r="AB50252" s="38"/>
    </row>
    <row r="50253">
      <c r="P50253" s="42"/>
      <c r="AB50253" s="38"/>
    </row>
    <row r="50254">
      <c r="P50254" s="42"/>
      <c r="AB50254" s="38"/>
    </row>
    <row r="50255">
      <c r="P50255" s="42"/>
      <c r="AB50255" s="38"/>
    </row>
    <row r="50256">
      <c r="P50256" s="42"/>
      <c r="AB50256" s="38"/>
    </row>
    <row r="50257">
      <c r="P50257" s="42"/>
      <c r="AB50257" s="38"/>
    </row>
    <row r="50258">
      <c r="P50258" s="42"/>
      <c r="AB50258" s="38"/>
    </row>
    <row r="50259">
      <c r="P50259" s="42"/>
      <c r="AB50259" s="38"/>
    </row>
    <row r="50260">
      <c r="P50260" s="42"/>
      <c r="AB50260" s="38"/>
    </row>
    <row r="50261">
      <c r="P50261" s="42"/>
      <c r="AB50261" s="38"/>
    </row>
    <row r="50262">
      <c r="P50262" s="42"/>
      <c r="AB50262" s="38"/>
    </row>
    <row r="50263">
      <c r="P50263" s="42"/>
      <c r="AB50263" s="38"/>
    </row>
    <row r="50264">
      <c r="P50264" s="42"/>
      <c r="AB50264" s="38"/>
    </row>
    <row r="50265">
      <c r="P50265" s="42"/>
      <c r="AB50265" s="38"/>
    </row>
    <row r="50266">
      <c r="P50266" s="42"/>
      <c r="AB50266" s="38"/>
    </row>
    <row r="50267">
      <c r="P50267" s="42"/>
      <c r="AB50267" s="38"/>
    </row>
    <row r="50268">
      <c r="P50268" s="42"/>
      <c r="AB50268" s="38"/>
    </row>
    <row r="50269">
      <c r="P50269" s="42"/>
      <c r="AB50269" s="38"/>
    </row>
    <row r="50270">
      <c r="P50270" s="42"/>
      <c r="AB50270" s="38"/>
    </row>
    <row r="50271">
      <c r="P50271" s="42"/>
      <c r="AB50271" s="38"/>
    </row>
    <row r="50272">
      <c r="P50272" s="42"/>
      <c r="AB50272" s="38"/>
    </row>
    <row r="50273">
      <c r="P50273" s="42"/>
      <c r="AB50273" s="38"/>
    </row>
    <row r="50274">
      <c r="P50274" s="42"/>
      <c r="AB50274" s="38"/>
    </row>
    <row r="50275">
      <c r="P50275" s="42"/>
      <c r="AB50275" s="38"/>
    </row>
    <row r="50276">
      <c r="P50276" s="42"/>
      <c r="AB50276" s="38"/>
    </row>
    <row r="50277">
      <c r="P50277" s="42"/>
      <c r="AB50277" s="38"/>
    </row>
    <row r="50278">
      <c r="P50278" s="42"/>
      <c r="AB50278" s="38"/>
    </row>
    <row r="50279">
      <c r="P50279" s="42"/>
      <c r="AB50279" s="38"/>
    </row>
    <row r="50280">
      <c r="P50280" s="42"/>
      <c r="AB50280" s="38"/>
    </row>
    <row r="50281">
      <c r="P50281" s="42"/>
      <c r="AB50281" s="38"/>
    </row>
    <row r="50282">
      <c r="P50282" s="42"/>
      <c r="AB50282" s="38"/>
    </row>
    <row r="50283">
      <c r="P50283" s="42"/>
      <c r="AB50283" s="38"/>
    </row>
    <row r="50284">
      <c r="P50284" s="42"/>
      <c r="AB50284" s="38"/>
    </row>
    <row r="50285">
      <c r="P50285" s="42"/>
      <c r="AB50285" s="38"/>
    </row>
    <row r="50286">
      <c r="P50286" s="42"/>
      <c r="AB50286" s="38"/>
    </row>
    <row r="50287">
      <c r="P50287" s="42"/>
      <c r="AB50287" s="38"/>
    </row>
    <row r="50288">
      <c r="P50288" s="42"/>
      <c r="AB50288" s="38"/>
    </row>
    <row r="50289">
      <c r="P50289" s="42"/>
      <c r="AB50289" s="38"/>
    </row>
    <row r="50290">
      <c r="P50290" s="42"/>
      <c r="AB50290" s="38"/>
    </row>
    <row r="50291">
      <c r="P50291" s="42"/>
      <c r="AB50291" s="38"/>
    </row>
    <row r="50292">
      <c r="P50292" s="42"/>
      <c r="AB50292" s="38"/>
    </row>
    <row r="50293">
      <c r="P50293" s="42"/>
      <c r="AB50293" s="38"/>
    </row>
    <row r="50294">
      <c r="P50294" s="42"/>
      <c r="AB50294" s="38"/>
    </row>
    <row r="50295">
      <c r="P50295" s="42"/>
      <c r="AB50295" s="38"/>
    </row>
    <row r="50296">
      <c r="P50296" s="42"/>
      <c r="AB50296" s="38"/>
    </row>
    <row r="50297">
      <c r="P50297" s="42"/>
      <c r="AB50297" s="38"/>
    </row>
    <row r="50298">
      <c r="P50298" s="42"/>
      <c r="AB50298" s="38"/>
    </row>
    <row r="50299">
      <c r="P50299" s="42"/>
      <c r="AB50299" s="38"/>
    </row>
    <row r="50300">
      <c r="P50300" s="42"/>
      <c r="AB50300" s="38"/>
    </row>
    <row r="50301">
      <c r="P50301" s="42"/>
      <c r="AB50301" s="38"/>
    </row>
    <row r="50302">
      <c r="P50302" s="42"/>
      <c r="AB50302" s="38"/>
    </row>
    <row r="50303">
      <c r="P50303" s="42"/>
      <c r="AB50303" s="38"/>
    </row>
    <row r="50304">
      <c r="P50304" s="42"/>
      <c r="AB50304" s="38"/>
    </row>
    <row r="50305">
      <c r="P50305" s="42"/>
      <c r="AB50305" s="38"/>
    </row>
    <row r="50306">
      <c r="P50306" s="42"/>
      <c r="AB50306" s="38"/>
    </row>
    <row r="50307">
      <c r="P50307" s="42"/>
      <c r="AB50307" s="38"/>
    </row>
    <row r="50308">
      <c r="P50308" s="42"/>
      <c r="AB50308" s="38"/>
    </row>
    <row r="50309">
      <c r="P50309" s="42"/>
      <c r="AB50309" s="38"/>
    </row>
    <row r="50310">
      <c r="P50310" s="42"/>
      <c r="AB50310" s="38"/>
    </row>
    <row r="50311">
      <c r="P50311" s="42"/>
      <c r="AB50311" s="38"/>
    </row>
    <row r="50312">
      <c r="P50312" s="42"/>
      <c r="AB50312" s="38"/>
    </row>
    <row r="50313">
      <c r="P50313" s="42"/>
      <c r="AB50313" s="38"/>
    </row>
    <row r="50314">
      <c r="P50314" s="42"/>
      <c r="AB50314" s="38"/>
    </row>
    <row r="50315">
      <c r="P50315" s="42"/>
      <c r="AB50315" s="38"/>
    </row>
    <row r="50316">
      <c r="P50316" s="42"/>
      <c r="AB50316" s="38"/>
    </row>
    <row r="50317">
      <c r="P50317" s="42"/>
      <c r="AB50317" s="38"/>
    </row>
    <row r="50318">
      <c r="P50318" s="42"/>
      <c r="AB50318" s="38"/>
    </row>
    <row r="50319">
      <c r="P50319" s="42"/>
      <c r="AB50319" s="38"/>
    </row>
    <row r="50320">
      <c r="P50320" s="42"/>
      <c r="AB50320" s="38"/>
    </row>
    <row r="50321">
      <c r="P50321" s="42"/>
      <c r="AB50321" s="38"/>
    </row>
    <row r="50322">
      <c r="P50322" s="42"/>
      <c r="AB50322" s="38"/>
    </row>
    <row r="50323">
      <c r="P50323" s="42"/>
      <c r="AB50323" s="38"/>
    </row>
    <row r="50324">
      <c r="P50324" s="42"/>
      <c r="AB50324" s="38"/>
    </row>
    <row r="50325">
      <c r="P50325" s="42"/>
      <c r="AB50325" s="38"/>
    </row>
    <row r="50326">
      <c r="P50326" s="42"/>
      <c r="AB50326" s="38"/>
    </row>
    <row r="50327">
      <c r="P50327" s="42"/>
      <c r="AB50327" s="38"/>
    </row>
    <row r="50328">
      <c r="P50328" s="42"/>
      <c r="AB50328" s="38"/>
    </row>
    <row r="50329">
      <c r="P50329" s="42"/>
      <c r="AB50329" s="38"/>
    </row>
    <row r="50330">
      <c r="P50330" s="42"/>
      <c r="AB50330" s="38"/>
    </row>
    <row r="50331">
      <c r="P50331" s="42"/>
      <c r="AB50331" s="38"/>
    </row>
    <row r="50332">
      <c r="P50332" s="42"/>
      <c r="AB50332" s="38"/>
    </row>
    <row r="50333">
      <c r="P50333" s="42"/>
      <c r="AB50333" s="38"/>
    </row>
    <row r="50334">
      <c r="P50334" s="42"/>
      <c r="AB50334" s="38"/>
    </row>
    <row r="50335">
      <c r="P50335" s="42"/>
      <c r="AB50335" s="38"/>
    </row>
    <row r="50336">
      <c r="P50336" s="42"/>
      <c r="AB50336" s="38"/>
    </row>
    <row r="50337">
      <c r="P50337" s="42"/>
      <c r="AB50337" s="38"/>
    </row>
    <row r="50338">
      <c r="P50338" s="42"/>
      <c r="AB50338" s="38"/>
    </row>
    <row r="50339">
      <c r="P50339" s="42"/>
      <c r="AB50339" s="38"/>
    </row>
    <row r="50340">
      <c r="P50340" s="42"/>
      <c r="AB50340" s="38"/>
    </row>
    <row r="50341">
      <c r="P50341" s="42"/>
      <c r="AB50341" s="38"/>
    </row>
    <row r="50342">
      <c r="P50342" s="42"/>
      <c r="AB50342" s="38"/>
    </row>
    <row r="50343">
      <c r="P50343" s="42"/>
      <c r="AB50343" s="38"/>
    </row>
    <row r="50344">
      <c r="P50344" s="42"/>
      <c r="AB50344" s="38"/>
    </row>
    <row r="50345">
      <c r="P50345" s="42"/>
      <c r="AB50345" s="38"/>
    </row>
    <row r="50346">
      <c r="P50346" s="42"/>
      <c r="AB50346" s="38"/>
    </row>
    <row r="50347">
      <c r="P50347" s="42"/>
      <c r="AB50347" s="38"/>
    </row>
    <row r="50348">
      <c r="P50348" s="42"/>
      <c r="AB50348" s="38"/>
    </row>
    <row r="50349">
      <c r="P50349" s="42"/>
      <c r="AB50349" s="38"/>
    </row>
    <row r="50350">
      <c r="P50350" s="42"/>
      <c r="AB50350" s="38"/>
    </row>
    <row r="50351">
      <c r="P50351" s="42"/>
      <c r="AB50351" s="38"/>
    </row>
    <row r="50352">
      <c r="P50352" s="42"/>
      <c r="AB50352" s="38"/>
    </row>
    <row r="50353">
      <c r="P50353" s="42"/>
      <c r="AB50353" s="38"/>
    </row>
    <row r="50354">
      <c r="P50354" s="42"/>
      <c r="AB50354" s="38"/>
    </row>
    <row r="50355">
      <c r="P50355" s="42"/>
      <c r="AB50355" s="38"/>
    </row>
    <row r="50356">
      <c r="P50356" s="42"/>
      <c r="AB50356" s="38"/>
    </row>
    <row r="50357">
      <c r="P50357" s="42"/>
      <c r="AB50357" s="38"/>
    </row>
    <row r="50358">
      <c r="P50358" s="42"/>
      <c r="AB50358" s="38"/>
    </row>
    <row r="50359">
      <c r="P50359" s="42"/>
      <c r="AB50359" s="38"/>
    </row>
    <row r="50360">
      <c r="P50360" s="42"/>
      <c r="AB50360" s="38"/>
    </row>
    <row r="50361">
      <c r="P50361" s="42"/>
      <c r="AB50361" s="38"/>
    </row>
    <row r="50362">
      <c r="P50362" s="42"/>
      <c r="AB50362" s="38"/>
    </row>
    <row r="50363">
      <c r="P50363" s="42"/>
      <c r="AB50363" s="38"/>
    </row>
    <row r="50364">
      <c r="P50364" s="42"/>
      <c r="AB50364" s="38"/>
    </row>
    <row r="50365">
      <c r="P50365" s="42"/>
      <c r="AB50365" s="38"/>
    </row>
    <row r="50366">
      <c r="P50366" s="42"/>
      <c r="AB50366" s="38"/>
    </row>
    <row r="50367">
      <c r="P50367" s="42"/>
      <c r="AB50367" s="38"/>
    </row>
    <row r="50368">
      <c r="P50368" s="42"/>
      <c r="AB50368" s="38"/>
    </row>
    <row r="50369">
      <c r="P50369" s="42"/>
      <c r="AB50369" s="38"/>
    </row>
    <row r="50370">
      <c r="P50370" s="42"/>
      <c r="AB50370" s="38"/>
    </row>
    <row r="50371">
      <c r="P50371" s="42"/>
      <c r="AB50371" s="38"/>
    </row>
    <row r="50372">
      <c r="P50372" s="42"/>
      <c r="AB50372" s="38"/>
    </row>
    <row r="50373">
      <c r="P50373" s="42"/>
      <c r="AB50373" s="38"/>
    </row>
    <row r="50374">
      <c r="P50374" s="42"/>
      <c r="AB50374" s="38"/>
    </row>
    <row r="50375">
      <c r="P50375" s="42"/>
      <c r="AB50375" s="38"/>
    </row>
    <row r="50376">
      <c r="P50376" s="42"/>
      <c r="AB50376" s="38"/>
    </row>
    <row r="50377">
      <c r="P50377" s="42"/>
      <c r="AB50377" s="38"/>
    </row>
    <row r="50378">
      <c r="P50378" s="42"/>
      <c r="AB50378" s="38"/>
    </row>
    <row r="50379">
      <c r="P50379" s="42"/>
      <c r="AB50379" s="38"/>
    </row>
    <row r="50380">
      <c r="P50380" s="42"/>
      <c r="AB50380" s="38"/>
    </row>
    <row r="50381">
      <c r="P50381" s="42"/>
      <c r="AB50381" s="38"/>
    </row>
    <row r="50382">
      <c r="P50382" s="42"/>
      <c r="AB50382" s="38"/>
    </row>
    <row r="50383">
      <c r="P50383" s="42"/>
      <c r="AB50383" s="38"/>
    </row>
    <row r="50384">
      <c r="P50384" s="42"/>
      <c r="AB50384" s="38"/>
    </row>
    <row r="50385">
      <c r="P50385" s="42"/>
      <c r="AB50385" s="38"/>
    </row>
    <row r="50386">
      <c r="P50386" s="42"/>
      <c r="AB50386" s="38"/>
    </row>
    <row r="50387">
      <c r="P50387" s="42"/>
      <c r="AB50387" s="38"/>
    </row>
    <row r="50388">
      <c r="P50388" s="42"/>
      <c r="AB50388" s="38"/>
    </row>
    <row r="50389">
      <c r="P50389" s="42"/>
      <c r="AB50389" s="38"/>
    </row>
    <row r="50390">
      <c r="P50390" s="42"/>
      <c r="AB50390" s="38"/>
    </row>
    <row r="50391">
      <c r="P50391" s="42"/>
      <c r="AB50391" s="38"/>
    </row>
    <row r="50392">
      <c r="P50392" s="42"/>
      <c r="AB50392" s="38"/>
    </row>
    <row r="50393">
      <c r="P50393" s="42"/>
      <c r="AB50393" s="38"/>
    </row>
    <row r="50394">
      <c r="P50394" s="42"/>
      <c r="AB50394" s="38"/>
    </row>
    <row r="50395">
      <c r="P50395" s="42"/>
      <c r="AB50395" s="38"/>
    </row>
    <row r="50396">
      <c r="P50396" s="42"/>
      <c r="AB50396" s="38"/>
    </row>
    <row r="50397">
      <c r="P50397" s="42"/>
      <c r="AB50397" s="38"/>
    </row>
    <row r="50398">
      <c r="P50398" s="42"/>
      <c r="AB50398" s="38"/>
    </row>
    <row r="50399">
      <c r="P50399" s="42"/>
      <c r="AB50399" s="38"/>
    </row>
    <row r="50400">
      <c r="P50400" s="42"/>
      <c r="AB50400" s="38"/>
    </row>
    <row r="50401">
      <c r="P50401" s="42"/>
      <c r="AB50401" s="38"/>
    </row>
    <row r="50402">
      <c r="P50402" s="42"/>
      <c r="AB50402" s="38"/>
    </row>
    <row r="50403">
      <c r="P50403" s="42"/>
      <c r="AB50403" s="38"/>
    </row>
    <row r="50404">
      <c r="P50404" s="42"/>
      <c r="AB50404" s="38"/>
    </row>
    <row r="50405">
      <c r="P50405" s="42"/>
      <c r="AB50405" s="38"/>
    </row>
    <row r="50406">
      <c r="P50406" s="42"/>
      <c r="AB50406" s="38"/>
    </row>
    <row r="50407">
      <c r="P50407" s="42"/>
      <c r="AB50407" s="38"/>
    </row>
    <row r="50408">
      <c r="P50408" s="42"/>
      <c r="AB50408" s="38"/>
    </row>
    <row r="50409">
      <c r="P50409" s="42"/>
      <c r="AB50409" s="38"/>
    </row>
    <row r="50410">
      <c r="P50410" s="42"/>
      <c r="AB50410" s="38"/>
    </row>
    <row r="50411">
      <c r="P50411" s="42"/>
      <c r="AB50411" s="38"/>
    </row>
    <row r="50412">
      <c r="P50412" s="42"/>
      <c r="AB50412" s="38"/>
    </row>
    <row r="50413">
      <c r="P50413" s="42"/>
      <c r="AB50413" s="38"/>
    </row>
    <row r="50414">
      <c r="P50414" s="42"/>
      <c r="AB50414" s="38"/>
    </row>
    <row r="50415">
      <c r="P50415" s="42"/>
      <c r="AB50415" s="38"/>
    </row>
    <row r="50416">
      <c r="P50416" s="42"/>
      <c r="AB50416" s="38"/>
    </row>
    <row r="50417">
      <c r="P50417" s="42"/>
      <c r="AB50417" s="38"/>
    </row>
    <row r="50418">
      <c r="P50418" s="42"/>
      <c r="AB50418" s="38"/>
    </row>
    <row r="50419">
      <c r="P50419" s="42"/>
      <c r="AB50419" s="38"/>
    </row>
    <row r="50420">
      <c r="P50420" s="42"/>
      <c r="AB50420" s="38"/>
    </row>
    <row r="50421">
      <c r="P50421" s="42"/>
      <c r="AB50421" s="38"/>
    </row>
    <row r="50422">
      <c r="P50422" s="42"/>
      <c r="AB50422" s="38"/>
    </row>
    <row r="50423">
      <c r="P50423" s="42"/>
      <c r="AB50423" s="38"/>
    </row>
    <row r="50424">
      <c r="P50424" s="42"/>
      <c r="AB50424" s="38"/>
    </row>
    <row r="50425">
      <c r="P50425" s="42"/>
      <c r="AB50425" s="38"/>
    </row>
    <row r="50426">
      <c r="P50426" s="42"/>
      <c r="AB50426" s="38"/>
    </row>
    <row r="50427">
      <c r="P50427" s="42"/>
      <c r="AB50427" s="38"/>
    </row>
    <row r="50428">
      <c r="P50428" s="42"/>
      <c r="AB50428" s="38"/>
    </row>
    <row r="50429">
      <c r="P50429" s="42"/>
      <c r="AB50429" s="38"/>
    </row>
    <row r="50430">
      <c r="P50430" s="42"/>
      <c r="AB50430" s="38"/>
    </row>
    <row r="50431">
      <c r="P50431" s="42"/>
      <c r="AB50431" s="38"/>
    </row>
    <row r="50432">
      <c r="P50432" s="42"/>
      <c r="AB50432" s="38"/>
    </row>
    <row r="50433">
      <c r="P50433" s="42"/>
      <c r="AB50433" s="38"/>
    </row>
    <row r="50434">
      <c r="P50434" s="42"/>
      <c r="AB50434" s="38"/>
    </row>
    <row r="50435">
      <c r="P50435" s="42"/>
      <c r="AB50435" s="38"/>
    </row>
    <row r="50436">
      <c r="P50436" s="42"/>
      <c r="AB50436" s="38"/>
    </row>
    <row r="50437">
      <c r="P50437" s="42"/>
      <c r="AB50437" s="38"/>
    </row>
    <row r="50438">
      <c r="P50438" s="42"/>
      <c r="AB50438" s="38"/>
    </row>
    <row r="50439">
      <c r="P50439" s="42"/>
      <c r="AB50439" s="38"/>
    </row>
    <row r="50440">
      <c r="P50440" s="42"/>
      <c r="AB50440" s="38"/>
    </row>
    <row r="50441">
      <c r="P50441" s="42"/>
      <c r="AB50441" s="38"/>
    </row>
    <row r="50442">
      <c r="P50442" s="42"/>
      <c r="AB50442" s="38"/>
    </row>
    <row r="50443">
      <c r="P50443" s="42"/>
      <c r="AB50443" s="38"/>
    </row>
    <row r="50444">
      <c r="P50444" s="42"/>
      <c r="AB50444" s="38"/>
    </row>
    <row r="50445">
      <c r="P50445" s="42"/>
      <c r="AB50445" s="38"/>
    </row>
    <row r="50446">
      <c r="P50446" s="42"/>
      <c r="AB50446" s="38"/>
    </row>
    <row r="50447">
      <c r="P50447" s="42"/>
      <c r="AB50447" s="38"/>
    </row>
    <row r="50448">
      <c r="P50448" s="42"/>
      <c r="AB50448" s="38"/>
    </row>
    <row r="50449">
      <c r="P50449" s="42"/>
      <c r="AB50449" s="38"/>
    </row>
    <row r="50450">
      <c r="P50450" s="42"/>
      <c r="AB50450" s="38"/>
    </row>
    <row r="50451">
      <c r="P50451" s="42"/>
      <c r="AB50451" s="38"/>
    </row>
    <row r="50452">
      <c r="P50452" s="42"/>
      <c r="AB50452" s="38"/>
    </row>
    <row r="50453">
      <c r="P50453" s="42"/>
      <c r="AB50453" s="38"/>
    </row>
    <row r="50454">
      <c r="P50454" s="42"/>
      <c r="AB50454" s="38"/>
    </row>
    <row r="50455">
      <c r="P50455" s="42"/>
      <c r="AB50455" s="38"/>
    </row>
    <row r="50456">
      <c r="P50456" s="42"/>
      <c r="AB50456" s="38"/>
    </row>
    <row r="50457">
      <c r="P50457" s="42"/>
      <c r="AB50457" s="38"/>
    </row>
    <row r="50458">
      <c r="P50458" s="42"/>
      <c r="AB50458" s="38"/>
    </row>
    <row r="50459">
      <c r="P50459" s="42"/>
      <c r="AB50459" s="38"/>
    </row>
    <row r="50460">
      <c r="P50460" s="42"/>
      <c r="AB50460" s="38"/>
    </row>
    <row r="50461">
      <c r="P50461" s="42"/>
      <c r="AB50461" s="38"/>
    </row>
    <row r="50462">
      <c r="P50462" s="42"/>
      <c r="AB50462" s="38"/>
    </row>
    <row r="50463">
      <c r="P50463" s="42"/>
      <c r="AB50463" s="38"/>
    </row>
    <row r="50464">
      <c r="P50464" s="42"/>
      <c r="AB50464" s="38"/>
    </row>
    <row r="50465">
      <c r="P50465" s="42"/>
      <c r="AB50465" s="38"/>
    </row>
    <row r="50466">
      <c r="P50466" s="42"/>
      <c r="AB50466" s="38"/>
    </row>
    <row r="50467">
      <c r="P50467" s="42"/>
      <c r="AB50467" s="38"/>
    </row>
    <row r="50468">
      <c r="P50468" s="42"/>
      <c r="AB50468" s="38"/>
    </row>
    <row r="50469">
      <c r="P50469" s="42"/>
      <c r="AB50469" s="38"/>
    </row>
    <row r="50470">
      <c r="P50470" s="42"/>
      <c r="AB50470" s="38"/>
    </row>
    <row r="50471">
      <c r="P50471" s="42"/>
      <c r="AB50471" s="38"/>
    </row>
    <row r="50472">
      <c r="P50472" s="42"/>
      <c r="AB50472" s="38"/>
    </row>
    <row r="50473">
      <c r="P50473" s="42"/>
      <c r="AB50473" s="38"/>
    </row>
    <row r="50474">
      <c r="P50474" s="42"/>
      <c r="AB50474" s="38"/>
    </row>
    <row r="50475">
      <c r="P50475" s="42"/>
      <c r="AB50475" s="38"/>
    </row>
    <row r="50476">
      <c r="P50476" s="42"/>
      <c r="AB50476" s="38"/>
    </row>
    <row r="50477">
      <c r="P50477" s="42"/>
      <c r="AB50477" s="38"/>
    </row>
    <row r="50478">
      <c r="P50478" s="42"/>
      <c r="AB50478" s="38"/>
    </row>
    <row r="50479">
      <c r="P50479" s="42"/>
      <c r="AB50479" s="38"/>
    </row>
    <row r="50480">
      <c r="P50480" s="42"/>
      <c r="AB50480" s="38"/>
    </row>
    <row r="50481">
      <c r="P50481" s="42"/>
      <c r="AB50481" s="38"/>
    </row>
    <row r="50482">
      <c r="P50482" s="42"/>
      <c r="AB50482" s="38"/>
    </row>
    <row r="50483">
      <c r="P50483" s="42"/>
      <c r="AB50483" s="38"/>
    </row>
    <row r="50484">
      <c r="P50484" s="42"/>
      <c r="AB50484" s="38"/>
    </row>
    <row r="50485">
      <c r="P50485" s="42"/>
      <c r="AB50485" s="38"/>
    </row>
    <row r="50486">
      <c r="P50486" s="42"/>
      <c r="AB50486" s="38"/>
    </row>
    <row r="50487">
      <c r="P50487" s="42"/>
      <c r="AB50487" s="38"/>
    </row>
    <row r="50488">
      <c r="P50488" s="42"/>
      <c r="AB50488" s="38"/>
    </row>
    <row r="50489">
      <c r="P50489" s="42"/>
      <c r="AB50489" s="38"/>
    </row>
    <row r="50490">
      <c r="P50490" s="42"/>
      <c r="AB50490" s="38"/>
    </row>
    <row r="50491">
      <c r="P50491" s="42"/>
      <c r="AB50491" s="38"/>
    </row>
    <row r="50492">
      <c r="P50492" s="42"/>
      <c r="AB50492" s="38"/>
    </row>
    <row r="50493">
      <c r="P50493" s="42"/>
      <c r="AB50493" s="38"/>
    </row>
    <row r="50494">
      <c r="P50494" s="42"/>
      <c r="AB50494" s="38"/>
    </row>
    <row r="50495">
      <c r="P50495" s="42"/>
      <c r="AB50495" s="38"/>
    </row>
    <row r="50496">
      <c r="P50496" s="42"/>
      <c r="AB50496" s="38"/>
    </row>
    <row r="50497">
      <c r="P50497" s="42"/>
      <c r="AB50497" s="38"/>
    </row>
    <row r="50498">
      <c r="P50498" s="42"/>
      <c r="AB50498" s="38"/>
    </row>
    <row r="50499">
      <c r="P50499" s="42"/>
      <c r="AB50499" s="38"/>
    </row>
    <row r="50500">
      <c r="P50500" s="47"/>
      <c r="Q50500" s="48"/>
      <c r="R50500" s="48"/>
      <c r="S50500" s="48"/>
      <c r="T50500" s="48"/>
      <c r="U50500" s="48"/>
      <c r="V50500" s="48"/>
      <c r="W50500" s="48"/>
      <c r="X50500" s="48"/>
      <c r="Y50500" s="48"/>
      <c r="Z50500" s="48"/>
      <c r="AA50500" s="48"/>
      <c r="AB50500" s="49"/>
    </row>
  </sheetData>
  <hyperlinks>
    <hyperlink r:id="rId1" ref="V15"/>
    <hyperlink r:id="rId2" ref="W17"/>
    <hyperlink r:id="rId3" ref="P18"/>
    <hyperlink r:id="rId4" ref="Q27"/>
    <hyperlink r:id="rId5" ref="A57"/>
    <hyperlink r:id="rId6" ref="P78"/>
    <hyperlink r:id="rId7" ref="P140"/>
    <hyperlink r:id="rId8" ref="Q144"/>
    <hyperlink r:id="rId9" ref="Q233"/>
    <hyperlink r:id="rId10" ref="Q259"/>
    <hyperlink r:id="rId11" ref="P260"/>
    <hyperlink r:id="rId12" ref="P391"/>
    <hyperlink r:id="rId13" ref="A415"/>
    <hyperlink r:id="rId14" ref="P438"/>
    <hyperlink r:id="rId15" ref="A483"/>
    <hyperlink r:id="rId16" ref="P523"/>
    <hyperlink r:id="rId17" ref="A714"/>
    <hyperlink r:id="rId18" ref="A806"/>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34" t="s">
        <v>4454</v>
      </c>
    </row>
    <row r="2">
      <c r="A2" s="41" t="s">
        <v>4455</v>
      </c>
    </row>
    <row r="3">
      <c r="A3" s="41" t="s">
        <v>1436</v>
      </c>
    </row>
    <row r="4">
      <c r="A4" s="41" t="s">
        <v>4456</v>
      </c>
    </row>
    <row r="5">
      <c r="A5" s="41" t="s">
        <v>4311</v>
      </c>
    </row>
    <row r="6">
      <c r="A6" s="41" t="s">
        <v>4457</v>
      </c>
    </row>
    <row r="7">
      <c r="A7" s="41" t="s">
        <v>4458</v>
      </c>
    </row>
    <row r="8">
      <c r="A8" s="41" t="s">
        <v>4340</v>
      </c>
    </row>
    <row r="9">
      <c r="A9" s="41" t="s">
        <v>4459</v>
      </c>
    </row>
    <row r="10">
      <c r="A10" s="41" t="s">
        <v>4460</v>
      </c>
    </row>
    <row r="11">
      <c r="A11" s="41" t="s">
        <v>4461</v>
      </c>
    </row>
    <row r="12">
      <c r="A12" s="41" t="s">
        <v>4462</v>
      </c>
    </row>
    <row r="13">
      <c r="A13" s="41" t="s">
        <v>1132</v>
      </c>
    </row>
    <row r="14">
      <c r="A14" s="41" t="s">
        <v>3955</v>
      </c>
    </row>
    <row r="15">
      <c r="A15" s="41" t="s">
        <v>4463</v>
      </c>
    </row>
    <row r="16">
      <c r="A16" s="41" t="s">
        <v>4464</v>
      </c>
    </row>
    <row r="17">
      <c r="A17" s="41" t="s">
        <v>4465</v>
      </c>
    </row>
    <row r="18">
      <c r="A18" s="41" t="s">
        <v>4466</v>
      </c>
    </row>
    <row r="19">
      <c r="A19" s="41" t="s">
        <v>4467</v>
      </c>
    </row>
    <row r="20">
      <c r="A20" s="41" t="s">
        <v>4204</v>
      </c>
    </row>
    <row r="21">
      <c r="A21" s="41" t="s">
        <v>4468</v>
      </c>
    </row>
    <row r="22">
      <c r="A22" s="41" t="s">
        <v>4469</v>
      </c>
    </row>
    <row r="23">
      <c r="A23" s="41" t="s">
        <v>4461</v>
      </c>
    </row>
    <row r="24">
      <c r="A24" s="41" t="s">
        <v>4470</v>
      </c>
    </row>
    <row r="25">
      <c r="A25" s="41" t="s">
        <v>4252</v>
      </c>
    </row>
    <row r="26">
      <c r="A26" s="41" t="s">
        <v>4300</v>
      </c>
    </row>
    <row r="27">
      <c r="A27" s="41" t="s">
        <v>4387</v>
      </c>
    </row>
    <row r="28">
      <c r="A28" s="41" t="s">
        <v>4471</v>
      </c>
    </row>
    <row r="29">
      <c r="A29" s="41" t="s">
        <v>4472</v>
      </c>
    </row>
    <row r="30">
      <c r="A30" s="41" t="s">
        <v>4458</v>
      </c>
    </row>
    <row r="31">
      <c r="A31" s="41" t="s">
        <v>4473</v>
      </c>
    </row>
    <row r="32">
      <c r="A32" s="41" t="s">
        <v>4474</v>
      </c>
    </row>
    <row r="33">
      <c r="A33" s="41" t="s">
        <v>4475</v>
      </c>
    </row>
    <row r="34">
      <c r="A34" s="41" t="s">
        <v>4476</v>
      </c>
    </row>
    <row r="35">
      <c r="A35" s="41" t="s">
        <v>4477</v>
      </c>
    </row>
    <row r="36">
      <c r="A36" s="41" t="s">
        <v>384</v>
      </c>
    </row>
    <row r="37">
      <c r="A37" s="41" t="s">
        <v>4478</v>
      </c>
    </row>
    <row r="38">
      <c r="A38" s="41" t="s">
        <v>4479</v>
      </c>
    </row>
    <row r="39">
      <c r="A39" s="41" t="s">
        <v>4480</v>
      </c>
    </row>
    <row r="40">
      <c r="A40" s="41" t="s">
        <v>4481</v>
      </c>
    </row>
    <row r="41">
      <c r="A41" s="41" t="s">
        <v>4482</v>
      </c>
    </row>
    <row r="42">
      <c r="A42" s="41" t="s">
        <v>4483</v>
      </c>
    </row>
    <row r="43">
      <c r="A43" s="41" t="s">
        <v>4484</v>
      </c>
    </row>
    <row r="44">
      <c r="A44" s="41" t="s">
        <v>4485</v>
      </c>
    </row>
    <row r="45">
      <c r="A45" s="41" t="s">
        <v>4486</v>
      </c>
    </row>
    <row r="46">
      <c r="A46" s="41" t="s">
        <v>4471</v>
      </c>
    </row>
    <row r="47">
      <c r="A47" s="41" t="s">
        <v>1483</v>
      </c>
    </row>
    <row r="48">
      <c r="A48" s="41" t="s">
        <v>4487</v>
      </c>
    </row>
    <row r="49">
      <c r="A49" s="41" t="s">
        <v>4421</v>
      </c>
    </row>
    <row r="50">
      <c r="A50" s="41" t="s">
        <v>4488</v>
      </c>
    </row>
    <row r="51">
      <c r="A51" s="41" t="s">
        <v>4489</v>
      </c>
    </row>
    <row r="52">
      <c r="A52" s="41" t="s">
        <v>4490</v>
      </c>
    </row>
    <row r="53">
      <c r="A53" s="41" t="s">
        <v>4491</v>
      </c>
    </row>
    <row r="54">
      <c r="A54" s="41" t="s">
        <v>4492</v>
      </c>
    </row>
    <row r="55">
      <c r="A55" s="41" t="s">
        <v>1797</v>
      </c>
    </row>
    <row r="56">
      <c r="A56" s="41" t="s">
        <v>4464</v>
      </c>
    </row>
    <row r="57">
      <c r="A57" s="41" t="s">
        <v>4493</v>
      </c>
    </row>
    <row r="58">
      <c r="A58" s="41" t="s">
        <v>4494</v>
      </c>
    </row>
    <row r="59">
      <c r="A59" s="41" t="s">
        <v>4474</v>
      </c>
    </row>
    <row r="60">
      <c r="A60" s="41" t="s">
        <v>4495</v>
      </c>
    </row>
    <row r="61">
      <c r="A61" s="41" t="s">
        <v>4207</v>
      </c>
    </row>
    <row r="62">
      <c r="A62" s="41" t="s">
        <v>4496</v>
      </c>
    </row>
    <row r="63">
      <c r="A63" s="41" t="s">
        <v>384</v>
      </c>
    </row>
    <row r="64">
      <c r="A64" s="41" t="s">
        <v>4497</v>
      </c>
    </row>
    <row r="65">
      <c r="A65" s="41" t="s">
        <v>1378</v>
      </c>
    </row>
    <row r="66">
      <c r="A66" s="41" t="s">
        <v>4462</v>
      </c>
    </row>
    <row r="67">
      <c r="A67" s="41" t="s">
        <v>4498</v>
      </c>
    </row>
    <row r="68">
      <c r="A68" s="41" t="s">
        <v>4488</v>
      </c>
    </row>
    <row r="69">
      <c r="A69" s="41" t="s">
        <v>4499</v>
      </c>
    </row>
    <row r="70">
      <c r="A70" s="41" t="s">
        <v>4421</v>
      </c>
    </row>
    <row r="71">
      <c r="A71" s="41" t="s">
        <v>4500</v>
      </c>
    </row>
    <row r="72">
      <c r="A72" s="41" t="s">
        <v>1436</v>
      </c>
    </row>
    <row r="73">
      <c r="A73" s="41" t="s">
        <v>4501</v>
      </c>
    </row>
    <row r="74">
      <c r="A74" s="41" t="s">
        <v>4502</v>
      </c>
    </row>
    <row r="75">
      <c r="A75" s="41" t="s">
        <v>4243</v>
      </c>
    </row>
    <row r="76">
      <c r="A76" s="41" t="s">
        <v>4204</v>
      </c>
    </row>
    <row r="77">
      <c r="A77" s="41" t="s">
        <v>1132</v>
      </c>
    </row>
    <row r="78">
      <c r="A78" s="41" t="s">
        <v>4252</v>
      </c>
    </row>
    <row r="79">
      <c r="A79" s="41" t="s">
        <v>4259</v>
      </c>
    </row>
    <row r="80">
      <c r="A80" s="41" t="s">
        <v>4503</v>
      </c>
    </row>
    <row r="81">
      <c r="A81" s="41" t="s">
        <v>1066</v>
      </c>
    </row>
    <row r="82">
      <c r="A82" s="41" t="s">
        <v>4504</v>
      </c>
    </row>
    <row r="83">
      <c r="A83" s="41" t="s">
        <v>4505</v>
      </c>
    </row>
    <row r="84">
      <c r="A84" s="41" t="s">
        <v>4506</v>
      </c>
    </row>
    <row r="85">
      <c r="A85" s="41" t="s">
        <v>4420</v>
      </c>
    </row>
    <row r="86">
      <c r="A86" s="41" t="s">
        <v>4461</v>
      </c>
    </row>
    <row r="87">
      <c r="A87" s="41" t="s">
        <v>405</v>
      </c>
    </row>
    <row r="88">
      <c r="A88" s="41" t="s">
        <v>4428</v>
      </c>
    </row>
    <row r="89">
      <c r="A89" s="41" t="s">
        <v>4507</v>
      </c>
    </row>
    <row r="90">
      <c r="A90" s="41" t="s">
        <v>4508</v>
      </c>
    </row>
    <row r="91">
      <c r="A91" s="41" t="s">
        <v>1378</v>
      </c>
    </row>
    <row r="92">
      <c r="A92" s="41" t="s">
        <v>4472</v>
      </c>
    </row>
    <row r="93">
      <c r="A93" s="41" t="s">
        <v>4502</v>
      </c>
    </row>
    <row r="94">
      <c r="A94" s="41" t="s">
        <v>4509</v>
      </c>
    </row>
    <row r="95">
      <c r="A95" s="41" t="s">
        <v>4016</v>
      </c>
    </row>
    <row r="96">
      <c r="A96" s="41" t="s">
        <v>4016</v>
      </c>
    </row>
    <row r="97">
      <c r="A97" s="41" t="s">
        <v>1066</v>
      </c>
    </row>
    <row r="98">
      <c r="A98" s="41" t="s">
        <v>4510</v>
      </c>
    </row>
    <row r="99">
      <c r="A99" s="41" t="s">
        <v>4511</v>
      </c>
    </row>
    <row r="100">
      <c r="A100" s="41" t="s">
        <v>4408</v>
      </c>
    </row>
    <row r="101">
      <c r="A101" s="41" t="s">
        <v>4512</v>
      </c>
    </row>
    <row r="102">
      <c r="A102" s="41" t="s">
        <v>196</v>
      </c>
    </row>
    <row r="103">
      <c r="A103" s="41" t="s">
        <v>4513</v>
      </c>
    </row>
    <row r="104">
      <c r="A104" s="41" t="s">
        <v>4514</v>
      </c>
    </row>
    <row r="105">
      <c r="A105" s="41" t="s">
        <v>4506</v>
      </c>
    </row>
    <row r="106">
      <c r="A106" s="41" t="s">
        <v>4515</v>
      </c>
    </row>
    <row r="107">
      <c r="A107" s="41" t="s">
        <v>4516</v>
      </c>
    </row>
    <row r="108">
      <c r="A108" s="41" t="s">
        <v>508</v>
      </c>
    </row>
    <row r="109">
      <c r="A109" s="41" t="s">
        <v>740</v>
      </c>
    </row>
    <row r="110">
      <c r="A110" s="41" t="s">
        <v>4504</v>
      </c>
    </row>
    <row r="111">
      <c r="A111" s="41" t="s">
        <v>4517</v>
      </c>
    </row>
    <row r="112">
      <c r="A112" s="41" t="s">
        <v>4252</v>
      </c>
    </row>
    <row r="113">
      <c r="A113" s="41" t="s">
        <v>4518</v>
      </c>
    </row>
    <row r="114">
      <c r="A114" s="41" t="s">
        <v>4519</v>
      </c>
    </row>
    <row r="115">
      <c r="A115" s="41" t="s">
        <v>4520</v>
      </c>
    </row>
    <row r="116">
      <c r="A116" s="41" t="s">
        <v>4460</v>
      </c>
    </row>
    <row r="117">
      <c r="A117" s="41" t="s">
        <v>508</v>
      </c>
    </row>
    <row r="118">
      <c r="A118" s="41" t="s">
        <v>4521</v>
      </c>
    </row>
    <row r="119">
      <c r="A119" s="41" t="s">
        <v>4522</v>
      </c>
    </row>
    <row r="120">
      <c r="A120" s="41" t="s">
        <v>4523</v>
      </c>
    </row>
    <row r="121">
      <c r="A121" s="41" t="s">
        <v>4524</v>
      </c>
    </row>
    <row r="122">
      <c r="A122" s="41" t="s">
        <v>270</v>
      </c>
    </row>
    <row r="123">
      <c r="A123" s="41" t="s">
        <v>4525</v>
      </c>
    </row>
    <row r="124">
      <c r="A124" s="41" t="s">
        <v>1797</v>
      </c>
    </row>
    <row r="125">
      <c r="A125" s="41" t="s">
        <v>4526</v>
      </c>
    </row>
    <row r="126">
      <c r="A126" s="41" t="s">
        <v>196</v>
      </c>
    </row>
    <row r="127">
      <c r="A127" s="41" t="s">
        <v>4527</v>
      </c>
    </row>
    <row r="128">
      <c r="A128" s="41" t="s">
        <v>4426</v>
      </c>
    </row>
    <row r="129">
      <c r="A129" s="41" t="s">
        <v>4335</v>
      </c>
    </row>
    <row r="130">
      <c r="A130" s="41" t="s">
        <v>4528</v>
      </c>
    </row>
    <row r="131">
      <c r="A131" s="41" t="s">
        <v>740</v>
      </c>
    </row>
    <row r="132">
      <c r="A132" s="41" t="s">
        <v>4529</v>
      </c>
    </row>
    <row r="133">
      <c r="A133" s="41" t="s">
        <v>4530</v>
      </c>
    </row>
    <row r="134">
      <c r="A134" s="41" t="s">
        <v>4422</v>
      </c>
    </row>
    <row r="135">
      <c r="A135" s="41" t="s">
        <v>4428</v>
      </c>
    </row>
    <row r="136">
      <c r="A136" s="41" t="s">
        <v>4252</v>
      </c>
    </row>
    <row r="137">
      <c r="A137" s="41" t="s">
        <v>4531</v>
      </c>
    </row>
    <row r="138">
      <c r="A138" s="41" t="s">
        <v>4532</v>
      </c>
    </row>
    <row r="139">
      <c r="A139" s="41" t="s">
        <v>4533</v>
      </c>
    </row>
    <row r="140">
      <c r="A140" s="41" t="s">
        <v>4421</v>
      </c>
    </row>
    <row r="141">
      <c r="A141" s="41" t="s">
        <v>4534</v>
      </c>
    </row>
    <row r="142">
      <c r="A142" s="41" t="s">
        <v>2345</v>
      </c>
    </row>
    <row r="143">
      <c r="A143" s="41" t="s">
        <v>4502</v>
      </c>
    </row>
    <row r="144">
      <c r="A144" s="41" t="s">
        <v>2345</v>
      </c>
    </row>
    <row r="145">
      <c r="A145" s="41" t="s">
        <v>405</v>
      </c>
    </row>
    <row r="146">
      <c r="A146" s="41" t="s">
        <v>4535</v>
      </c>
    </row>
    <row r="147">
      <c r="A147" s="41" t="s">
        <v>1066</v>
      </c>
    </row>
    <row r="148">
      <c r="A148" s="41" t="s">
        <v>4536</v>
      </c>
    </row>
    <row r="149">
      <c r="A149" s="41" t="s">
        <v>4233</v>
      </c>
    </row>
    <row r="150">
      <c r="A150" s="41" t="s">
        <v>4537</v>
      </c>
    </row>
    <row r="151">
      <c r="A151" s="41" t="s">
        <v>4538</v>
      </c>
    </row>
    <row r="152">
      <c r="A152" s="41" t="s">
        <v>4488</v>
      </c>
    </row>
    <row r="153">
      <c r="A153" s="41" t="s">
        <v>740</v>
      </c>
    </row>
    <row r="154">
      <c r="A154" s="41" t="s">
        <v>4408</v>
      </c>
    </row>
    <row r="155">
      <c r="A155" s="41" t="s">
        <v>4539</v>
      </c>
    </row>
    <row r="156">
      <c r="A156" s="41" t="s">
        <v>4518</v>
      </c>
    </row>
    <row r="157">
      <c r="A157" s="41" t="s">
        <v>4421</v>
      </c>
    </row>
    <row r="158">
      <c r="A158" s="41" t="s">
        <v>4540</v>
      </c>
    </row>
    <row r="159">
      <c r="A159" s="41" t="s">
        <v>4541</v>
      </c>
    </row>
    <row r="160">
      <c r="A160" s="41" t="s">
        <v>508</v>
      </c>
    </row>
    <row r="161">
      <c r="A161" s="41" t="s">
        <v>4542</v>
      </c>
    </row>
    <row r="162">
      <c r="A162" s="41" t="s">
        <v>4409</v>
      </c>
    </row>
    <row r="163">
      <c r="A163" s="41" t="s">
        <v>4543</v>
      </c>
    </row>
    <row r="164">
      <c r="A164" s="41" t="s">
        <v>930</v>
      </c>
    </row>
    <row r="165">
      <c r="A165" s="41" t="s">
        <v>4544</v>
      </c>
    </row>
    <row r="166">
      <c r="A166" s="41" t="s">
        <v>4421</v>
      </c>
    </row>
    <row r="167">
      <c r="A167" s="41" t="s">
        <v>4397</v>
      </c>
    </row>
    <row r="168">
      <c r="A168" s="41" t="s">
        <v>384</v>
      </c>
    </row>
    <row r="169">
      <c r="A169" s="41" t="s">
        <v>4501</v>
      </c>
    </row>
    <row r="170">
      <c r="A170" s="41" t="s">
        <v>4545</v>
      </c>
    </row>
    <row r="171">
      <c r="A171" s="41" t="s">
        <v>1066</v>
      </c>
    </row>
    <row r="172">
      <c r="A172" s="41" t="s">
        <v>1132</v>
      </c>
    </row>
    <row r="173">
      <c r="A173" s="41" t="s">
        <v>4546</v>
      </c>
    </row>
    <row r="174">
      <c r="A174" s="41" t="s">
        <v>930</v>
      </c>
    </row>
    <row r="175">
      <c r="A175" s="41" t="s">
        <v>4547</v>
      </c>
    </row>
    <row r="176">
      <c r="A176" s="41" t="s">
        <v>196</v>
      </c>
    </row>
    <row r="177">
      <c r="A177" s="41" t="s">
        <v>4548</v>
      </c>
    </row>
    <row r="178">
      <c r="A178" s="41" t="s">
        <v>1066</v>
      </c>
    </row>
    <row r="179">
      <c r="A179" s="41" t="s">
        <v>4233</v>
      </c>
    </row>
    <row r="180">
      <c r="A180" s="41" t="s">
        <v>4549</v>
      </c>
    </row>
    <row r="181">
      <c r="A181" s="41" t="s">
        <v>4472</v>
      </c>
    </row>
    <row r="182">
      <c r="A182" s="41" t="s">
        <v>1066</v>
      </c>
    </row>
    <row r="183">
      <c r="A183" s="41" t="s">
        <v>4550</v>
      </c>
    </row>
    <row r="184">
      <c r="A184" s="41" t="s">
        <v>4464</v>
      </c>
    </row>
    <row r="185">
      <c r="A185" s="41" t="s">
        <v>4252</v>
      </c>
    </row>
    <row r="186">
      <c r="A186" s="41" t="s">
        <v>4016</v>
      </c>
    </row>
    <row r="187">
      <c r="A187" s="41" t="s">
        <v>4551</v>
      </c>
    </row>
    <row r="188">
      <c r="A188" s="41" t="s">
        <v>508</v>
      </c>
    </row>
    <row r="189">
      <c r="A189" s="41" t="s">
        <v>4480</v>
      </c>
    </row>
    <row r="190">
      <c r="A190" s="41" t="s">
        <v>4515</v>
      </c>
    </row>
    <row r="191">
      <c r="A191" s="41" t="s">
        <v>4421</v>
      </c>
    </row>
    <row r="192">
      <c r="A192" s="41" t="s">
        <v>1378</v>
      </c>
    </row>
    <row r="193">
      <c r="A193" s="41" t="s">
        <v>384</v>
      </c>
    </row>
    <row r="194">
      <c r="A194" s="41" t="s">
        <v>4379</v>
      </c>
    </row>
    <row r="195">
      <c r="A195" s="41" t="s">
        <v>4299</v>
      </c>
    </row>
    <row r="196">
      <c r="A196" s="41" t="s">
        <v>4552</v>
      </c>
    </row>
    <row r="197">
      <c r="A197" s="41" t="s">
        <v>4491</v>
      </c>
    </row>
    <row r="198">
      <c r="A198" s="41" t="s">
        <v>4553</v>
      </c>
    </row>
    <row r="199">
      <c r="A199" s="41" t="s">
        <v>4466</v>
      </c>
    </row>
    <row r="200">
      <c r="A200" s="41" t="s">
        <v>4505</v>
      </c>
    </row>
    <row r="201">
      <c r="A201" s="41" t="s">
        <v>4016</v>
      </c>
    </row>
    <row r="202">
      <c r="A202" s="41" t="s">
        <v>4445</v>
      </c>
    </row>
    <row r="203">
      <c r="A203" s="41" t="s">
        <v>4379</v>
      </c>
    </row>
    <row r="204">
      <c r="A204" s="41" t="s">
        <v>4554</v>
      </c>
    </row>
    <row r="205">
      <c r="A205" s="41" t="s">
        <v>4553</v>
      </c>
    </row>
    <row r="206">
      <c r="A206" s="41" t="s">
        <v>1066</v>
      </c>
    </row>
    <row r="207">
      <c r="A207" s="41" t="s">
        <v>4451</v>
      </c>
    </row>
    <row r="208">
      <c r="A208" s="41" t="s">
        <v>4555</v>
      </c>
    </row>
    <row r="209">
      <c r="A209" s="41" t="s">
        <v>4554</v>
      </c>
    </row>
    <row r="210">
      <c r="A210" s="41" t="s">
        <v>508</v>
      </c>
    </row>
    <row r="211">
      <c r="A211" s="41" t="s">
        <v>4556</v>
      </c>
    </row>
    <row r="212">
      <c r="A212" s="41" t="s">
        <v>4557</v>
      </c>
    </row>
    <row r="213">
      <c r="A213" s="41" t="s">
        <v>1132</v>
      </c>
    </row>
    <row r="214">
      <c r="A214" s="41" t="s">
        <v>1132</v>
      </c>
    </row>
    <row r="215">
      <c r="A215" s="41" t="s">
        <v>4558</v>
      </c>
    </row>
    <row r="216">
      <c r="A216" s="41" t="s">
        <v>2345</v>
      </c>
    </row>
    <row r="217">
      <c r="A217" s="41" t="s">
        <v>4252</v>
      </c>
    </row>
    <row r="218">
      <c r="A218" s="41" t="s">
        <v>508</v>
      </c>
    </row>
    <row r="219">
      <c r="A219" s="41" t="s">
        <v>405</v>
      </c>
    </row>
    <row r="220">
      <c r="A220" s="41" t="s">
        <v>1132</v>
      </c>
    </row>
    <row r="221">
      <c r="A221" s="41" t="s">
        <v>4462</v>
      </c>
    </row>
    <row r="222">
      <c r="A222" s="41" t="s">
        <v>4559</v>
      </c>
    </row>
    <row r="223">
      <c r="A223" s="41" t="s">
        <v>740</v>
      </c>
    </row>
    <row r="224">
      <c r="A224" s="41" t="s">
        <v>4300</v>
      </c>
    </row>
    <row r="225">
      <c r="A225" s="41" t="s">
        <v>4421</v>
      </c>
    </row>
    <row r="226">
      <c r="A226" s="41" t="s">
        <v>4560</v>
      </c>
    </row>
    <row r="227">
      <c r="A227" s="41" t="s">
        <v>4204</v>
      </c>
    </row>
    <row r="228">
      <c r="A228" s="41" t="s">
        <v>4561</v>
      </c>
    </row>
    <row r="229">
      <c r="A229" s="41" t="s">
        <v>4408</v>
      </c>
    </row>
    <row r="230">
      <c r="A230" s="41" t="s">
        <v>384</v>
      </c>
    </row>
    <row r="231">
      <c r="A231" s="41" t="s">
        <v>4562</v>
      </c>
    </row>
    <row r="232">
      <c r="A232" s="41" t="s">
        <v>4158</v>
      </c>
    </row>
    <row r="233">
      <c r="A233" s="41" t="s">
        <v>4563</v>
      </c>
    </row>
    <row r="234">
      <c r="A234" s="41" t="s">
        <v>4464</v>
      </c>
    </row>
    <row r="235">
      <c r="A235" s="41" t="s">
        <v>4428</v>
      </c>
    </row>
    <row r="236">
      <c r="A236" s="41" t="s">
        <v>196</v>
      </c>
    </row>
    <row r="237">
      <c r="A237" s="41" t="s">
        <v>4502</v>
      </c>
    </row>
    <row r="238">
      <c r="A238" s="41" t="s">
        <v>1132</v>
      </c>
    </row>
    <row r="239">
      <c r="A239" s="41" t="s">
        <v>4564</v>
      </c>
    </row>
    <row r="240">
      <c r="A240" s="41" t="s">
        <v>4565</v>
      </c>
    </row>
    <row r="241">
      <c r="A241" s="41" t="s">
        <v>1132</v>
      </c>
    </row>
    <row r="242">
      <c r="A242" s="41" t="s">
        <v>4233</v>
      </c>
    </row>
    <row r="243">
      <c r="A243" s="41" t="s">
        <v>1378</v>
      </c>
    </row>
    <row r="244">
      <c r="A244" s="41" t="s">
        <v>4566</v>
      </c>
    </row>
    <row r="245">
      <c r="A245" s="41" t="s">
        <v>4567</v>
      </c>
    </row>
    <row r="246">
      <c r="A246" s="41" t="s">
        <v>4568</v>
      </c>
    </row>
    <row r="247">
      <c r="A247" s="41" t="s">
        <v>4237</v>
      </c>
    </row>
    <row r="248">
      <c r="A248" s="41" t="s">
        <v>4569</v>
      </c>
    </row>
    <row r="249">
      <c r="A249" s="41" t="s">
        <v>4506</v>
      </c>
    </row>
    <row r="250">
      <c r="A250" s="41" t="s">
        <v>1483</v>
      </c>
    </row>
    <row r="251">
      <c r="A251" s="41" t="s">
        <v>4570</v>
      </c>
    </row>
    <row r="252">
      <c r="A252" s="41" t="s">
        <v>4016</v>
      </c>
    </row>
    <row r="253">
      <c r="A253" s="41" t="s">
        <v>4379</v>
      </c>
    </row>
    <row r="254">
      <c r="A254" s="41" t="s">
        <v>4167</v>
      </c>
    </row>
    <row r="255">
      <c r="A255" s="41" t="s">
        <v>405</v>
      </c>
    </row>
    <row r="256">
      <c r="A256" s="41" t="s">
        <v>4571</v>
      </c>
    </row>
    <row r="257">
      <c r="A257" s="41" t="s">
        <v>1378</v>
      </c>
    </row>
    <row r="258">
      <c r="A258" s="41" t="s">
        <v>4538</v>
      </c>
    </row>
    <row r="259">
      <c r="A259" s="41" t="s">
        <v>1066</v>
      </c>
    </row>
    <row r="260">
      <c r="A260" s="41" t="s">
        <v>405</v>
      </c>
    </row>
    <row r="261">
      <c r="A261" s="41" t="s">
        <v>4518</v>
      </c>
    </row>
    <row r="262">
      <c r="A262" s="41" t="s">
        <v>4379</v>
      </c>
    </row>
    <row r="263">
      <c r="A263" s="41" t="s">
        <v>4572</v>
      </c>
    </row>
    <row r="264">
      <c r="A264" s="41" t="s">
        <v>1132</v>
      </c>
    </row>
    <row r="265">
      <c r="A265" s="41" t="s">
        <v>4573</v>
      </c>
    </row>
    <row r="266">
      <c r="A266" s="41" t="s">
        <v>4574</v>
      </c>
    </row>
    <row r="267">
      <c r="A267" s="41" t="s">
        <v>1132</v>
      </c>
    </row>
    <row r="268">
      <c r="A268" s="41" t="s">
        <v>4314</v>
      </c>
    </row>
    <row r="269">
      <c r="A269" s="41" t="s">
        <v>196</v>
      </c>
    </row>
    <row r="270">
      <c r="A270" s="41" t="s">
        <v>4575</v>
      </c>
    </row>
    <row r="271">
      <c r="A271" s="41" t="s">
        <v>4206</v>
      </c>
    </row>
    <row r="272">
      <c r="A272" s="41" t="s">
        <v>4482</v>
      </c>
    </row>
    <row r="273">
      <c r="A273" s="41" t="s">
        <v>4576</v>
      </c>
    </row>
    <row r="274">
      <c r="A274" s="41" t="s">
        <v>196</v>
      </c>
    </row>
    <row r="275">
      <c r="A275" s="41" t="s">
        <v>4577</v>
      </c>
    </row>
    <row r="276">
      <c r="A276" s="41" t="s">
        <v>4335</v>
      </c>
    </row>
    <row r="277">
      <c r="A277" s="41" t="s">
        <v>1066</v>
      </c>
    </row>
    <row r="278">
      <c r="A278" s="41" t="s">
        <v>4578</v>
      </c>
    </row>
    <row r="279">
      <c r="A279" s="41" t="s">
        <v>4579</v>
      </c>
    </row>
    <row r="280">
      <c r="A280" s="41" t="s">
        <v>4580</v>
      </c>
    </row>
    <row r="281">
      <c r="A281" s="41" t="s">
        <v>1132</v>
      </c>
    </row>
    <row r="282">
      <c r="A282" s="41" t="s">
        <v>4581</v>
      </c>
    </row>
    <row r="283">
      <c r="A283" s="41" t="s">
        <v>4582</v>
      </c>
    </row>
    <row r="284">
      <c r="A284" s="41" t="s">
        <v>4515</v>
      </c>
    </row>
    <row r="285">
      <c r="A285" s="41" t="s">
        <v>1132</v>
      </c>
    </row>
    <row r="286">
      <c r="A286" s="41" t="s">
        <v>4583</v>
      </c>
    </row>
    <row r="287">
      <c r="A287" s="41" t="s">
        <v>4584</v>
      </c>
    </row>
    <row r="288">
      <c r="A288" s="41" t="s">
        <v>740</v>
      </c>
    </row>
    <row r="289">
      <c r="A289" s="41" t="s">
        <v>4408</v>
      </c>
    </row>
    <row r="290">
      <c r="A290" s="41" t="s">
        <v>4585</v>
      </c>
    </row>
    <row r="291">
      <c r="A291" s="41" t="s">
        <v>4420</v>
      </c>
    </row>
    <row r="292">
      <c r="A292" s="41" t="s">
        <v>4586</v>
      </c>
    </row>
    <row r="293">
      <c r="A293" s="41" t="s">
        <v>4243</v>
      </c>
    </row>
    <row r="294">
      <c r="A294" s="41" t="s">
        <v>4587</v>
      </c>
    </row>
    <row r="295">
      <c r="A295" s="41" t="s">
        <v>4588</v>
      </c>
    </row>
    <row r="296">
      <c r="A296" s="41" t="s">
        <v>4560</v>
      </c>
    </row>
    <row r="297">
      <c r="A297" s="41" t="s">
        <v>4016</v>
      </c>
    </row>
    <row r="298">
      <c r="A298" s="41" t="s">
        <v>4589</v>
      </c>
    </row>
    <row r="299">
      <c r="A299" s="41" t="s">
        <v>930</v>
      </c>
    </row>
    <row r="300">
      <c r="A300" s="41" t="s">
        <v>270</v>
      </c>
    </row>
    <row r="301">
      <c r="A301" s="41" t="s">
        <v>4428</v>
      </c>
    </row>
    <row r="302">
      <c r="A302" s="41" t="s">
        <v>4421</v>
      </c>
    </row>
    <row r="303">
      <c r="A303" s="41" t="s">
        <v>4573</v>
      </c>
    </row>
    <row r="304">
      <c r="A304" s="41" t="s">
        <v>4506</v>
      </c>
    </row>
    <row r="305">
      <c r="A305" s="41" t="s">
        <v>4577</v>
      </c>
    </row>
    <row r="306">
      <c r="A306" s="41" t="s">
        <v>4590</v>
      </c>
    </row>
    <row r="307">
      <c r="A307" s="41" t="s">
        <v>1132</v>
      </c>
    </row>
    <row r="308">
      <c r="A308" s="41" t="s">
        <v>4167</v>
      </c>
    </row>
    <row r="309">
      <c r="A309" s="41" t="s">
        <v>4379</v>
      </c>
    </row>
    <row r="310">
      <c r="A310" s="41" t="s">
        <v>4591</v>
      </c>
    </row>
    <row r="311">
      <c r="A311" s="41" t="s">
        <v>508</v>
      </c>
    </row>
    <row r="312">
      <c r="A312" s="41" t="s">
        <v>4465</v>
      </c>
    </row>
    <row r="313">
      <c r="A313" s="41" t="s">
        <v>1436</v>
      </c>
    </row>
    <row r="314">
      <c r="A314" s="41" t="s">
        <v>4252</v>
      </c>
    </row>
    <row r="315">
      <c r="A315" s="41" t="s">
        <v>4472</v>
      </c>
    </row>
    <row r="316">
      <c r="A316" s="41" t="s">
        <v>4204</v>
      </c>
    </row>
    <row r="317">
      <c r="A317" s="41" t="s">
        <v>4204</v>
      </c>
    </row>
    <row r="318">
      <c r="A318" s="41" t="s">
        <v>4471</v>
      </c>
    </row>
    <row r="319">
      <c r="A319" s="41" t="s">
        <v>4409</v>
      </c>
    </row>
    <row r="320">
      <c r="A320" s="41" t="s">
        <v>4016</v>
      </c>
    </row>
    <row r="321">
      <c r="A321" s="41" t="s">
        <v>4592</v>
      </c>
    </row>
    <row r="322">
      <c r="A322" s="41" t="s">
        <v>4480</v>
      </c>
    </row>
    <row r="323">
      <c r="A323" s="41" t="s">
        <v>4208</v>
      </c>
    </row>
    <row r="324">
      <c r="A324" s="41" t="s">
        <v>4593</v>
      </c>
    </row>
    <row r="325">
      <c r="A325" s="41" t="s">
        <v>508</v>
      </c>
    </row>
    <row r="326">
      <c r="A326" s="41" t="s">
        <v>4501</v>
      </c>
    </row>
    <row r="327">
      <c r="A327" s="41" t="s">
        <v>4594</v>
      </c>
    </row>
    <row r="328">
      <c r="A328" s="41" t="s">
        <v>4595</v>
      </c>
    </row>
    <row r="329">
      <c r="A329" s="41" t="s">
        <v>4596</v>
      </c>
    </row>
    <row r="330">
      <c r="A330" s="41" t="s">
        <v>4204</v>
      </c>
    </row>
    <row r="331">
      <c r="A331" s="41" t="s">
        <v>4597</v>
      </c>
    </row>
    <row r="332">
      <c r="A332" s="41" t="s">
        <v>4502</v>
      </c>
    </row>
    <row r="333">
      <c r="A333" s="41" t="s">
        <v>4237</v>
      </c>
    </row>
    <row r="334">
      <c r="A334" s="41" t="s">
        <v>4300</v>
      </c>
    </row>
    <row r="335">
      <c r="A335" s="41" t="s">
        <v>4598</v>
      </c>
    </row>
    <row r="336">
      <c r="A336" s="41" t="s">
        <v>4462</v>
      </c>
    </row>
    <row r="337">
      <c r="A337" s="41" t="s">
        <v>4599</v>
      </c>
    </row>
    <row r="338">
      <c r="A338" s="41" t="s">
        <v>4158</v>
      </c>
    </row>
    <row r="339">
      <c r="A339" s="41" t="s">
        <v>4377</v>
      </c>
    </row>
    <row r="340">
      <c r="A340" s="41" t="s">
        <v>4560</v>
      </c>
    </row>
    <row r="341">
      <c r="A341" s="41" t="s">
        <v>4233</v>
      </c>
    </row>
    <row r="342">
      <c r="A342" s="41" t="s">
        <v>4418</v>
      </c>
    </row>
    <row r="343">
      <c r="A343" s="41" t="s">
        <v>4464</v>
      </c>
    </row>
    <row r="344">
      <c r="A344" s="41" t="s">
        <v>4408</v>
      </c>
    </row>
    <row r="345">
      <c r="A345" s="41" t="s">
        <v>1483</v>
      </c>
    </row>
    <row r="346">
      <c r="A346" s="41" t="s">
        <v>4016</v>
      </c>
    </row>
    <row r="347">
      <c r="A347" s="41" t="s">
        <v>384</v>
      </c>
    </row>
    <row r="348">
      <c r="A348" s="41" t="s">
        <v>4557</v>
      </c>
    </row>
    <row r="349">
      <c r="A349" s="41" t="s">
        <v>1483</v>
      </c>
    </row>
    <row r="350">
      <c r="A350" s="41" t="s">
        <v>4600</v>
      </c>
    </row>
    <row r="351">
      <c r="A351" s="41" t="s">
        <v>4601</v>
      </c>
    </row>
    <row r="352">
      <c r="A352" s="41" t="s">
        <v>4518</v>
      </c>
    </row>
    <row r="353">
      <c r="A353" s="41" t="s">
        <v>4537</v>
      </c>
    </row>
    <row r="354">
      <c r="A354" s="41" t="s">
        <v>4552</v>
      </c>
    </row>
    <row r="355">
      <c r="A355" s="41" t="s">
        <v>1483</v>
      </c>
    </row>
    <row r="356">
      <c r="A356" s="41" t="s">
        <v>1066</v>
      </c>
    </row>
    <row r="357">
      <c r="A357" s="41" t="s">
        <v>508</v>
      </c>
    </row>
    <row r="358">
      <c r="A358" s="41" t="s">
        <v>4602</v>
      </c>
    </row>
    <row r="359">
      <c r="A359" s="41" t="s">
        <v>1132</v>
      </c>
    </row>
    <row r="360">
      <c r="A360" s="41" t="s">
        <v>1066</v>
      </c>
    </row>
    <row r="361">
      <c r="A361" s="41" t="s">
        <v>4502</v>
      </c>
    </row>
    <row r="362">
      <c r="A362" s="41" t="s">
        <v>508</v>
      </c>
    </row>
    <row r="363">
      <c r="A363" s="41" t="s">
        <v>384</v>
      </c>
    </row>
    <row r="364">
      <c r="A364" s="41" t="s">
        <v>4603</v>
      </c>
    </row>
    <row r="365">
      <c r="A365" s="41" t="s">
        <v>4421</v>
      </c>
    </row>
    <row r="366">
      <c r="A366" s="41" t="s">
        <v>4515</v>
      </c>
    </row>
    <row r="367">
      <c r="A367" s="41" t="s">
        <v>4501</v>
      </c>
    </row>
    <row r="368">
      <c r="A368" s="41" t="s">
        <v>1328</v>
      </c>
    </row>
    <row r="369">
      <c r="A369" s="41" t="s">
        <v>4604</v>
      </c>
    </row>
    <row r="370">
      <c r="A370" s="41" t="s">
        <v>4167</v>
      </c>
    </row>
    <row r="371">
      <c r="A371" s="41" t="s">
        <v>4605</v>
      </c>
    </row>
    <row r="372">
      <c r="A372" s="41" t="s">
        <v>4606</v>
      </c>
    </row>
    <row r="373">
      <c r="A373" s="41" t="s">
        <v>4504</v>
      </c>
    </row>
    <row r="374">
      <c r="A374" s="41" t="s">
        <v>4607</v>
      </c>
    </row>
    <row r="375">
      <c r="A375" s="41" t="s">
        <v>1132</v>
      </c>
    </row>
    <row r="376">
      <c r="A376" s="41" t="s">
        <v>4518</v>
      </c>
    </row>
    <row r="377">
      <c r="A377" s="41" t="s">
        <v>4472</v>
      </c>
    </row>
    <row r="378">
      <c r="A378" s="41" t="s">
        <v>4608</v>
      </c>
    </row>
    <row r="379">
      <c r="A379" s="41" t="s">
        <v>4609</v>
      </c>
    </row>
    <row r="380">
      <c r="A380" s="41" t="s">
        <v>4610</v>
      </c>
    </row>
    <row r="381">
      <c r="A381" s="41" t="s">
        <v>4243</v>
      </c>
    </row>
    <row r="382">
      <c r="A382" s="41" t="s">
        <v>4501</v>
      </c>
    </row>
    <row r="383">
      <c r="A383" s="41" t="s">
        <v>4611</v>
      </c>
    </row>
    <row r="384">
      <c r="A384" s="41" t="s">
        <v>4612</v>
      </c>
    </row>
    <row r="385">
      <c r="A385" s="41" t="s">
        <v>1483</v>
      </c>
    </row>
    <row r="386">
      <c r="A386" s="41" t="s">
        <v>4613</v>
      </c>
    </row>
    <row r="387">
      <c r="A387" s="41" t="s">
        <v>4577</v>
      </c>
    </row>
    <row r="388">
      <c r="A388" s="41" t="s">
        <v>508</v>
      </c>
    </row>
    <row r="389">
      <c r="A389" s="41" t="s">
        <v>4243</v>
      </c>
    </row>
    <row r="390">
      <c r="A390" s="41" t="s">
        <v>4462</v>
      </c>
    </row>
    <row r="391">
      <c r="A391" s="41" t="s">
        <v>4016</v>
      </c>
    </row>
    <row r="392">
      <c r="A392" s="41" t="s">
        <v>4614</v>
      </c>
    </row>
    <row r="393">
      <c r="A393" s="41" t="s">
        <v>508</v>
      </c>
    </row>
    <row r="394">
      <c r="A394" s="41" t="s">
        <v>4615</v>
      </c>
    </row>
    <row r="395">
      <c r="A395" s="41" t="s">
        <v>4554</v>
      </c>
    </row>
    <row r="396">
      <c r="A396" s="41" t="s">
        <v>4409</v>
      </c>
    </row>
    <row r="397">
      <c r="A397" s="41" t="s">
        <v>4501</v>
      </c>
    </row>
    <row r="398">
      <c r="A398" s="41" t="s">
        <v>4252</v>
      </c>
    </row>
    <row r="399">
      <c r="A399" s="41" t="s">
        <v>640</v>
      </c>
    </row>
    <row r="400">
      <c r="A400" s="41" t="s">
        <v>740</v>
      </c>
    </row>
    <row r="401">
      <c r="A401" s="41" t="s">
        <v>4502</v>
      </c>
    </row>
    <row r="402">
      <c r="A402" s="41" t="s">
        <v>4419</v>
      </c>
    </row>
    <row r="403">
      <c r="A403" s="41" t="s">
        <v>4504</v>
      </c>
    </row>
    <row r="404">
      <c r="A404" s="41" t="s">
        <v>4158</v>
      </c>
    </row>
    <row r="405">
      <c r="A405" s="41" t="s">
        <v>1132</v>
      </c>
    </row>
    <row r="406">
      <c r="A406" s="41" t="s">
        <v>4300</v>
      </c>
    </row>
    <row r="407">
      <c r="A407" s="41" t="s">
        <v>4522</v>
      </c>
    </row>
    <row r="408">
      <c r="A408" s="41" t="s">
        <v>4408</v>
      </c>
    </row>
    <row r="409">
      <c r="A409" s="41" t="s">
        <v>196</v>
      </c>
    </row>
    <row r="410">
      <c r="A410" s="41" t="s">
        <v>1132</v>
      </c>
    </row>
    <row r="411">
      <c r="A411" s="41" t="s">
        <v>4568</v>
      </c>
    </row>
    <row r="412">
      <c r="A412" s="41" t="s">
        <v>4616</v>
      </c>
    </row>
    <row r="413">
      <c r="A413" s="41" t="s">
        <v>4617</v>
      </c>
    </row>
    <row r="414">
      <c r="A414" s="41" t="s">
        <v>4518</v>
      </c>
    </row>
    <row r="415">
      <c r="A415" s="41" t="s">
        <v>4252</v>
      </c>
    </row>
    <row r="416">
      <c r="A416" s="41" t="s">
        <v>4242</v>
      </c>
    </row>
    <row r="417">
      <c r="A417" s="41" t="s">
        <v>405</v>
      </c>
    </row>
    <row r="418">
      <c r="A418" s="41" t="s">
        <v>4618</v>
      </c>
    </row>
    <row r="419">
      <c r="A419" s="41" t="s">
        <v>4300</v>
      </c>
    </row>
    <row r="420">
      <c r="A420" s="41" t="s">
        <v>4619</v>
      </c>
    </row>
    <row r="421">
      <c r="A421" s="41" t="s">
        <v>4408</v>
      </c>
    </row>
    <row r="422">
      <c r="A422" s="41" t="s">
        <v>4620</v>
      </c>
    </row>
    <row r="423">
      <c r="A423" s="41" t="s">
        <v>4494</v>
      </c>
    </row>
    <row r="424">
      <c r="A424" s="41" t="s">
        <v>4621</v>
      </c>
    </row>
    <row r="425">
      <c r="A425" s="41" t="s">
        <v>1066</v>
      </c>
    </row>
    <row r="426">
      <c r="A426" s="41" t="s">
        <v>4482</v>
      </c>
    </row>
    <row r="427">
      <c r="A427" s="41" t="s">
        <v>196</v>
      </c>
    </row>
    <row r="428">
      <c r="A428" s="41" t="s">
        <v>4204</v>
      </c>
    </row>
    <row r="429">
      <c r="A429" s="41" t="s">
        <v>4016</v>
      </c>
    </row>
    <row r="430">
      <c r="A430" s="41" t="s">
        <v>4445</v>
      </c>
    </row>
    <row r="431">
      <c r="A431" s="41" t="s">
        <v>4300</v>
      </c>
    </row>
    <row r="432">
      <c r="A432" s="41" t="s">
        <v>4449</v>
      </c>
    </row>
    <row r="433">
      <c r="A433" s="41" t="s">
        <v>1066</v>
      </c>
    </row>
    <row r="434">
      <c r="A434" s="41" t="s">
        <v>4016</v>
      </c>
    </row>
    <row r="435">
      <c r="A435" s="41" t="s">
        <v>4486</v>
      </c>
    </row>
    <row r="436">
      <c r="A436" s="41" t="s">
        <v>4341</v>
      </c>
    </row>
    <row r="437">
      <c r="A437" s="41" t="s">
        <v>4300</v>
      </c>
    </row>
    <row r="438">
      <c r="A438" s="41" t="s">
        <v>4515</v>
      </c>
    </row>
    <row r="439">
      <c r="A439" s="41" t="s">
        <v>4426</v>
      </c>
    </row>
    <row r="440">
      <c r="A440" s="41" t="s">
        <v>1797</v>
      </c>
    </row>
    <row r="441">
      <c r="A441" s="41" t="s">
        <v>4207</v>
      </c>
    </row>
    <row r="442">
      <c r="A442" s="41" t="s">
        <v>4524</v>
      </c>
    </row>
    <row r="443">
      <c r="A443" s="41" t="s">
        <v>4538</v>
      </c>
    </row>
    <row r="444">
      <c r="A444" s="41" t="s">
        <v>4311</v>
      </c>
    </row>
    <row r="445">
      <c r="A445" s="41" t="s">
        <v>4622</v>
      </c>
    </row>
    <row r="446">
      <c r="A446" s="41" t="s">
        <v>4623</v>
      </c>
    </row>
    <row r="447">
      <c r="A447" s="41" t="s">
        <v>4624</v>
      </c>
    </row>
    <row r="448">
      <c r="A448" s="41" t="s">
        <v>4016</v>
      </c>
    </row>
    <row r="449">
      <c r="A449" s="41" t="s">
        <v>1132</v>
      </c>
    </row>
    <row r="450">
      <c r="A450" s="41" t="s">
        <v>4553</v>
      </c>
    </row>
    <row r="451">
      <c r="A451" s="41" t="s">
        <v>4625</v>
      </c>
    </row>
    <row r="452">
      <c r="A452" s="41" t="s">
        <v>1066</v>
      </c>
    </row>
    <row r="453">
      <c r="A453" s="41" t="s">
        <v>1483</v>
      </c>
    </row>
    <row r="454">
      <c r="A454" s="41" t="s">
        <v>4409</v>
      </c>
    </row>
    <row r="455">
      <c r="A455" s="41" t="s">
        <v>4167</v>
      </c>
    </row>
    <row r="456">
      <c r="A456" s="41" t="s">
        <v>4535</v>
      </c>
    </row>
    <row r="457">
      <c r="A457" s="41" t="s">
        <v>4515</v>
      </c>
    </row>
    <row r="458">
      <c r="A458" s="41" t="s">
        <v>384</v>
      </c>
    </row>
    <row r="459">
      <c r="A459" s="41" t="s">
        <v>1378</v>
      </c>
    </row>
    <row r="460">
      <c r="A460" s="41" t="s">
        <v>4626</v>
      </c>
    </row>
    <row r="461">
      <c r="A461" s="41" t="s">
        <v>1797</v>
      </c>
    </row>
    <row r="462">
      <c r="A462" s="41" t="s">
        <v>4233</v>
      </c>
    </row>
    <row r="463">
      <c r="A463" s="41" t="s">
        <v>4252</v>
      </c>
    </row>
    <row r="464">
      <c r="A464" s="41" t="s">
        <v>384</v>
      </c>
    </row>
    <row r="465">
      <c r="A465" s="41" t="s">
        <v>4557</v>
      </c>
    </row>
    <row r="466">
      <c r="A466" s="41" t="s">
        <v>4627</v>
      </c>
    </row>
    <row r="467">
      <c r="A467" s="41" t="s">
        <v>4243</v>
      </c>
    </row>
    <row r="468">
      <c r="A468" s="41" t="s">
        <v>4158</v>
      </c>
    </row>
    <row r="469">
      <c r="A469" s="41" t="s">
        <v>270</v>
      </c>
    </row>
    <row r="470">
      <c r="A470" s="41" t="s">
        <v>4473</v>
      </c>
    </row>
    <row r="471">
      <c r="A471" s="41" t="s">
        <v>4421</v>
      </c>
    </row>
    <row r="472">
      <c r="A472" s="41" t="s">
        <v>4569</v>
      </c>
    </row>
    <row r="473">
      <c r="A473" s="41" t="s">
        <v>4564</v>
      </c>
    </row>
    <row r="474">
      <c r="A474" s="41" t="s">
        <v>4628</v>
      </c>
    </row>
    <row r="475">
      <c r="A475" s="41" t="s">
        <v>508</v>
      </c>
    </row>
    <row r="476">
      <c r="A476" s="41" t="s">
        <v>4623</v>
      </c>
    </row>
    <row r="477">
      <c r="A477" s="41" t="s">
        <v>4502</v>
      </c>
    </row>
    <row r="478">
      <c r="A478" s="41" t="s">
        <v>4204</v>
      </c>
    </row>
    <row r="479">
      <c r="A479" s="41" t="s">
        <v>1066</v>
      </c>
    </row>
    <row r="480">
      <c r="A480" s="41" t="s">
        <v>4629</v>
      </c>
    </row>
    <row r="481">
      <c r="A481" s="41" t="s">
        <v>4630</v>
      </c>
    </row>
    <row r="482">
      <c r="A482" s="41" t="s">
        <v>405</v>
      </c>
    </row>
    <row r="483">
      <c r="A483" s="41" t="s">
        <v>4341</v>
      </c>
    </row>
    <row r="484">
      <c r="A484" s="41" t="s">
        <v>740</v>
      </c>
    </row>
    <row r="485">
      <c r="A485" s="41" t="s">
        <v>4631</v>
      </c>
    </row>
    <row r="486">
      <c r="A486" s="41" t="s">
        <v>4502</v>
      </c>
    </row>
    <row r="487">
      <c r="A487" s="41" t="s">
        <v>4341</v>
      </c>
    </row>
    <row r="488">
      <c r="A488" s="41" t="s">
        <v>4252</v>
      </c>
    </row>
    <row r="489">
      <c r="A489" s="41" t="s">
        <v>740</v>
      </c>
    </row>
    <row r="490">
      <c r="A490" s="41" t="s">
        <v>4632</v>
      </c>
    </row>
    <row r="491">
      <c r="A491" s="41" t="s">
        <v>4409</v>
      </c>
    </row>
    <row r="492">
      <c r="A492" s="41" t="s">
        <v>4408</v>
      </c>
    </row>
    <row r="493">
      <c r="A493" s="41" t="s">
        <v>4300</v>
      </c>
    </row>
    <row r="494">
      <c r="A494" s="41" t="s">
        <v>4595</v>
      </c>
    </row>
    <row r="495">
      <c r="A495" s="41" t="s">
        <v>4633</v>
      </c>
    </row>
    <row r="496">
      <c r="A496" s="41" t="s">
        <v>4460</v>
      </c>
    </row>
    <row r="497">
      <c r="A497" s="41" t="s">
        <v>4341</v>
      </c>
    </row>
    <row r="498">
      <c r="A498" s="41" t="s">
        <v>1483</v>
      </c>
    </row>
    <row r="499">
      <c r="A499" s="41" t="s">
        <v>4204</v>
      </c>
    </row>
    <row r="500">
      <c r="A500" s="41" t="s">
        <v>4300</v>
      </c>
    </row>
    <row r="501">
      <c r="A501" s="41" t="s">
        <v>4569</v>
      </c>
    </row>
    <row r="502">
      <c r="A502" s="41" t="s">
        <v>196</v>
      </c>
    </row>
    <row r="503">
      <c r="A503" s="41" t="s">
        <v>1066</v>
      </c>
    </row>
    <row r="504">
      <c r="A504" s="41" t="s">
        <v>4554</v>
      </c>
    </row>
    <row r="505">
      <c r="A505" s="41" t="s">
        <v>4634</v>
      </c>
    </row>
    <row r="506">
      <c r="A506" s="41" t="s">
        <v>4577</v>
      </c>
    </row>
    <row r="507">
      <c r="A507" s="41" t="s">
        <v>4601</v>
      </c>
    </row>
    <row r="508">
      <c r="A508" s="41" t="s">
        <v>4515</v>
      </c>
    </row>
    <row r="509">
      <c r="A509" s="41" t="s">
        <v>4242</v>
      </c>
    </row>
    <row r="510">
      <c r="A510" s="41" t="s">
        <v>4560</v>
      </c>
    </row>
    <row r="511">
      <c r="A511" s="41" t="s">
        <v>4243</v>
      </c>
    </row>
    <row r="512">
      <c r="A512" s="41" t="s">
        <v>4016</v>
      </c>
    </row>
    <row r="513">
      <c r="A513" s="41" t="s">
        <v>930</v>
      </c>
    </row>
    <row r="514">
      <c r="A514" s="41" t="s">
        <v>1483</v>
      </c>
    </row>
    <row r="515">
      <c r="A515" s="41" t="s">
        <v>4518</v>
      </c>
    </row>
    <row r="516">
      <c r="A516" s="41" t="s">
        <v>4252</v>
      </c>
    </row>
    <row r="517">
      <c r="A517" s="41" t="s">
        <v>508</v>
      </c>
    </row>
    <row r="518">
      <c r="A518" s="41" t="s">
        <v>2345</v>
      </c>
    </row>
    <row r="519">
      <c r="A519" s="41" t="s">
        <v>4472</v>
      </c>
    </row>
    <row r="520">
      <c r="A520" s="41" t="s">
        <v>4300</v>
      </c>
    </row>
    <row r="521">
      <c r="A521" s="41" t="s">
        <v>4635</v>
      </c>
    </row>
    <row r="522">
      <c r="A522" s="41" t="s">
        <v>4510</v>
      </c>
    </row>
    <row r="523">
      <c r="A523" s="41" t="s">
        <v>4237</v>
      </c>
    </row>
    <row r="524">
      <c r="A524" s="41" t="s">
        <v>4636</v>
      </c>
    </row>
    <row r="525">
      <c r="A525" s="41" t="s">
        <v>740</v>
      </c>
    </row>
    <row r="526">
      <c r="A526" s="41" t="s">
        <v>4560</v>
      </c>
    </row>
    <row r="527">
      <c r="A527" s="41" t="s">
        <v>270</v>
      </c>
    </row>
    <row r="528">
      <c r="A528" s="41" t="s">
        <v>4409</v>
      </c>
    </row>
    <row r="529">
      <c r="A529" s="41" t="s">
        <v>1132</v>
      </c>
    </row>
    <row r="530">
      <c r="A530" s="41" t="s">
        <v>1132</v>
      </c>
    </row>
    <row r="531">
      <c r="A531" s="41" t="s">
        <v>4456</v>
      </c>
    </row>
    <row r="532">
      <c r="A532" s="41" t="s">
        <v>4637</v>
      </c>
    </row>
    <row r="533">
      <c r="A533" s="41" t="s">
        <v>270</v>
      </c>
    </row>
    <row r="534">
      <c r="A534" s="41" t="s">
        <v>4560</v>
      </c>
    </row>
    <row r="535">
      <c r="A535" s="41" t="s">
        <v>4426</v>
      </c>
    </row>
    <row r="536">
      <c r="A536" s="41" t="s">
        <v>270</v>
      </c>
    </row>
    <row r="537">
      <c r="A537" s="41" t="s">
        <v>4638</v>
      </c>
    </row>
    <row r="538">
      <c r="A538" s="41" t="s">
        <v>405</v>
      </c>
    </row>
    <row r="539">
      <c r="A539" s="41" t="s">
        <v>4639</v>
      </c>
    </row>
    <row r="540">
      <c r="A540" s="41" t="s">
        <v>4503</v>
      </c>
    </row>
    <row r="541">
      <c r="A541" s="41" t="s">
        <v>4640</v>
      </c>
    </row>
    <row r="542">
      <c r="A542" s="41" t="s">
        <v>4488</v>
      </c>
    </row>
    <row r="543">
      <c r="A543" s="41" t="s">
        <v>4641</v>
      </c>
    </row>
    <row r="544">
      <c r="A544" s="41" t="s">
        <v>4465</v>
      </c>
    </row>
    <row r="545">
      <c r="A545" s="41" t="s">
        <v>4388</v>
      </c>
    </row>
    <row r="546">
      <c r="A546" s="41" t="s">
        <v>4642</v>
      </c>
    </row>
    <row r="547">
      <c r="A547" s="41" t="s">
        <v>4502</v>
      </c>
    </row>
    <row r="548">
      <c r="A548" s="41" t="s">
        <v>1066</v>
      </c>
    </row>
    <row r="549">
      <c r="A549" s="41" t="s">
        <v>4471</v>
      </c>
    </row>
    <row r="550">
      <c r="A550" s="41" t="s">
        <v>4643</v>
      </c>
    </row>
    <row r="551">
      <c r="A551" s="41" t="s">
        <v>384</v>
      </c>
    </row>
    <row r="552">
      <c r="A552" s="41" t="s">
        <v>4505</v>
      </c>
    </row>
    <row r="553">
      <c r="A553" s="41" t="s">
        <v>4554</v>
      </c>
    </row>
    <row r="554">
      <c r="A554" s="41" t="s">
        <v>4204</v>
      </c>
    </row>
    <row r="555">
      <c r="A555" s="41" t="s">
        <v>4499</v>
      </c>
    </row>
    <row r="556">
      <c r="A556" s="41" t="s">
        <v>4537</v>
      </c>
    </row>
    <row r="557">
      <c r="A557" s="41" t="s">
        <v>4578</v>
      </c>
    </row>
    <row r="558">
      <c r="A558" s="41" t="s">
        <v>4461</v>
      </c>
    </row>
    <row r="559">
      <c r="A559" s="41" t="s">
        <v>4403</v>
      </c>
    </row>
    <row r="560">
      <c r="A560" s="41" t="s">
        <v>4644</v>
      </c>
    </row>
    <row r="561">
      <c r="A561" s="41" t="s">
        <v>4502</v>
      </c>
    </row>
    <row r="562">
      <c r="A562" s="41" t="s">
        <v>1066</v>
      </c>
    </row>
    <row r="563">
      <c r="A563" s="41" t="s">
        <v>4252</v>
      </c>
    </row>
    <row r="564">
      <c r="A564" s="41" t="s">
        <v>1132</v>
      </c>
    </row>
    <row r="565">
      <c r="A565" s="41" t="s">
        <v>384</v>
      </c>
    </row>
    <row r="566">
      <c r="A566" s="41" t="s">
        <v>405</v>
      </c>
    </row>
    <row r="567">
      <c r="A567" s="41" t="s">
        <v>4640</v>
      </c>
    </row>
    <row r="568">
      <c r="A568" s="41" t="s">
        <v>270</v>
      </c>
    </row>
    <row r="569">
      <c r="A569" s="41" t="s">
        <v>1797</v>
      </c>
    </row>
    <row r="570">
      <c r="A570" s="41" t="s">
        <v>1483</v>
      </c>
    </row>
    <row r="571">
      <c r="A571" s="41" t="s">
        <v>4645</v>
      </c>
    </row>
    <row r="572">
      <c r="A572" s="41" t="s">
        <v>4502</v>
      </c>
    </row>
    <row r="573">
      <c r="A573" s="41" t="s">
        <v>405</v>
      </c>
    </row>
    <row r="574">
      <c r="A574" s="41" t="s">
        <v>4421</v>
      </c>
    </row>
    <row r="575">
      <c r="A575" s="41" t="s">
        <v>508</v>
      </c>
    </row>
    <row r="576">
      <c r="A576" s="41" t="s">
        <v>4252</v>
      </c>
    </row>
    <row r="577">
      <c r="A577" s="41" t="s">
        <v>4646</v>
      </c>
    </row>
    <row r="578">
      <c r="A578" s="41" t="s">
        <v>4488</v>
      </c>
    </row>
    <row r="579">
      <c r="A579" s="41" t="s">
        <v>270</v>
      </c>
    </row>
    <row r="580">
      <c r="A580" s="41" t="s">
        <v>508</v>
      </c>
    </row>
    <row r="581">
      <c r="A581" s="41" t="s">
        <v>1132</v>
      </c>
    </row>
    <row r="582">
      <c r="A582" s="41" t="s">
        <v>4378</v>
      </c>
    </row>
    <row r="583">
      <c r="A583" s="41" t="s">
        <v>4647</v>
      </c>
    </row>
    <row r="584">
      <c r="A584" s="41" t="s">
        <v>4335</v>
      </c>
    </row>
    <row r="585">
      <c r="A585" s="41" t="s">
        <v>1328</v>
      </c>
    </row>
    <row r="586">
      <c r="A586" s="41" t="s">
        <v>4238</v>
      </c>
    </row>
    <row r="587">
      <c r="A587" s="41" t="s">
        <v>4421</v>
      </c>
    </row>
    <row r="588">
      <c r="A588" s="41" t="s">
        <v>1378</v>
      </c>
    </row>
    <row r="589">
      <c r="A589" s="41" t="s">
        <v>4428</v>
      </c>
    </row>
    <row r="590">
      <c r="A590" s="41" t="s">
        <v>4648</v>
      </c>
    </row>
    <row r="591">
      <c r="A591" s="41" t="s">
        <v>508</v>
      </c>
    </row>
    <row r="592">
      <c r="A592" s="41" t="s">
        <v>4649</v>
      </c>
    </row>
    <row r="593">
      <c r="A593" s="41" t="s">
        <v>4341</v>
      </c>
    </row>
    <row r="594">
      <c r="A594" s="41" t="s">
        <v>4553</v>
      </c>
    </row>
    <row r="595">
      <c r="A595" s="41" t="s">
        <v>4650</v>
      </c>
    </row>
    <row r="596">
      <c r="A596" s="41" t="s">
        <v>4651</v>
      </c>
    </row>
    <row r="597">
      <c r="A597" s="41" t="s">
        <v>4554</v>
      </c>
    </row>
    <row r="598">
      <c r="A598" s="41" t="s">
        <v>4299</v>
      </c>
    </row>
    <row r="599">
      <c r="A599" s="41" t="s">
        <v>4299</v>
      </c>
    </row>
    <row r="600">
      <c r="A600" s="41" t="s">
        <v>4508</v>
      </c>
    </row>
    <row r="601">
      <c r="A601" s="41" t="s">
        <v>4341</v>
      </c>
    </row>
    <row r="602">
      <c r="A602" s="41" t="s">
        <v>4652</v>
      </c>
    </row>
    <row r="603">
      <c r="A603" s="41" t="s">
        <v>4300</v>
      </c>
    </row>
    <row r="604">
      <c r="A604" s="41" t="s">
        <v>4560</v>
      </c>
    </row>
    <row r="605">
      <c r="A605" s="41" t="s">
        <v>508</v>
      </c>
    </row>
    <row r="606">
      <c r="A606" s="41" t="s">
        <v>4560</v>
      </c>
    </row>
    <row r="607">
      <c r="A607" s="41" t="s">
        <v>4341</v>
      </c>
    </row>
    <row r="608">
      <c r="A608" s="41" t="s">
        <v>196</v>
      </c>
    </row>
    <row r="609">
      <c r="A609" s="41" t="s">
        <v>4653</v>
      </c>
    </row>
    <row r="610">
      <c r="A610" s="41" t="s">
        <v>1066</v>
      </c>
    </row>
    <row r="611">
      <c r="A611" s="41" t="s">
        <v>4654</v>
      </c>
    </row>
    <row r="612">
      <c r="A612" s="41" t="s">
        <v>405</v>
      </c>
    </row>
    <row r="613">
      <c r="A613" s="41" t="s">
        <v>4243</v>
      </c>
    </row>
    <row r="614">
      <c r="A614" s="41" t="s">
        <v>4655</v>
      </c>
    </row>
    <row r="615">
      <c r="A615" s="41" t="s">
        <v>4585</v>
      </c>
    </row>
    <row r="616">
      <c r="A616" s="41" t="s">
        <v>1066</v>
      </c>
    </row>
    <row r="617">
      <c r="A617" s="41" t="s">
        <v>4204</v>
      </c>
    </row>
    <row r="618">
      <c r="A618" s="41" t="s">
        <v>4502</v>
      </c>
    </row>
    <row r="619">
      <c r="A619" s="41" t="s">
        <v>1436</v>
      </c>
    </row>
    <row r="620">
      <c r="A620" s="41" t="s">
        <v>1066</v>
      </c>
    </row>
    <row r="621">
      <c r="A621" s="41" t="s">
        <v>4158</v>
      </c>
    </row>
    <row r="622">
      <c r="A622" s="41" t="s">
        <v>405</v>
      </c>
    </row>
    <row r="623">
      <c r="A623" s="41" t="s">
        <v>4204</v>
      </c>
    </row>
    <row r="624">
      <c r="A624" s="41" t="s">
        <v>4016</v>
      </c>
    </row>
    <row r="625">
      <c r="A625" s="41" t="s">
        <v>740</v>
      </c>
    </row>
    <row r="626">
      <c r="A626" s="41" t="s">
        <v>4488</v>
      </c>
    </row>
    <row r="627">
      <c r="A627" s="41" t="s">
        <v>4314</v>
      </c>
    </row>
    <row r="628">
      <c r="A628" s="41" t="s">
        <v>508</v>
      </c>
    </row>
    <row r="629">
      <c r="A629" s="41" t="s">
        <v>196</v>
      </c>
    </row>
    <row r="630">
      <c r="A630" s="41" t="s">
        <v>4206</v>
      </c>
    </row>
    <row r="631">
      <c r="A631" s="41" t="s">
        <v>4300</v>
      </c>
    </row>
    <row r="632">
      <c r="A632" s="41" t="s">
        <v>1378</v>
      </c>
    </row>
    <row r="633">
      <c r="A633" s="41" t="s">
        <v>740</v>
      </c>
    </row>
    <row r="634">
      <c r="A634" s="41" t="s">
        <v>508</v>
      </c>
    </row>
    <row r="635">
      <c r="A635" s="41" t="s">
        <v>4560</v>
      </c>
    </row>
    <row r="636">
      <c r="A636" s="41" t="s">
        <v>1483</v>
      </c>
    </row>
    <row r="637">
      <c r="A637" s="41" t="s">
        <v>4656</v>
      </c>
    </row>
    <row r="638">
      <c r="A638" s="41" t="s">
        <v>4408</v>
      </c>
    </row>
    <row r="639">
      <c r="A639" s="41" t="s">
        <v>4657</v>
      </c>
    </row>
    <row r="640">
      <c r="A640" s="41" t="s">
        <v>4658</v>
      </c>
    </row>
    <row r="641">
      <c r="A641" s="41" t="s">
        <v>4637</v>
      </c>
    </row>
    <row r="642">
      <c r="A642" s="41" t="s">
        <v>740</v>
      </c>
    </row>
    <row r="643">
      <c r="A643" s="41" t="s">
        <v>4524</v>
      </c>
    </row>
    <row r="644">
      <c r="A644" s="41" t="s">
        <v>1436</v>
      </c>
    </row>
    <row r="645">
      <c r="A645" s="41" t="s">
        <v>384</v>
      </c>
    </row>
    <row r="646">
      <c r="A646" s="41" t="s">
        <v>196</v>
      </c>
    </row>
    <row r="647">
      <c r="A647" s="41" t="s">
        <v>1483</v>
      </c>
    </row>
    <row r="648">
      <c r="A648" s="41" t="s">
        <v>1483</v>
      </c>
    </row>
    <row r="649">
      <c r="A649" s="41" t="s">
        <v>508</v>
      </c>
    </row>
    <row r="650">
      <c r="A650" s="41" t="s">
        <v>1483</v>
      </c>
    </row>
    <row r="651">
      <c r="A651" s="41" t="s">
        <v>4158</v>
      </c>
    </row>
    <row r="652">
      <c r="A652" s="41" t="s">
        <v>1132</v>
      </c>
    </row>
    <row r="653">
      <c r="A653" s="41" t="s">
        <v>4478</v>
      </c>
    </row>
    <row r="654">
      <c r="A654" s="41" t="s">
        <v>4230</v>
      </c>
    </row>
    <row r="655">
      <c r="A655" s="41" t="s">
        <v>4501</v>
      </c>
    </row>
    <row r="656">
      <c r="A656" s="41" t="s">
        <v>4242</v>
      </c>
    </row>
    <row r="657">
      <c r="A657" s="41" t="s">
        <v>4471</v>
      </c>
    </row>
    <row r="658">
      <c r="A658" s="41" t="s">
        <v>740</v>
      </c>
    </row>
    <row r="659">
      <c r="A659" s="41" t="s">
        <v>4504</v>
      </c>
    </row>
    <row r="660">
      <c r="A660" s="41" t="s">
        <v>4016</v>
      </c>
    </row>
    <row r="661">
      <c r="A661" s="41" t="s">
        <v>4237</v>
      </c>
    </row>
    <row r="662">
      <c r="A662" s="41" t="s">
        <v>4472</v>
      </c>
    </row>
    <row r="663">
      <c r="A663" s="41" t="s">
        <v>4340</v>
      </c>
    </row>
    <row r="664">
      <c r="A664" s="41" t="s">
        <v>508</v>
      </c>
    </row>
    <row r="665">
      <c r="A665" s="41" t="s">
        <v>4158</v>
      </c>
    </row>
    <row r="666">
      <c r="A666" s="41" t="s">
        <v>4480</v>
      </c>
    </row>
    <row r="667">
      <c r="A667" s="41" t="s">
        <v>4601</v>
      </c>
    </row>
    <row r="668">
      <c r="A668" s="41" t="s">
        <v>1132</v>
      </c>
    </row>
    <row r="669">
      <c r="A669" s="41" t="s">
        <v>4564</v>
      </c>
    </row>
    <row r="670">
      <c r="A670" s="41" t="s">
        <v>4505</v>
      </c>
    </row>
    <row r="671">
      <c r="A671" s="41" t="s">
        <v>4502</v>
      </c>
    </row>
    <row r="672">
      <c r="A672" s="41" t="s">
        <v>4506</v>
      </c>
    </row>
    <row r="673">
      <c r="A673" s="41" t="s">
        <v>196</v>
      </c>
    </row>
    <row r="674">
      <c r="A674" s="41" t="s">
        <v>4472</v>
      </c>
    </row>
    <row r="675">
      <c r="A675" s="41" t="s">
        <v>1483</v>
      </c>
    </row>
    <row r="676">
      <c r="A676" s="41" t="s">
        <v>4242</v>
      </c>
    </row>
    <row r="677">
      <c r="A677" s="41" t="s">
        <v>4016</v>
      </c>
    </row>
    <row r="678">
      <c r="A678" s="41" t="s">
        <v>4238</v>
      </c>
    </row>
    <row r="679">
      <c r="A679" s="41" t="s">
        <v>4243</v>
      </c>
    </row>
    <row r="680">
      <c r="A680" s="41" t="s">
        <v>4341</v>
      </c>
    </row>
    <row r="681">
      <c r="A681" s="41" t="s">
        <v>4016</v>
      </c>
    </row>
    <row r="682">
      <c r="A682" s="41" t="s">
        <v>4316</v>
      </c>
    </row>
    <row r="683">
      <c r="A683" s="41" t="s">
        <v>4577</v>
      </c>
    </row>
    <row r="684">
      <c r="A684" s="41" t="s">
        <v>4659</v>
      </c>
    </row>
    <row r="685">
      <c r="A685" s="41" t="s">
        <v>1378</v>
      </c>
    </row>
    <row r="686">
      <c r="A686" s="41" t="s">
        <v>4618</v>
      </c>
    </row>
    <row r="687">
      <c r="A687" s="41" t="s">
        <v>4016</v>
      </c>
    </row>
    <row r="688">
      <c r="A688" s="41" t="s">
        <v>1797</v>
      </c>
    </row>
    <row r="689">
      <c r="A689" s="41" t="s">
        <v>1797</v>
      </c>
    </row>
    <row r="690">
      <c r="A690" s="41" t="s">
        <v>4660</v>
      </c>
    </row>
    <row r="691">
      <c r="A691" s="41" t="s">
        <v>4379</v>
      </c>
    </row>
    <row r="692">
      <c r="A692" s="41" t="s">
        <v>4558</v>
      </c>
    </row>
    <row r="693">
      <c r="A693" s="41" t="s">
        <v>4242</v>
      </c>
    </row>
    <row r="694">
      <c r="A694" s="41" t="s">
        <v>4637</v>
      </c>
    </row>
    <row r="695">
      <c r="A695" s="41" t="s">
        <v>4581</v>
      </c>
    </row>
    <row r="696">
      <c r="A696" s="41" t="s">
        <v>4535</v>
      </c>
    </row>
    <row r="697">
      <c r="A697" s="41" t="s">
        <v>4464</v>
      </c>
    </row>
    <row r="698">
      <c r="A698" s="41" t="s">
        <v>1132</v>
      </c>
    </row>
    <row r="699">
      <c r="A699" s="41" t="s">
        <v>4377</v>
      </c>
    </row>
    <row r="700">
      <c r="A700" s="41" t="s">
        <v>4428</v>
      </c>
    </row>
    <row r="701">
      <c r="A701" s="41" t="s">
        <v>196</v>
      </c>
    </row>
    <row r="702">
      <c r="A702" s="41" t="s">
        <v>4016</v>
      </c>
    </row>
    <row r="703">
      <c r="A703" s="41" t="s">
        <v>4363</v>
      </c>
    </row>
    <row r="704">
      <c r="A704" s="41" t="s">
        <v>1132</v>
      </c>
    </row>
    <row r="705">
      <c r="A705" s="41" t="s">
        <v>4409</v>
      </c>
    </row>
    <row r="706">
      <c r="A706" s="41" t="s">
        <v>4204</v>
      </c>
    </row>
    <row r="707">
      <c r="A707" s="41" t="s">
        <v>4016</v>
      </c>
    </row>
    <row r="708">
      <c r="A708" s="41" t="s">
        <v>4661</v>
      </c>
    </row>
    <row r="709">
      <c r="A709" s="41" t="s">
        <v>4662</v>
      </c>
    </row>
    <row r="710">
      <c r="A710" s="41" t="s">
        <v>4616</v>
      </c>
    </row>
    <row r="711">
      <c r="A711" s="41" t="s">
        <v>4663</v>
      </c>
    </row>
    <row r="712">
      <c r="A712" s="41" t="s">
        <v>4538</v>
      </c>
    </row>
    <row r="713">
      <c r="A713" s="41" t="s">
        <v>4537</v>
      </c>
    </row>
    <row r="714">
      <c r="A714" s="41" t="s">
        <v>4618</v>
      </c>
    </row>
    <row r="715">
      <c r="A715" s="41" t="s">
        <v>4016</v>
      </c>
    </row>
    <row r="716">
      <c r="A716" s="41" t="s">
        <v>4664</v>
      </c>
    </row>
    <row r="717">
      <c r="A717" s="41" t="s">
        <v>1132</v>
      </c>
    </row>
    <row r="718">
      <c r="A718" s="41" t="s">
        <v>405</v>
      </c>
    </row>
    <row r="719">
      <c r="A719" s="41" t="s">
        <v>4568</v>
      </c>
    </row>
    <row r="720">
      <c r="A720" s="41" t="s">
        <v>4665</v>
      </c>
    </row>
    <row r="721">
      <c r="A721" s="41" t="s">
        <v>508</v>
      </c>
    </row>
    <row r="722">
      <c r="A722" s="41" t="s">
        <v>4488</v>
      </c>
    </row>
    <row r="723">
      <c r="A723" s="41" t="s">
        <v>4472</v>
      </c>
    </row>
    <row r="724">
      <c r="A724" s="41" t="s">
        <v>1483</v>
      </c>
    </row>
    <row r="725">
      <c r="A725" s="41" t="s">
        <v>4426</v>
      </c>
    </row>
    <row r="726">
      <c r="A726" s="41" t="s">
        <v>4237</v>
      </c>
    </row>
    <row r="727">
      <c r="A727" s="41" t="s">
        <v>4652</v>
      </c>
    </row>
    <row r="728">
      <c r="A728" s="41" t="s">
        <v>4237</v>
      </c>
    </row>
    <row r="729">
      <c r="A729" s="41" t="s">
        <v>4666</v>
      </c>
    </row>
    <row r="730">
      <c r="A730" s="41" t="s">
        <v>4502</v>
      </c>
    </row>
    <row r="731">
      <c r="A731" s="41" t="s">
        <v>4314</v>
      </c>
    </row>
    <row r="732">
      <c r="A732" s="41" t="s">
        <v>1378</v>
      </c>
    </row>
    <row r="733">
      <c r="A733" s="41" t="s">
        <v>4667</v>
      </c>
    </row>
    <row r="734">
      <c r="A734" s="41" t="s">
        <v>4409</v>
      </c>
    </row>
    <row r="735">
      <c r="A735" s="41" t="s">
        <v>4379</v>
      </c>
    </row>
    <row r="736">
      <c r="A736" s="41" t="s">
        <v>740</v>
      </c>
    </row>
    <row r="737">
      <c r="A737" s="41" t="s">
        <v>1132</v>
      </c>
    </row>
    <row r="738">
      <c r="A738" s="41" t="s">
        <v>405</v>
      </c>
    </row>
    <row r="739">
      <c r="A739" s="41" t="s">
        <v>405</v>
      </c>
    </row>
    <row r="740">
      <c r="A740" s="41" t="s">
        <v>4455</v>
      </c>
    </row>
    <row r="741">
      <c r="A741" s="41" t="s">
        <v>270</v>
      </c>
    </row>
    <row r="742">
      <c r="A742" s="41" t="s">
        <v>1066</v>
      </c>
    </row>
    <row r="743">
      <c r="A743" s="41" t="s">
        <v>4237</v>
      </c>
    </row>
    <row r="744">
      <c r="A744" s="41" t="s">
        <v>1378</v>
      </c>
    </row>
    <row r="745">
      <c r="A745" s="41" t="s">
        <v>1378</v>
      </c>
    </row>
    <row r="746">
      <c r="A746" s="41" t="s">
        <v>4668</v>
      </c>
    </row>
    <row r="747">
      <c r="A747" s="41" t="s">
        <v>1261</v>
      </c>
    </row>
    <row r="748">
      <c r="A748" s="41" t="s">
        <v>196</v>
      </c>
    </row>
    <row r="749">
      <c r="A749" s="41" t="s">
        <v>4204</v>
      </c>
    </row>
    <row r="750">
      <c r="A750" s="41" t="s">
        <v>384</v>
      </c>
    </row>
    <row r="751">
      <c r="A751" s="41" t="s">
        <v>4550</v>
      </c>
    </row>
    <row r="752">
      <c r="A752" s="41" t="s">
        <v>384</v>
      </c>
    </row>
    <row r="753">
      <c r="A753" s="41" t="s">
        <v>930</v>
      </c>
    </row>
    <row r="754">
      <c r="A754" s="41" t="s">
        <v>740</v>
      </c>
    </row>
    <row r="755">
      <c r="A755" s="41" t="s">
        <v>1132</v>
      </c>
    </row>
    <row r="756">
      <c r="A756" s="41" t="s">
        <v>405</v>
      </c>
    </row>
    <row r="757">
      <c r="A757" s="41" t="s">
        <v>1066</v>
      </c>
    </row>
    <row r="758">
      <c r="A758" s="41" t="s">
        <v>4341</v>
      </c>
    </row>
    <row r="759">
      <c r="A759" s="41" t="s">
        <v>4515</v>
      </c>
    </row>
    <row r="760">
      <c r="A760" s="41" t="s">
        <v>4428</v>
      </c>
    </row>
    <row r="761">
      <c r="A761" s="41" t="s">
        <v>4519</v>
      </c>
    </row>
    <row r="762">
      <c r="A762" s="41" t="s">
        <v>508</v>
      </c>
    </row>
    <row r="763">
      <c r="A763" s="41" t="s">
        <v>4409</v>
      </c>
    </row>
    <row r="764">
      <c r="A764" s="41" t="s">
        <v>740</v>
      </c>
    </row>
    <row r="765">
      <c r="A765" s="41" t="s">
        <v>4461</v>
      </c>
    </row>
    <row r="766">
      <c r="A766" s="41" t="s">
        <v>4242</v>
      </c>
    </row>
    <row r="767">
      <c r="A767" s="41" t="s">
        <v>1483</v>
      </c>
    </row>
    <row r="768">
      <c r="A768" s="41" t="s">
        <v>4503</v>
      </c>
    </row>
    <row r="769">
      <c r="A769" s="41" t="s">
        <v>4016</v>
      </c>
    </row>
    <row r="770">
      <c r="A770" s="41" t="s">
        <v>508</v>
      </c>
    </row>
    <row r="771">
      <c r="A771" s="41" t="s">
        <v>508</v>
      </c>
    </row>
    <row r="772">
      <c r="A772" s="41" t="s">
        <v>4276</v>
      </c>
    </row>
    <row r="773">
      <c r="A773" s="41" t="s">
        <v>4554</v>
      </c>
    </row>
    <row r="774">
      <c r="A774" s="41" t="s">
        <v>1483</v>
      </c>
    </row>
    <row r="775">
      <c r="A775" s="41" t="s">
        <v>4252</v>
      </c>
    </row>
    <row r="776">
      <c r="A776" s="41" t="s">
        <v>4158</v>
      </c>
    </row>
    <row r="777">
      <c r="A777" s="41" t="s">
        <v>4669</v>
      </c>
    </row>
    <row r="778">
      <c r="A778" s="41" t="s">
        <v>4341</v>
      </c>
    </row>
    <row r="779">
      <c r="A779" s="41" t="s">
        <v>740</v>
      </c>
    </row>
    <row r="780">
      <c r="A780" s="41" t="s">
        <v>405</v>
      </c>
    </row>
    <row r="781">
      <c r="A781" s="41" t="s">
        <v>4341</v>
      </c>
    </row>
    <row r="782">
      <c r="A782" s="41" t="s">
        <v>2345</v>
      </c>
    </row>
    <row r="783">
      <c r="A783" s="41" t="s">
        <v>4670</v>
      </c>
    </row>
    <row r="784">
      <c r="A784" s="41" t="s">
        <v>4016</v>
      </c>
    </row>
    <row r="785">
      <c r="A785" s="41" t="s">
        <v>1483</v>
      </c>
    </row>
    <row r="786">
      <c r="A786" s="41" t="s">
        <v>4506</v>
      </c>
    </row>
    <row r="787">
      <c r="A787" s="41" t="s">
        <v>4671</v>
      </c>
    </row>
    <row r="788">
      <c r="A788" s="41" t="s">
        <v>4585</v>
      </c>
    </row>
    <row r="789">
      <c r="A789" s="41" t="s">
        <v>4502</v>
      </c>
    </row>
    <row r="790">
      <c r="A790" s="41" t="s">
        <v>4670</v>
      </c>
    </row>
    <row r="791">
      <c r="A791" s="41" t="s">
        <v>4229</v>
      </c>
    </row>
    <row r="792">
      <c r="A792" s="41" t="s">
        <v>4672</v>
      </c>
    </row>
    <row r="793">
      <c r="A793" s="41" t="s">
        <v>4206</v>
      </c>
    </row>
    <row r="794">
      <c r="A794" s="41" t="s">
        <v>4629</v>
      </c>
    </row>
    <row r="795">
      <c r="A795" s="41" t="s">
        <v>4016</v>
      </c>
    </row>
    <row r="796">
      <c r="A796" s="41" t="s">
        <v>4673</v>
      </c>
    </row>
    <row r="797">
      <c r="A797" s="41" t="s">
        <v>405</v>
      </c>
    </row>
    <row r="798">
      <c r="A798" s="41" t="s">
        <v>1483</v>
      </c>
    </row>
    <row r="799">
      <c r="A799" s="41" t="s">
        <v>2345</v>
      </c>
    </row>
    <row r="800">
      <c r="A800" s="41" t="s">
        <v>384</v>
      </c>
    </row>
    <row r="801">
      <c r="A801" s="41" t="s">
        <v>1132</v>
      </c>
    </row>
    <row r="802">
      <c r="A802" s="41" t="s">
        <v>1483</v>
      </c>
    </row>
    <row r="803">
      <c r="A803" s="41" t="s">
        <v>740</v>
      </c>
    </row>
    <row r="804">
      <c r="A804" s="41" t="s">
        <v>4016</v>
      </c>
    </row>
    <row r="805">
      <c r="A805" s="41" t="s">
        <v>4421</v>
      </c>
    </row>
    <row r="806">
      <c r="A806" s="41" t="s">
        <v>1483</v>
      </c>
    </row>
    <row r="807">
      <c r="A807" s="41" t="s">
        <v>4237</v>
      </c>
    </row>
    <row r="808">
      <c r="A808" s="41" t="s">
        <v>4292</v>
      </c>
    </row>
    <row r="809">
      <c r="A809" s="41" t="s">
        <v>4674</v>
      </c>
    </row>
    <row r="810">
      <c r="A810" s="41" t="s">
        <v>2204</v>
      </c>
    </row>
    <row r="811">
      <c r="A811" s="41" t="s">
        <v>1066</v>
      </c>
    </row>
    <row r="812">
      <c r="A812" s="41" t="s">
        <v>4299</v>
      </c>
    </row>
    <row r="813">
      <c r="A813" s="41" t="s">
        <v>4519</v>
      </c>
    </row>
    <row r="814">
      <c r="A814" s="41" t="s">
        <v>1436</v>
      </c>
    </row>
    <row r="815">
      <c r="A815" s="41" t="s">
        <v>740</v>
      </c>
    </row>
    <row r="816">
      <c r="A816" s="41" t="s">
        <v>4016</v>
      </c>
    </row>
    <row r="817">
      <c r="A817" s="41" t="s">
        <v>1066</v>
      </c>
    </row>
    <row r="818">
      <c r="A818" s="41" t="s">
        <v>1436</v>
      </c>
    </row>
    <row r="819">
      <c r="A819" s="41" t="s">
        <v>4243</v>
      </c>
    </row>
    <row r="820">
      <c r="A820" s="41" t="s">
        <v>4299</v>
      </c>
    </row>
    <row r="821">
      <c r="A821" s="41" t="s">
        <v>4675</v>
      </c>
    </row>
    <row r="822">
      <c r="A822" s="41" t="s">
        <v>1483</v>
      </c>
    </row>
    <row r="823">
      <c r="A823" s="41" t="s">
        <v>196</v>
      </c>
    </row>
    <row r="824">
      <c r="A824" s="41" t="s">
        <v>1066</v>
      </c>
    </row>
    <row r="825">
      <c r="A825" s="41" t="s">
        <v>4242</v>
      </c>
    </row>
    <row r="826">
      <c r="A826" s="41" t="s">
        <v>4676</v>
      </c>
    </row>
    <row r="827">
      <c r="A827" s="41" t="s">
        <v>1436</v>
      </c>
    </row>
    <row r="828">
      <c r="A828" s="41" t="s">
        <v>384</v>
      </c>
    </row>
    <row r="829">
      <c r="A829" s="41" t="s">
        <v>4677</v>
      </c>
    </row>
    <row r="830">
      <c r="A830" s="41" t="s">
        <v>4016</v>
      </c>
    </row>
    <row r="831">
      <c r="A831" s="41" t="s">
        <v>4537</v>
      </c>
    </row>
    <row r="832">
      <c r="A832" s="41" t="s">
        <v>4578</v>
      </c>
    </row>
    <row r="833">
      <c r="A833" s="41" t="s">
        <v>740</v>
      </c>
    </row>
    <row r="834">
      <c r="A834" s="41" t="s">
        <v>4566</v>
      </c>
    </row>
    <row r="835">
      <c r="A835" s="41" t="s">
        <v>1378</v>
      </c>
    </row>
    <row r="836">
      <c r="A836" s="41" t="s">
        <v>4252</v>
      </c>
    </row>
    <row r="837">
      <c r="A837" s="41" t="s">
        <v>4678</v>
      </c>
    </row>
    <row r="838">
      <c r="A838" s="41" t="s">
        <v>1132</v>
      </c>
    </row>
    <row r="839">
      <c r="A839" s="41" t="s">
        <v>384</v>
      </c>
    </row>
    <row r="840">
      <c r="A840" s="41" t="s">
        <v>4528</v>
      </c>
    </row>
    <row r="841">
      <c r="A841" s="41" t="s">
        <v>384</v>
      </c>
    </row>
    <row r="842">
      <c r="A842" s="41" t="s">
        <v>508</v>
      </c>
    </row>
    <row r="843">
      <c r="A843" s="41" t="s">
        <v>508</v>
      </c>
    </row>
    <row r="844">
      <c r="A844" s="41" t="s">
        <v>740</v>
      </c>
    </row>
    <row r="845">
      <c r="A845" s="41" t="s">
        <v>4252</v>
      </c>
    </row>
    <row r="846">
      <c r="A846" s="41" t="s">
        <v>4554</v>
      </c>
    </row>
    <row r="847">
      <c r="A847" s="41" t="s">
        <v>4243</v>
      </c>
    </row>
    <row r="848">
      <c r="A848" s="41" t="s">
        <v>1436</v>
      </c>
    </row>
    <row r="849">
      <c r="A849" s="41" t="s">
        <v>1483</v>
      </c>
    </row>
    <row r="850">
      <c r="A850" s="41" t="s">
        <v>4016</v>
      </c>
    </row>
    <row r="851">
      <c r="A851" s="41" t="s">
        <v>4502</v>
      </c>
    </row>
    <row r="852">
      <c r="A852" s="41" t="s">
        <v>4679</v>
      </c>
    </row>
    <row r="853">
      <c r="A853" s="41" t="s">
        <v>4680</v>
      </c>
    </row>
    <row r="854">
      <c r="A854" s="41" t="s">
        <v>384</v>
      </c>
    </row>
    <row r="855">
      <c r="A855" s="41" t="s">
        <v>4681</v>
      </c>
    </row>
    <row r="856">
      <c r="A856" s="41" t="s">
        <v>1436</v>
      </c>
    </row>
    <row r="857">
      <c r="A857" s="41" t="s">
        <v>405</v>
      </c>
    </row>
    <row r="858">
      <c r="A858" s="41" t="s">
        <v>4682</v>
      </c>
    </row>
    <row r="859">
      <c r="A859" s="41" t="s">
        <v>1797</v>
      </c>
    </row>
    <row r="860">
      <c r="A860" s="41" t="s">
        <v>4488</v>
      </c>
    </row>
    <row r="861">
      <c r="A861" s="41" t="s">
        <v>4683</v>
      </c>
    </row>
    <row r="862">
      <c r="A862" s="41" t="s">
        <v>4684</v>
      </c>
    </row>
    <row r="863">
      <c r="A863" s="41" t="s">
        <v>4472</v>
      </c>
    </row>
    <row r="864">
      <c r="A864" s="41" t="s">
        <v>1436</v>
      </c>
    </row>
    <row r="865">
      <c r="A865" s="41" t="s">
        <v>4299</v>
      </c>
    </row>
    <row r="866">
      <c r="A866" s="41" t="s">
        <v>1066</v>
      </c>
    </row>
    <row r="867">
      <c r="A867" s="41" t="s">
        <v>4522</v>
      </c>
    </row>
    <row r="868">
      <c r="A868" s="41" t="s">
        <v>4300</v>
      </c>
    </row>
    <row r="869">
      <c r="A869" s="41" t="s">
        <v>1483</v>
      </c>
    </row>
    <row r="870">
      <c r="A870" s="41" t="s">
        <v>405</v>
      </c>
    </row>
    <row r="871">
      <c r="A871" s="41" t="s">
        <v>508</v>
      </c>
    </row>
    <row r="872">
      <c r="A872" s="41" t="s">
        <v>1132</v>
      </c>
    </row>
    <row r="873">
      <c r="A873" s="41" t="s">
        <v>196</v>
      </c>
    </row>
    <row r="874">
      <c r="A874" s="41" t="s">
        <v>1328</v>
      </c>
    </row>
    <row r="875">
      <c r="A875" s="41" t="s">
        <v>508</v>
      </c>
    </row>
    <row r="876">
      <c r="A876" s="41" t="s">
        <v>1132</v>
      </c>
    </row>
    <row r="877">
      <c r="A877" s="41" t="s">
        <v>4502</v>
      </c>
    </row>
    <row r="878">
      <c r="A878" s="41" t="s">
        <v>4685</v>
      </c>
    </row>
    <row r="879">
      <c r="A879" s="41" t="s">
        <v>4204</v>
      </c>
    </row>
    <row r="880">
      <c r="A880" s="41" t="s">
        <v>1066</v>
      </c>
    </row>
    <row r="881">
      <c r="A881" s="41" t="s">
        <v>384</v>
      </c>
    </row>
    <row r="882">
      <c r="A882" s="41" t="s">
        <v>4016</v>
      </c>
    </row>
    <row r="883">
      <c r="A883" s="41" t="s">
        <v>4518</v>
      </c>
    </row>
    <row r="884">
      <c r="A884" s="41" t="s">
        <v>1261</v>
      </c>
    </row>
    <row r="885">
      <c r="A885" s="41" t="s">
        <v>4686</v>
      </c>
    </row>
    <row r="886">
      <c r="A886" s="41" t="s">
        <v>740</v>
      </c>
    </row>
    <row r="887">
      <c r="A887" s="41" t="s">
        <v>4687</v>
      </c>
    </row>
    <row r="888">
      <c r="A888" s="41" t="s">
        <v>4686</v>
      </c>
    </row>
    <row r="889">
      <c r="A889" s="41" t="s">
        <v>4688</v>
      </c>
    </row>
    <row r="890">
      <c r="A890" s="41" t="s">
        <v>4689</v>
      </c>
    </row>
    <row r="891">
      <c r="A891" s="41" t="s">
        <v>270</v>
      </c>
    </row>
    <row r="892">
      <c r="A892" s="41" t="s">
        <v>4690</v>
      </c>
    </row>
    <row r="893">
      <c r="A893" s="41" t="s">
        <v>740</v>
      </c>
    </row>
    <row r="894">
      <c r="A894" s="41" t="s">
        <v>4691</v>
      </c>
    </row>
    <row r="895">
      <c r="A895" s="41" t="s">
        <v>4610</v>
      </c>
    </row>
    <row r="896">
      <c r="A896" s="41" t="s">
        <v>508</v>
      </c>
    </row>
    <row r="897">
      <c r="A897" s="41" t="s">
        <v>4488</v>
      </c>
    </row>
    <row r="898">
      <c r="A898" s="41" t="s">
        <v>4276</v>
      </c>
    </row>
    <row r="899">
      <c r="A899" s="41" t="s">
        <v>4016</v>
      </c>
    </row>
    <row r="900">
      <c r="A900" s="41" t="s">
        <v>4692</v>
      </c>
    </row>
    <row r="901">
      <c r="A901" s="41" t="s">
        <v>4326</v>
      </c>
    </row>
    <row r="902">
      <c r="A902" s="41" t="s">
        <v>4670</v>
      </c>
    </row>
    <row r="903">
      <c r="A903" s="41" t="s">
        <v>4252</v>
      </c>
    </row>
    <row r="904">
      <c r="A904" s="41" t="s">
        <v>4536</v>
      </c>
    </row>
    <row r="905">
      <c r="A905" s="41" t="s">
        <v>4693</v>
      </c>
    </row>
    <row r="906">
      <c r="A906" s="41" t="s">
        <v>508</v>
      </c>
    </row>
    <row r="907">
      <c r="A907" s="41" t="s">
        <v>4377</v>
      </c>
    </row>
    <row r="908">
      <c r="A908" s="41" t="s">
        <v>4238</v>
      </c>
    </row>
    <row r="909">
      <c r="A909" s="41" t="s">
        <v>4530</v>
      </c>
    </row>
    <row r="910">
      <c r="A910" s="41" t="s">
        <v>4694</v>
      </c>
    </row>
    <row r="911">
      <c r="A911" s="41" t="s">
        <v>4462</v>
      </c>
    </row>
    <row r="912">
      <c r="A912" s="41" t="s">
        <v>4237</v>
      </c>
    </row>
    <row r="913">
      <c r="A913" s="41" t="s">
        <v>4515</v>
      </c>
    </row>
    <row r="914">
      <c r="A914" s="41" t="s">
        <v>4654</v>
      </c>
    </row>
    <row r="915">
      <c r="A915" s="41" t="s">
        <v>1132</v>
      </c>
    </row>
    <row r="916">
      <c r="A916" s="41" t="s">
        <v>4695</v>
      </c>
    </row>
    <row r="917">
      <c r="A917" s="41" t="s">
        <v>4552</v>
      </c>
    </row>
    <row r="918">
      <c r="A918" s="41" t="s">
        <v>4585</v>
      </c>
    </row>
    <row r="919">
      <c r="A919" s="41" t="s">
        <v>4550</v>
      </c>
    </row>
    <row r="920">
      <c r="A920" s="41" t="s">
        <v>4229</v>
      </c>
    </row>
    <row r="921">
      <c r="A921" s="41" t="s">
        <v>405</v>
      </c>
    </row>
    <row r="922">
      <c r="A922" s="41" t="s">
        <v>740</v>
      </c>
    </row>
    <row r="923">
      <c r="A923" s="41" t="s">
        <v>4696</v>
      </c>
    </row>
    <row r="924">
      <c r="A924" s="41" t="s">
        <v>4421</v>
      </c>
    </row>
    <row r="925">
      <c r="A925" s="41" t="s">
        <v>740</v>
      </c>
    </row>
    <row r="926">
      <c r="A926" s="41" t="s">
        <v>4300</v>
      </c>
    </row>
    <row r="927">
      <c r="A927" s="41" t="s">
        <v>4567</v>
      </c>
    </row>
    <row r="928">
      <c r="A928" s="41" t="s">
        <v>1483</v>
      </c>
    </row>
    <row r="929">
      <c r="A929" s="41" t="s">
        <v>1132</v>
      </c>
    </row>
    <row r="930">
      <c r="A930" s="41" t="s">
        <v>4428</v>
      </c>
    </row>
    <row r="931">
      <c r="A931" s="41" t="s">
        <v>1378</v>
      </c>
    </row>
    <row r="932">
      <c r="A932" s="41" t="s">
        <v>1066</v>
      </c>
    </row>
    <row r="933">
      <c r="A933" s="41" t="s">
        <v>740</v>
      </c>
    </row>
    <row r="934">
      <c r="A934" s="41" t="s">
        <v>4486</v>
      </c>
    </row>
    <row r="935">
      <c r="A935" s="41" t="s">
        <v>508</v>
      </c>
    </row>
    <row r="936">
      <c r="A936" s="41" t="s">
        <v>4697</v>
      </c>
    </row>
    <row r="937">
      <c r="A937" s="41" t="s">
        <v>1797</v>
      </c>
    </row>
    <row r="938">
      <c r="A938" s="41" t="s">
        <v>508</v>
      </c>
    </row>
    <row r="939">
      <c r="A939" s="41" t="s">
        <v>4408</v>
      </c>
    </row>
    <row r="940">
      <c r="A940" s="41" t="s">
        <v>4497</v>
      </c>
    </row>
    <row r="941">
      <c r="A941" s="41" t="s">
        <v>270</v>
      </c>
    </row>
    <row r="942">
      <c r="A942" s="41" t="s">
        <v>4472</v>
      </c>
    </row>
    <row r="943">
      <c r="A943" s="41" t="s">
        <v>4472</v>
      </c>
    </row>
    <row r="944">
      <c r="A944" s="41" t="s">
        <v>1066</v>
      </c>
    </row>
    <row r="945">
      <c r="A945" s="41" t="s">
        <v>4686</v>
      </c>
    </row>
    <row r="946">
      <c r="A946" s="41" t="s">
        <v>4316</v>
      </c>
    </row>
    <row r="947">
      <c r="A947" s="41" t="s">
        <v>930</v>
      </c>
    </row>
    <row r="948">
      <c r="A948" s="41" t="s">
        <v>4522</v>
      </c>
    </row>
    <row r="949">
      <c r="A949" s="41" t="s">
        <v>4300</v>
      </c>
    </row>
    <row r="950">
      <c r="A950" s="41" t="s">
        <v>1066</v>
      </c>
    </row>
    <row r="951">
      <c r="A951" s="41" t="s">
        <v>4506</v>
      </c>
    </row>
    <row r="952">
      <c r="A952" s="41" t="s">
        <v>4669</v>
      </c>
    </row>
    <row r="953">
      <c r="A953" s="41" t="s">
        <v>4252</v>
      </c>
    </row>
    <row r="954">
      <c r="A954" s="41" t="s">
        <v>1378</v>
      </c>
    </row>
    <row r="955">
      <c r="A955" s="41" t="s">
        <v>508</v>
      </c>
    </row>
    <row r="956">
      <c r="A956" s="41" t="s">
        <v>384</v>
      </c>
    </row>
    <row r="957">
      <c r="A957" s="41" t="s">
        <v>4501</v>
      </c>
    </row>
    <row r="958">
      <c r="A958" s="41" t="s">
        <v>4016</v>
      </c>
    </row>
    <row r="959">
      <c r="A959" s="41" t="s">
        <v>384</v>
      </c>
    </row>
    <row r="960">
      <c r="A960" s="41" t="s">
        <v>4504</v>
      </c>
    </row>
    <row r="961">
      <c r="A961" s="41" t="s">
        <v>1436</v>
      </c>
    </row>
    <row r="962">
      <c r="A962" s="41" t="s">
        <v>4537</v>
      </c>
    </row>
    <row r="963">
      <c r="A963" s="41" t="s">
        <v>740</v>
      </c>
    </row>
    <row r="964">
      <c r="A964" s="41" t="s">
        <v>4016</v>
      </c>
    </row>
    <row r="965">
      <c r="A965" s="41" t="s">
        <v>4252</v>
      </c>
    </row>
    <row r="966">
      <c r="A966" s="41" t="s">
        <v>4698</v>
      </c>
    </row>
    <row r="967">
      <c r="A967" s="41" t="s">
        <v>4299</v>
      </c>
    </row>
    <row r="968">
      <c r="A968" s="41" t="s">
        <v>740</v>
      </c>
    </row>
    <row r="969">
      <c r="A969" s="41" t="s">
        <v>4699</v>
      </c>
    </row>
    <row r="970">
      <c r="A970" s="41" t="s">
        <v>930</v>
      </c>
    </row>
    <row r="971">
      <c r="A971" s="41" t="s">
        <v>740</v>
      </c>
    </row>
    <row r="972">
      <c r="A972" s="41" t="s">
        <v>508</v>
      </c>
    </row>
    <row r="973">
      <c r="A973" s="41" t="s">
        <v>4637</v>
      </c>
    </row>
    <row r="974">
      <c r="A974" s="41" t="s">
        <v>740</v>
      </c>
    </row>
    <row r="975">
      <c r="A975" s="41" t="s">
        <v>1132</v>
      </c>
    </row>
    <row r="976">
      <c r="A976" s="41" t="s">
        <v>4585</v>
      </c>
    </row>
    <row r="977">
      <c r="A977" s="41" t="s">
        <v>4621</v>
      </c>
    </row>
    <row r="978">
      <c r="A978" s="41" t="s">
        <v>4242</v>
      </c>
    </row>
    <row r="979">
      <c r="A979" s="41" t="s">
        <v>508</v>
      </c>
    </row>
    <row r="980">
      <c r="A980" s="41" t="s">
        <v>4700</v>
      </c>
    </row>
    <row r="981">
      <c r="A981" s="41" t="s">
        <v>4701</v>
      </c>
    </row>
    <row r="982">
      <c r="A982" s="41" t="s">
        <v>4422</v>
      </c>
    </row>
    <row r="983">
      <c r="A983" s="41" t="s">
        <v>4606</v>
      </c>
    </row>
    <row r="984">
      <c r="A984" s="41" t="s">
        <v>4616</v>
      </c>
    </row>
    <row r="985">
      <c r="A985" s="41" t="s">
        <v>508</v>
      </c>
    </row>
    <row r="986">
      <c r="A986" s="41" t="s">
        <v>4578</v>
      </c>
    </row>
    <row r="987">
      <c r="A987" s="41" t="s">
        <v>4618</v>
      </c>
    </row>
    <row r="988">
      <c r="A988" s="41" t="s">
        <v>4016</v>
      </c>
    </row>
    <row r="989">
      <c r="A989" s="41" t="s">
        <v>4304</v>
      </c>
    </row>
    <row r="990">
      <c r="A990" s="41" t="s">
        <v>4387</v>
      </c>
    </row>
    <row r="991">
      <c r="A991" s="41" t="s">
        <v>384</v>
      </c>
    </row>
    <row r="992">
      <c r="A992" s="41" t="s">
        <v>1378</v>
      </c>
    </row>
    <row r="993">
      <c r="A993" s="41" t="s">
        <v>405</v>
      </c>
    </row>
    <row r="994">
      <c r="A994" s="41" t="s">
        <v>4537</v>
      </c>
    </row>
    <row r="995">
      <c r="A995" s="41" t="s">
        <v>4167</v>
      </c>
    </row>
    <row r="996">
      <c r="A996" s="41" t="s">
        <v>508</v>
      </c>
    </row>
    <row r="997">
      <c r="A997" s="41" t="s">
        <v>740</v>
      </c>
    </row>
    <row r="998">
      <c r="A998" s="41" t="s">
        <v>4702</v>
      </c>
    </row>
    <row r="999">
      <c r="A999" s="41" t="s">
        <v>4670</v>
      </c>
    </row>
    <row r="1000">
      <c r="A1000" s="41" t="s">
        <v>1797</v>
      </c>
    </row>
    <row r="1001">
      <c r="A1001" s="41" t="s">
        <v>1436</v>
      </c>
    </row>
    <row r="1002">
      <c r="A1002" s="41" t="s">
        <v>4502</v>
      </c>
    </row>
    <row r="1003">
      <c r="A1003" s="41" t="s">
        <v>4620</v>
      </c>
    </row>
    <row r="1004">
      <c r="A1004" s="41" t="s">
        <v>4311</v>
      </c>
    </row>
    <row r="1005">
      <c r="A1005" s="41" t="s">
        <v>4703</v>
      </c>
    </row>
    <row r="1006">
      <c r="A1006" s="41" t="s">
        <v>4577</v>
      </c>
    </row>
    <row r="1007">
      <c r="A1007" s="41" t="s">
        <v>4638</v>
      </c>
    </row>
    <row r="1008">
      <c r="A1008" s="41" t="s">
        <v>4237</v>
      </c>
    </row>
    <row r="1009">
      <c r="A1009" s="41" t="s">
        <v>196</v>
      </c>
    </row>
    <row r="1010">
      <c r="A1010" s="41" t="s">
        <v>4401</v>
      </c>
    </row>
    <row r="1011">
      <c r="A1011" s="41" t="s">
        <v>4426</v>
      </c>
    </row>
    <row r="1012">
      <c r="A1012" s="41" t="s">
        <v>4316</v>
      </c>
    </row>
    <row r="1013">
      <c r="A1013" s="41" t="s">
        <v>740</v>
      </c>
    </row>
    <row r="1014">
      <c r="A1014" s="41" t="s">
        <v>1483</v>
      </c>
    </row>
    <row r="1015">
      <c r="A1015" s="41" t="s">
        <v>4560</v>
      </c>
    </row>
    <row r="1016">
      <c r="A1016" s="41" t="s">
        <v>4503</v>
      </c>
    </row>
    <row r="1017">
      <c r="A1017" s="41" t="s">
        <v>930</v>
      </c>
    </row>
    <row r="1018">
      <c r="A1018" s="41" t="s">
        <v>196</v>
      </c>
    </row>
    <row r="1019">
      <c r="A1019" s="41" t="s">
        <v>4704</v>
      </c>
    </row>
    <row r="1020">
      <c r="A1020" s="41" t="s">
        <v>4501</v>
      </c>
    </row>
    <row r="1021">
      <c r="A1021" s="41" t="s">
        <v>4705</v>
      </c>
    </row>
    <row r="1022">
      <c r="A1022" s="41" t="s">
        <v>4408</v>
      </c>
    </row>
    <row r="1023">
      <c r="A1023" s="41" t="s">
        <v>4504</v>
      </c>
    </row>
    <row r="1024">
      <c r="A1024" s="41" t="s">
        <v>405</v>
      </c>
    </row>
    <row r="1025">
      <c r="A1025" s="41" t="s">
        <v>4204</v>
      </c>
    </row>
    <row r="1026">
      <c r="A1026" s="41" t="s">
        <v>4300</v>
      </c>
    </row>
    <row r="1027">
      <c r="A1027" s="41" t="s">
        <v>4538</v>
      </c>
    </row>
    <row r="1028">
      <c r="A1028" s="41" t="s">
        <v>4706</v>
      </c>
    </row>
    <row r="1029">
      <c r="A1029" s="41" t="s">
        <v>1066</v>
      </c>
    </row>
    <row r="1030">
      <c r="A1030" s="41" t="s">
        <v>4658</v>
      </c>
    </row>
    <row r="1031">
      <c r="A1031" s="41" t="s">
        <v>4707</v>
      </c>
    </row>
    <row r="1032">
      <c r="A1032" s="41" t="s">
        <v>4300</v>
      </c>
    </row>
    <row r="1033">
      <c r="A1033" s="41" t="s">
        <v>4577</v>
      </c>
    </row>
    <row r="1034">
      <c r="A1034" s="41" t="s">
        <v>4421</v>
      </c>
    </row>
    <row r="1035">
      <c r="A1035" s="41" t="s">
        <v>1483</v>
      </c>
    </row>
    <row r="1036">
      <c r="A1036" s="41" t="s">
        <v>1132</v>
      </c>
    </row>
    <row r="1037">
      <c r="A1037" s="41" t="s">
        <v>4708</v>
      </c>
    </row>
    <row r="1038">
      <c r="A1038" s="41" t="s">
        <v>4237</v>
      </c>
    </row>
    <row r="1039">
      <c r="A1039" s="41" t="s">
        <v>508</v>
      </c>
    </row>
    <row r="1040">
      <c r="A1040" s="41" t="s">
        <v>4418</v>
      </c>
    </row>
    <row r="1041">
      <c r="A1041" s="41" t="s">
        <v>930</v>
      </c>
    </row>
    <row r="1042">
      <c r="A1042" s="41" t="s">
        <v>4709</v>
      </c>
    </row>
    <row r="1043">
      <c r="A1043" s="41" t="s">
        <v>4710</v>
      </c>
    </row>
    <row r="1044">
      <c r="A1044" s="41" t="s">
        <v>4538</v>
      </c>
    </row>
    <row r="1045">
      <c r="A1045" s="41" t="s">
        <v>196</v>
      </c>
    </row>
    <row r="1046">
      <c r="A1046" s="41" t="s">
        <v>4613</v>
      </c>
    </row>
    <row r="1047">
      <c r="A1047" s="41" t="s">
        <v>4711</v>
      </c>
    </row>
    <row r="1048">
      <c r="A1048" s="41" t="s">
        <v>4204</v>
      </c>
    </row>
    <row r="1049">
      <c r="A1049" s="41" t="s">
        <v>1132</v>
      </c>
    </row>
    <row r="1050">
      <c r="A1050" s="41" t="s">
        <v>4712</v>
      </c>
    </row>
    <row r="1051">
      <c r="A1051" s="41" t="s">
        <v>4335</v>
      </c>
    </row>
    <row r="1052">
      <c r="A1052" s="41" t="s">
        <v>4016</v>
      </c>
    </row>
    <row r="1053">
      <c r="A1053" s="41" t="s">
        <v>4713</v>
      </c>
    </row>
    <row r="1054">
      <c r="A1054" s="41" t="s">
        <v>4243</v>
      </c>
    </row>
    <row r="1055">
      <c r="A1055" s="41" t="s">
        <v>4421</v>
      </c>
    </row>
    <row r="1056">
      <c r="A1056" s="41" t="s">
        <v>4714</v>
      </c>
    </row>
    <row r="1057">
      <c r="A1057" s="41" t="s">
        <v>270</v>
      </c>
    </row>
    <row r="1058">
      <c r="A1058" s="41" t="s">
        <v>4326</v>
      </c>
    </row>
    <row r="1059">
      <c r="A1059" s="41" t="s">
        <v>4299</v>
      </c>
    </row>
    <row r="1060">
      <c r="A1060" s="41" t="s">
        <v>1066</v>
      </c>
    </row>
    <row r="1061">
      <c r="A1061" s="41" t="s">
        <v>1436</v>
      </c>
    </row>
    <row r="1062">
      <c r="A1062" s="41" t="s">
        <v>4620</v>
      </c>
    </row>
    <row r="1063">
      <c r="A1063" s="41" t="s">
        <v>4016</v>
      </c>
    </row>
    <row r="1064">
      <c r="A1064" s="41" t="s">
        <v>4620</v>
      </c>
    </row>
    <row r="1065">
      <c r="A1065" s="41" t="s">
        <v>508</v>
      </c>
    </row>
    <row r="1066">
      <c r="A1066" s="41" t="s">
        <v>4715</v>
      </c>
    </row>
    <row r="1067">
      <c r="A1067" s="41" t="s">
        <v>4502</v>
      </c>
    </row>
    <row r="1068">
      <c r="A1068" s="41" t="s">
        <v>1261</v>
      </c>
    </row>
    <row r="1069">
      <c r="A1069" s="41" t="s">
        <v>2345</v>
      </c>
    </row>
    <row r="1070">
      <c r="A1070" s="41" t="s">
        <v>740</v>
      </c>
    </row>
    <row r="1071">
      <c r="A1071" s="41" t="s">
        <v>4455</v>
      </c>
    </row>
    <row r="1072">
      <c r="A1072" s="41" t="s">
        <v>4716</v>
      </c>
    </row>
    <row r="1073">
      <c r="A1073" s="41" t="s">
        <v>1797</v>
      </c>
    </row>
    <row r="1074">
      <c r="A1074" s="41" t="s">
        <v>1378</v>
      </c>
    </row>
    <row r="1075">
      <c r="A1075" s="41" t="s">
        <v>508</v>
      </c>
    </row>
    <row r="1076">
      <c r="A1076" s="41" t="s">
        <v>4717</v>
      </c>
    </row>
    <row r="1077">
      <c r="A1077" s="41" t="s">
        <v>384</v>
      </c>
    </row>
    <row r="1078">
      <c r="A1078" s="41" t="s">
        <v>4016</v>
      </c>
    </row>
    <row r="1079">
      <c r="A1079" s="41" t="s">
        <v>4554</v>
      </c>
    </row>
    <row r="1080">
      <c r="A1080" s="41" t="s">
        <v>1066</v>
      </c>
    </row>
    <row r="1081">
      <c r="A1081" s="41" t="s">
        <v>4158</v>
      </c>
    </row>
    <row r="1082">
      <c r="A1082" s="41" t="s">
        <v>4718</v>
      </c>
    </row>
    <row r="1083">
      <c r="A1083" s="41" t="s">
        <v>4719</v>
      </c>
    </row>
    <row r="1084">
      <c r="A1084" s="41" t="s">
        <v>4564</v>
      </c>
    </row>
    <row r="1085">
      <c r="A1085" s="41" t="s">
        <v>4299</v>
      </c>
    </row>
    <row r="1086">
      <c r="A1086" s="41" t="s">
        <v>4578</v>
      </c>
    </row>
    <row r="1087">
      <c r="A1087" s="41" t="s">
        <v>4710</v>
      </c>
    </row>
    <row r="1088">
      <c r="A1088" s="41" t="s">
        <v>1483</v>
      </c>
    </row>
    <row r="1089">
      <c r="A1089" s="41" t="s">
        <v>740</v>
      </c>
    </row>
    <row r="1090">
      <c r="A1090" s="41" t="s">
        <v>4613</v>
      </c>
    </row>
    <row r="1091">
      <c r="A1091" s="41" t="s">
        <v>4300</v>
      </c>
    </row>
    <row r="1092">
      <c r="A1092" s="41" t="s">
        <v>4720</v>
      </c>
    </row>
    <row r="1093">
      <c r="A1093" s="41" t="s">
        <v>4518</v>
      </c>
    </row>
    <row r="1094">
      <c r="A1094" s="41" t="s">
        <v>270</v>
      </c>
    </row>
    <row r="1095">
      <c r="A1095" s="41" t="s">
        <v>4242</v>
      </c>
    </row>
    <row r="1096">
      <c r="A1096" s="41" t="s">
        <v>405</v>
      </c>
    </row>
    <row r="1097">
      <c r="A1097" s="41" t="s">
        <v>1483</v>
      </c>
    </row>
    <row r="1098">
      <c r="A1098" s="41" t="s">
        <v>508</v>
      </c>
    </row>
    <row r="1099">
      <c r="A1099" s="41" t="s">
        <v>4428</v>
      </c>
    </row>
    <row r="1100">
      <c r="A1100" s="41" t="s">
        <v>4721</v>
      </c>
    </row>
    <row r="1101">
      <c r="A1101" s="41" t="s">
        <v>4670</v>
      </c>
    </row>
    <row r="1102">
      <c r="A1102" s="41" t="s">
        <v>4722</v>
      </c>
    </row>
    <row r="1103">
      <c r="A1103" s="41" t="s">
        <v>4693</v>
      </c>
    </row>
    <row r="1104">
      <c r="A1104" s="41" t="s">
        <v>1066</v>
      </c>
    </row>
    <row r="1105">
      <c r="A1105" s="41" t="s">
        <v>4238</v>
      </c>
    </row>
    <row r="1106">
      <c r="A1106" s="41" t="s">
        <v>4515</v>
      </c>
    </row>
    <row r="1107">
      <c r="A1107" s="41" t="s">
        <v>1066</v>
      </c>
    </row>
    <row r="1108">
      <c r="A1108" s="41" t="s">
        <v>4723</v>
      </c>
    </row>
    <row r="1109">
      <c r="A1109" s="41" t="s">
        <v>4714</v>
      </c>
    </row>
    <row r="1110">
      <c r="A1110" s="41" t="s">
        <v>1066</v>
      </c>
    </row>
    <row r="1111">
      <c r="A1111" s="41" t="s">
        <v>1483</v>
      </c>
    </row>
    <row r="1112">
      <c r="A1112" s="41" t="s">
        <v>4515</v>
      </c>
    </row>
    <row r="1113">
      <c r="A1113" s="41" t="s">
        <v>4464</v>
      </c>
    </row>
    <row r="1114">
      <c r="A1114" s="41" t="s">
        <v>4237</v>
      </c>
    </row>
    <row r="1115">
      <c r="A1115" s="41" t="s">
        <v>4531</v>
      </c>
    </row>
    <row r="1116">
      <c r="A1116" s="41" t="s">
        <v>4501</v>
      </c>
    </row>
    <row r="1117">
      <c r="A1117" s="41" t="s">
        <v>4694</v>
      </c>
    </row>
    <row r="1118">
      <c r="A1118" s="41" t="s">
        <v>1483</v>
      </c>
    </row>
    <row r="1119">
      <c r="A1119" s="41" t="s">
        <v>4724</v>
      </c>
    </row>
    <row r="1120">
      <c r="A1120" s="41" t="s">
        <v>4725</v>
      </c>
    </row>
    <row r="1121">
      <c r="A1121" s="41" t="s">
        <v>405</v>
      </c>
    </row>
    <row r="1122">
      <c r="A1122" s="41" t="s">
        <v>1483</v>
      </c>
    </row>
    <row r="1123">
      <c r="A1123" s="41" t="s">
        <v>4158</v>
      </c>
    </row>
    <row r="1124">
      <c r="A1124" s="41" t="s">
        <v>1483</v>
      </c>
    </row>
    <row r="1125">
      <c r="A1125" s="41" t="s">
        <v>4564</v>
      </c>
    </row>
    <row r="1126">
      <c r="A1126" s="41" t="s">
        <v>4726</v>
      </c>
    </row>
    <row r="1127">
      <c r="A1127" s="41" t="s">
        <v>4204</v>
      </c>
    </row>
    <row r="1128">
      <c r="A1128" s="41" t="s">
        <v>384</v>
      </c>
    </row>
    <row r="1129">
      <c r="A1129" s="41" t="s">
        <v>2345</v>
      </c>
    </row>
    <row r="1130">
      <c r="A1130" s="41" t="s">
        <v>2345</v>
      </c>
    </row>
    <row r="1131">
      <c r="A1131" s="41" t="s">
        <v>4585</v>
      </c>
    </row>
    <row r="1132">
      <c r="A1132" s="41" t="s">
        <v>1378</v>
      </c>
    </row>
    <row r="1133">
      <c r="A1133" s="41" t="s">
        <v>508</v>
      </c>
    </row>
    <row r="1134">
      <c r="A1134" s="41" t="s">
        <v>4538</v>
      </c>
    </row>
    <row r="1135">
      <c r="A1135" s="41" t="s">
        <v>1066</v>
      </c>
    </row>
    <row r="1136">
      <c r="A1136" s="41" t="s">
        <v>4362</v>
      </c>
    </row>
    <row r="1137">
      <c r="A1137" s="41" t="s">
        <v>4727</v>
      </c>
    </row>
    <row r="1138">
      <c r="A1138" s="41" t="s">
        <v>384</v>
      </c>
    </row>
    <row r="1139">
      <c r="A1139" s="41" t="s">
        <v>4472</v>
      </c>
    </row>
    <row r="1140">
      <c r="A1140" s="41" t="s">
        <v>196</v>
      </c>
    </row>
    <row r="1141">
      <c r="A1141" s="41" t="s">
        <v>4505</v>
      </c>
    </row>
    <row r="1142">
      <c r="A1142" s="41" t="s">
        <v>1066</v>
      </c>
    </row>
    <row r="1143">
      <c r="A1143" s="41" t="s">
        <v>4472</v>
      </c>
    </row>
    <row r="1144">
      <c r="A1144" s="41" t="s">
        <v>1132</v>
      </c>
    </row>
    <row r="1145">
      <c r="A1145" s="41" t="s">
        <v>1378</v>
      </c>
    </row>
    <row r="1146">
      <c r="A1146" s="41" t="s">
        <v>196</v>
      </c>
    </row>
    <row r="1147">
      <c r="A1147" s="41" t="s">
        <v>4501</v>
      </c>
    </row>
    <row r="1148">
      <c r="A1148" s="41" t="s">
        <v>1436</v>
      </c>
    </row>
    <row r="1149">
      <c r="A1149" s="41" t="s">
        <v>270</v>
      </c>
    </row>
    <row r="1150">
      <c r="A1150" s="41" t="s">
        <v>196</v>
      </c>
    </row>
    <row r="1151">
      <c r="A1151" s="41" t="s">
        <v>1132</v>
      </c>
    </row>
    <row r="1152">
      <c r="A1152" s="41" t="s">
        <v>1483</v>
      </c>
    </row>
    <row r="1153">
      <c r="A1153" s="41" t="s">
        <v>4377</v>
      </c>
    </row>
    <row r="1154">
      <c r="A1154" s="41" t="s">
        <v>196</v>
      </c>
    </row>
    <row r="1155">
      <c r="A1155" s="41" t="s">
        <v>4378</v>
      </c>
    </row>
    <row r="1156">
      <c r="A1156" s="41" t="s">
        <v>740</v>
      </c>
    </row>
    <row r="1157">
      <c r="A1157" s="41" t="s">
        <v>405</v>
      </c>
    </row>
    <row r="1158">
      <c r="A1158" s="41" t="s">
        <v>1483</v>
      </c>
    </row>
    <row r="1159">
      <c r="A1159" s="41" t="s">
        <v>4488</v>
      </c>
    </row>
    <row r="1160">
      <c r="A1160" s="41" t="s">
        <v>740</v>
      </c>
    </row>
    <row r="1161">
      <c r="A1161" s="41" t="s">
        <v>1132</v>
      </c>
    </row>
    <row r="1162">
      <c r="A1162" s="41" t="s">
        <v>1066</v>
      </c>
    </row>
    <row r="1163">
      <c r="A1163" s="41" t="s">
        <v>4578</v>
      </c>
    </row>
    <row r="1164">
      <c r="A1164" s="41" t="s">
        <v>384</v>
      </c>
    </row>
    <row r="1165">
      <c r="A1165" s="41" t="s">
        <v>508</v>
      </c>
    </row>
    <row r="1166">
      <c r="A1166" s="41" t="s">
        <v>1261</v>
      </c>
    </row>
    <row r="1167">
      <c r="A1167" s="41" t="s">
        <v>508</v>
      </c>
    </row>
    <row r="1168">
      <c r="A1168" s="41" t="s">
        <v>4665</v>
      </c>
    </row>
    <row r="1169">
      <c r="A1169" s="41" t="s">
        <v>1436</v>
      </c>
    </row>
    <row r="1170">
      <c r="A1170" s="41" t="s">
        <v>1436</v>
      </c>
    </row>
    <row r="1171">
      <c r="A1171" s="41" t="s">
        <v>4204</v>
      </c>
    </row>
    <row r="1172">
      <c r="A1172" s="41" t="s">
        <v>4535</v>
      </c>
    </row>
    <row r="1173">
      <c r="A1173" s="41" t="s">
        <v>1261</v>
      </c>
    </row>
    <row r="1174">
      <c r="A1174" s="41" t="s">
        <v>1483</v>
      </c>
    </row>
    <row r="1175">
      <c r="A1175" s="41" t="s">
        <v>4461</v>
      </c>
    </row>
    <row r="1176">
      <c r="A1176" s="41" t="s">
        <v>1436</v>
      </c>
    </row>
    <row r="1177">
      <c r="A1177" s="41" t="s">
        <v>196</v>
      </c>
    </row>
    <row r="1178">
      <c r="A1178" s="41" t="s">
        <v>4728</v>
      </c>
    </row>
    <row r="1179">
      <c r="A1179" s="41" t="s">
        <v>1436</v>
      </c>
    </row>
    <row r="1180">
      <c r="A1180" s="41" t="s">
        <v>4397</v>
      </c>
    </row>
    <row r="1181">
      <c r="A1181" s="41" t="s">
        <v>508</v>
      </c>
    </row>
    <row r="1182">
      <c r="A1182" s="41" t="s">
        <v>4729</v>
      </c>
    </row>
    <row r="1183">
      <c r="A1183" s="41" t="s">
        <v>4472</v>
      </c>
    </row>
    <row r="1184">
      <c r="A1184" s="41" t="s">
        <v>4730</v>
      </c>
    </row>
    <row r="1185">
      <c r="A1185" s="41" t="s">
        <v>4016</v>
      </c>
    </row>
    <row r="1186">
      <c r="A1186" s="41" t="s">
        <v>1066</v>
      </c>
    </row>
    <row r="1187">
      <c r="A1187" s="41" t="s">
        <v>4237</v>
      </c>
    </row>
    <row r="1188">
      <c r="A1188" s="41" t="s">
        <v>1132</v>
      </c>
    </row>
    <row r="1189">
      <c r="A1189" s="41" t="s">
        <v>1132</v>
      </c>
    </row>
    <row r="1190">
      <c r="A1190" s="41" t="s">
        <v>4487</v>
      </c>
    </row>
    <row r="1191">
      <c r="A1191" s="41" t="s">
        <v>1132</v>
      </c>
    </row>
    <row r="1192">
      <c r="A1192" s="41" t="s">
        <v>196</v>
      </c>
    </row>
    <row r="1193">
      <c r="A1193" s="41" t="s">
        <v>1378</v>
      </c>
    </row>
    <row r="1194">
      <c r="A1194" s="41" t="s">
        <v>4731</v>
      </c>
    </row>
    <row r="1195">
      <c r="A1195" s="41" t="s">
        <v>384</v>
      </c>
    </row>
    <row r="1196">
      <c r="A1196" s="41" t="s">
        <v>1436</v>
      </c>
    </row>
    <row r="1197">
      <c r="A1197" s="41" t="s">
        <v>4537</v>
      </c>
    </row>
    <row r="1198">
      <c r="A1198" s="41" t="s">
        <v>4016</v>
      </c>
    </row>
    <row r="1199">
      <c r="A1199" s="41" t="s">
        <v>4569</v>
      </c>
    </row>
    <row r="1200">
      <c r="A1200" s="41" t="s">
        <v>1436</v>
      </c>
    </row>
    <row r="1201">
      <c r="A1201" s="41" t="s">
        <v>4616</v>
      </c>
    </row>
    <row r="1202">
      <c r="A1202" s="41" t="s">
        <v>4428</v>
      </c>
    </row>
    <row r="1203">
      <c r="A1203" s="41" t="s">
        <v>4618</v>
      </c>
    </row>
    <row r="1204">
      <c r="A1204" s="41" t="s">
        <v>1261</v>
      </c>
    </row>
    <row r="1205">
      <c r="A1205" s="41" t="s">
        <v>1132</v>
      </c>
    </row>
    <row r="1206">
      <c r="A1206" s="41" t="s">
        <v>4732</v>
      </c>
    </row>
    <row r="1207">
      <c r="A1207" s="41" t="s">
        <v>4229</v>
      </c>
    </row>
    <row r="1208">
      <c r="A1208" s="41" t="s">
        <v>4733</v>
      </c>
    </row>
    <row r="1209">
      <c r="A1209" s="41" t="s">
        <v>4665</v>
      </c>
    </row>
    <row r="1210">
      <c r="A1210" s="41" t="s">
        <v>740</v>
      </c>
    </row>
    <row r="1211">
      <c r="A1211" s="41" t="s">
        <v>4158</v>
      </c>
    </row>
    <row r="1212">
      <c r="A1212" s="41" t="s">
        <v>4734</v>
      </c>
    </row>
    <row r="1213">
      <c r="A1213" s="41" t="s">
        <v>4564</v>
      </c>
    </row>
    <row r="1214">
      <c r="A1214" s="41" t="s">
        <v>1436</v>
      </c>
    </row>
    <row r="1215">
      <c r="A1215" s="41" t="s">
        <v>4414</v>
      </c>
    </row>
    <row r="1216">
      <c r="A1216" s="41" t="s">
        <v>4426</v>
      </c>
    </row>
    <row r="1217">
      <c r="A1217" s="41" t="s">
        <v>4735</v>
      </c>
    </row>
    <row r="1218">
      <c r="A1218" s="41" t="s">
        <v>4736</v>
      </c>
    </row>
    <row r="1219">
      <c r="A1219" s="41" t="s">
        <v>4204</v>
      </c>
    </row>
    <row r="1220">
      <c r="A1220" s="41" t="s">
        <v>4252</v>
      </c>
    </row>
    <row r="1221">
      <c r="A1221" s="41" t="s">
        <v>4426</v>
      </c>
    </row>
    <row r="1222">
      <c r="A1222" s="41" t="s">
        <v>1483</v>
      </c>
    </row>
    <row r="1223">
      <c r="A1223" s="41" t="s">
        <v>4737</v>
      </c>
    </row>
    <row r="1224">
      <c r="A1224" s="41" t="s">
        <v>196</v>
      </c>
    </row>
    <row r="1225">
      <c r="A1225" s="41" t="s">
        <v>4430</v>
      </c>
    </row>
    <row r="1226">
      <c r="A1226" s="41" t="s">
        <v>405</v>
      </c>
    </row>
    <row r="1227">
      <c r="A1227" s="41" t="s">
        <v>270</v>
      </c>
    </row>
    <row r="1228">
      <c r="A1228" s="41" t="s">
        <v>4672</v>
      </c>
    </row>
    <row r="1229">
      <c r="A1229" s="41" t="s">
        <v>1378</v>
      </c>
    </row>
    <row r="1230">
      <c r="A1230" s="41" t="s">
        <v>4433</v>
      </c>
    </row>
    <row r="1231">
      <c r="A1231" s="41" t="s">
        <v>4670</v>
      </c>
    </row>
    <row r="1232">
      <c r="A1232" s="41" t="s">
        <v>1328</v>
      </c>
    </row>
    <row r="1233">
      <c r="A1233" s="41" t="s">
        <v>508</v>
      </c>
    </row>
    <row r="1234">
      <c r="A1234" s="41" t="s">
        <v>384</v>
      </c>
    </row>
    <row r="1235">
      <c r="A1235" s="41" t="s">
        <v>4709</v>
      </c>
    </row>
    <row r="1236">
      <c r="A1236" s="41" t="s">
        <v>4420</v>
      </c>
    </row>
    <row r="1237">
      <c r="A1237" s="41" t="s">
        <v>4581</v>
      </c>
    </row>
    <row r="1238">
      <c r="A1238" s="41" t="s">
        <v>740</v>
      </c>
    </row>
    <row r="1239">
      <c r="A1239" s="41" t="s">
        <v>196</v>
      </c>
    </row>
    <row r="1240">
      <c r="A1240" s="41" t="s">
        <v>1483</v>
      </c>
    </row>
    <row r="1241">
      <c r="A1241" s="41" t="s">
        <v>4300</v>
      </c>
    </row>
    <row r="1242">
      <c r="A1242" s="41" t="s">
        <v>270</v>
      </c>
    </row>
    <row r="1243">
      <c r="A1243" s="41" t="s">
        <v>1066</v>
      </c>
    </row>
    <row r="1244">
      <c r="A1244" s="41" t="s">
        <v>405</v>
      </c>
    </row>
    <row r="1245">
      <c r="A1245" s="41" t="s">
        <v>4738</v>
      </c>
    </row>
    <row r="1246">
      <c r="A1246" s="41" t="s">
        <v>508</v>
      </c>
    </row>
    <row r="1247">
      <c r="A1247" s="41" t="s">
        <v>4445</v>
      </c>
    </row>
    <row r="1248">
      <c r="A1248" s="41" t="s">
        <v>4538</v>
      </c>
    </row>
    <row r="1249">
      <c r="A1249" s="41" t="s">
        <v>4341</v>
      </c>
    </row>
    <row r="1250">
      <c r="A1250" s="41" t="s">
        <v>4408</v>
      </c>
    </row>
    <row r="1251">
      <c r="A1251" s="41" t="s">
        <v>1328</v>
      </c>
    </row>
    <row r="1252">
      <c r="A1252" s="41" t="s">
        <v>508</v>
      </c>
    </row>
    <row r="1253">
      <c r="A1253" s="41" t="s">
        <v>4501</v>
      </c>
    </row>
    <row r="1254">
      <c r="A1254" s="41" t="s">
        <v>1483</v>
      </c>
    </row>
    <row r="1255">
      <c r="A1255" s="41" t="s">
        <v>508</v>
      </c>
    </row>
    <row r="1256">
      <c r="A1256" s="41" t="s">
        <v>1483</v>
      </c>
    </row>
    <row r="1257">
      <c r="A1257" s="41" t="s">
        <v>1436</v>
      </c>
    </row>
    <row r="1258">
      <c r="A1258" s="41" t="s">
        <v>4554</v>
      </c>
    </row>
    <row r="1259">
      <c r="A1259" s="41" t="s">
        <v>4316</v>
      </c>
    </row>
    <row r="1260">
      <c r="A1260" s="41" t="s">
        <v>4501</v>
      </c>
    </row>
    <row r="1261">
      <c r="A1261" s="41" t="s">
        <v>4300</v>
      </c>
    </row>
    <row r="1262">
      <c r="A1262" s="41" t="s">
        <v>1436</v>
      </c>
    </row>
    <row r="1263">
      <c r="A1263" s="41" t="s">
        <v>384</v>
      </c>
    </row>
    <row r="1264">
      <c r="A1264" s="41" t="s">
        <v>4408</v>
      </c>
    </row>
    <row r="1265">
      <c r="A1265" s="41" t="s">
        <v>1436</v>
      </c>
    </row>
    <row r="1266">
      <c r="A1266" s="41" t="s">
        <v>1378</v>
      </c>
    </row>
    <row r="1267">
      <c r="A1267" s="41" t="s">
        <v>384</v>
      </c>
    </row>
    <row r="1268">
      <c r="A1268" s="41" t="s">
        <v>1378</v>
      </c>
    </row>
    <row r="1269">
      <c r="A1269" s="41" t="s">
        <v>1483</v>
      </c>
    </row>
    <row r="1270">
      <c r="A1270" s="41" t="s">
        <v>4670</v>
      </c>
    </row>
    <row r="1271">
      <c r="A1271" s="41" t="s">
        <v>4693</v>
      </c>
    </row>
    <row r="1272">
      <c r="A1272" s="41" t="s">
        <v>4238</v>
      </c>
    </row>
    <row r="1273">
      <c r="A1273" s="41" t="s">
        <v>1378</v>
      </c>
    </row>
    <row r="1274">
      <c r="A1274" s="41" t="s">
        <v>196</v>
      </c>
    </row>
    <row r="1275">
      <c r="A1275" s="41" t="s">
        <v>4299</v>
      </c>
    </row>
    <row r="1276">
      <c r="A1276" s="41" t="s">
        <v>1436</v>
      </c>
    </row>
    <row r="1277">
      <c r="A1277" s="41" t="s">
        <v>508</v>
      </c>
    </row>
    <row r="1278">
      <c r="A1278" s="41" t="s">
        <v>196</v>
      </c>
    </row>
    <row r="1279">
      <c r="A1279" s="41" t="s">
        <v>508</v>
      </c>
    </row>
    <row r="1280">
      <c r="A1280" s="41" t="s">
        <v>4554</v>
      </c>
    </row>
    <row r="1281">
      <c r="A1281" s="41" t="s">
        <v>4016</v>
      </c>
    </row>
    <row r="1282">
      <c r="A1282" s="41" t="s">
        <v>384</v>
      </c>
    </row>
    <row r="1283">
      <c r="A1283" s="41" t="s">
        <v>1483</v>
      </c>
    </row>
    <row r="1284">
      <c r="A1284" s="41" t="s">
        <v>740</v>
      </c>
    </row>
    <row r="1285">
      <c r="A1285" s="41" t="s">
        <v>4378</v>
      </c>
    </row>
    <row r="1286">
      <c r="A1286" s="41" t="s">
        <v>196</v>
      </c>
    </row>
    <row r="1287">
      <c r="A1287" s="41" t="s">
        <v>4158</v>
      </c>
    </row>
    <row r="1288">
      <c r="A1288" s="41" t="s">
        <v>4564</v>
      </c>
    </row>
    <row r="1289">
      <c r="A1289" s="41" t="s">
        <v>4409</v>
      </c>
    </row>
    <row r="1290">
      <c r="A1290" s="41" t="s">
        <v>740</v>
      </c>
    </row>
    <row r="1291">
      <c r="A1291" s="41" t="s">
        <v>1132</v>
      </c>
    </row>
    <row r="1292">
      <c r="A1292" s="41" t="s">
        <v>930</v>
      </c>
    </row>
    <row r="1293">
      <c r="A1293" s="41" t="s">
        <v>1483</v>
      </c>
    </row>
    <row r="1294">
      <c r="A1294" s="41" t="s">
        <v>4670</v>
      </c>
    </row>
    <row r="1295">
      <c r="A1295" s="41" t="s">
        <v>4693</v>
      </c>
    </row>
    <row r="1296">
      <c r="A1296" s="41" t="s">
        <v>4238</v>
      </c>
    </row>
    <row r="1297">
      <c r="A1297" s="41" t="s">
        <v>4016</v>
      </c>
    </row>
    <row r="1298">
      <c r="A1298" s="41" t="s">
        <v>1436</v>
      </c>
    </row>
    <row r="1299">
      <c r="A1299" s="41" t="s">
        <v>1066</v>
      </c>
    </row>
    <row r="1300">
      <c r="A1300" s="41" t="s">
        <v>4739</v>
      </c>
    </row>
    <row r="1301">
      <c r="A1301" s="41" t="s">
        <v>1483</v>
      </c>
    </row>
    <row r="1302">
      <c r="A1302" s="41" t="s">
        <v>4740</v>
      </c>
    </row>
    <row r="1303">
      <c r="A1303" s="41" t="s">
        <v>1066</v>
      </c>
    </row>
    <row r="1304">
      <c r="A1304" s="41" t="s">
        <v>4515</v>
      </c>
    </row>
    <row r="1305">
      <c r="A1305" s="41" t="s">
        <v>1066</v>
      </c>
    </row>
    <row r="1306">
      <c r="A1306" s="41" t="s">
        <v>4515</v>
      </c>
    </row>
    <row r="1307">
      <c r="A1307" s="41" t="s">
        <v>4341</v>
      </c>
    </row>
    <row r="1308">
      <c r="A1308" s="41" t="s">
        <v>4655</v>
      </c>
    </row>
    <row r="1309">
      <c r="A1309" s="41" t="s">
        <v>4316</v>
      </c>
    </row>
    <row r="1310">
      <c r="A1310" s="41" t="s">
        <v>270</v>
      </c>
    </row>
    <row r="1311">
      <c r="A1311" s="41" t="s">
        <v>4552</v>
      </c>
    </row>
    <row r="1312">
      <c r="A1312" s="41" t="s">
        <v>1483</v>
      </c>
    </row>
    <row r="1313">
      <c r="A1313" s="41" t="s">
        <v>740</v>
      </c>
    </row>
    <row r="1314">
      <c r="A1314" s="41" t="s">
        <v>4252</v>
      </c>
    </row>
    <row r="1315">
      <c r="A1315" s="41" t="s">
        <v>4741</v>
      </c>
    </row>
    <row r="1316">
      <c r="A1316" s="41" t="s">
        <v>4742</v>
      </c>
    </row>
    <row r="1317">
      <c r="A1317" s="41" t="s">
        <v>4743</v>
      </c>
    </row>
    <row r="1318">
      <c r="A1318" s="41" t="s">
        <v>4744</v>
      </c>
    </row>
    <row r="1319">
      <c r="A1319" s="41" t="s">
        <v>2345</v>
      </c>
    </row>
    <row r="1320">
      <c r="A1320" s="41" t="s">
        <v>4316</v>
      </c>
    </row>
    <row r="1321">
      <c r="A1321" s="41" t="s">
        <v>4300</v>
      </c>
    </row>
    <row r="1322">
      <c r="A1322" s="41" t="s">
        <v>740</v>
      </c>
    </row>
    <row r="1323">
      <c r="A1323" s="41" t="s">
        <v>508</v>
      </c>
    </row>
    <row r="1324">
      <c r="A1324" s="41" t="s">
        <v>4581</v>
      </c>
    </row>
    <row r="1325">
      <c r="A1325" s="41" t="s">
        <v>4252</v>
      </c>
    </row>
    <row r="1326">
      <c r="A1326" s="41" t="s">
        <v>1066</v>
      </c>
    </row>
    <row r="1327">
      <c r="A1327" s="41" t="s">
        <v>4554</v>
      </c>
    </row>
    <row r="1328">
      <c r="A1328" s="41" t="s">
        <v>4702</v>
      </c>
    </row>
    <row r="1329">
      <c r="A1329" s="41" t="s">
        <v>4252</v>
      </c>
    </row>
    <row r="1330">
      <c r="A1330" s="41" t="s">
        <v>4501</v>
      </c>
    </row>
    <row r="1331">
      <c r="A1331" s="41" t="s">
        <v>740</v>
      </c>
    </row>
    <row r="1332">
      <c r="A1332" s="41" t="s">
        <v>1483</v>
      </c>
    </row>
    <row r="1333">
      <c r="A1333" s="41" t="s">
        <v>4501</v>
      </c>
    </row>
    <row r="1334">
      <c r="A1334" s="41" t="s">
        <v>4426</v>
      </c>
    </row>
    <row r="1335">
      <c r="A1335" s="41" t="s">
        <v>4560</v>
      </c>
    </row>
    <row r="1336">
      <c r="A1336" s="41" t="s">
        <v>508</v>
      </c>
    </row>
    <row r="1337">
      <c r="A1337" s="41" t="s">
        <v>4745</v>
      </c>
    </row>
    <row r="1338">
      <c r="A1338" s="41" t="s">
        <v>196</v>
      </c>
    </row>
    <row r="1339">
      <c r="A1339" s="41" t="s">
        <v>1066</v>
      </c>
    </row>
    <row r="1340">
      <c r="A1340" s="41" t="s">
        <v>1483</v>
      </c>
    </row>
    <row r="1341">
      <c r="A1341" s="41" t="s">
        <v>4474</v>
      </c>
    </row>
    <row r="1342">
      <c r="A1342" s="41" t="s">
        <v>4488</v>
      </c>
    </row>
    <row r="1343">
      <c r="A1343" s="41" t="s">
        <v>4409</v>
      </c>
    </row>
    <row r="1344">
      <c r="A1344" s="41" t="s">
        <v>4746</v>
      </c>
    </row>
    <row r="1345">
      <c r="A1345" s="41" t="s">
        <v>4252</v>
      </c>
    </row>
    <row r="1346">
      <c r="A1346" s="41" t="s">
        <v>4461</v>
      </c>
    </row>
    <row r="1347">
      <c r="A1347" s="41" t="s">
        <v>4554</v>
      </c>
    </row>
    <row r="1348">
      <c r="A1348" s="41" t="s">
        <v>4747</v>
      </c>
    </row>
    <row r="1349">
      <c r="A1349" s="41" t="s">
        <v>4482</v>
      </c>
    </row>
    <row r="1350">
      <c r="A1350" s="41" t="s">
        <v>270</v>
      </c>
    </row>
    <row r="1351">
      <c r="A1351" s="41" t="s">
        <v>4729</v>
      </c>
    </row>
    <row r="1352">
      <c r="A1352" s="41" t="s">
        <v>4601</v>
      </c>
    </row>
    <row r="1353">
      <c r="A1353" s="41" t="s">
        <v>4501</v>
      </c>
    </row>
    <row r="1354">
      <c r="A1354" s="41" t="s">
        <v>4719</v>
      </c>
    </row>
    <row r="1355">
      <c r="A1355" s="41" t="s">
        <v>508</v>
      </c>
    </row>
    <row r="1356">
      <c r="A1356" s="41" t="s">
        <v>4426</v>
      </c>
    </row>
    <row r="1357">
      <c r="A1357" s="41" t="s">
        <v>1483</v>
      </c>
    </row>
    <row r="1358">
      <c r="A1358" s="41" t="s">
        <v>4501</v>
      </c>
    </row>
    <row r="1359">
      <c r="A1359" s="41" t="s">
        <v>196</v>
      </c>
    </row>
    <row r="1360">
      <c r="A1360" s="41" t="s">
        <v>384</v>
      </c>
    </row>
    <row r="1361">
      <c r="A1361" s="41" t="s">
        <v>1483</v>
      </c>
    </row>
    <row r="1362">
      <c r="A1362" s="41" t="s">
        <v>4341</v>
      </c>
    </row>
    <row r="1363">
      <c r="A1363" s="41" t="s">
        <v>4362</v>
      </c>
    </row>
    <row r="1364">
      <c r="A1364" s="41" t="s">
        <v>1066</v>
      </c>
    </row>
    <row r="1365">
      <c r="A1365" s="41" t="s">
        <v>4515</v>
      </c>
    </row>
    <row r="1366">
      <c r="A1366" s="41" t="s">
        <v>1132</v>
      </c>
    </row>
    <row r="1367">
      <c r="A1367" s="41" t="s">
        <v>1378</v>
      </c>
    </row>
    <row r="1368">
      <c r="A1368" s="41" t="s">
        <v>1066</v>
      </c>
    </row>
    <row r="1369">
      <c r="A1369" s="41" t="s">
        <v>1378</v>
      </c>
    </row>
    <row r="1370">
      <c r="A1370" s="41" t="s">
        <v>4626</v>
      </c>
    </row>
    <row r="1371">
      <c r="A1371" s="41" t="s">
        <v>4252</v>
      </c>
    </row>
    <row r="1372">
      <c r="A1372" s="41" t="s">
        <v>4408</v>
      </c>
    </row>
    <row r="1373">
      <c r="A1373" s="41" t="s">
        <v>4408</v>
      </c>
    </row>
    <row r="1374">
      <c r="A1374" s="41" t="s">
        <v>4408</v>
      </c>
    </row>
    <row r="1375">
      <c r="A1375" s="41" t="s">
        <v>4670</v>
      </c>
    </row>
    <row r="1376">
      <c r="A1376" s="41" t="s">
        <v>4693</v>
      </c>
    </row>
    <row r="1377">
      <c r="A1377" s="41" t="s">
        <v>4238</v>
      </c>
    </row>
    <row r="1378">
      <c r="A1378" s="41" t="s">
        <v>4501</v>
      </c>
    </row>
    <row r="1379">
      <c r="A1379" s="41" t="s">
        <v>4504</v>
      </c>
    </row>
    <row r="1380">
      <c r="A1380" s="41" t="s">
        <v>1066</v>
      </c>
    </row>
    <row r="1381">
      <c r="A1381" s="41" t="s">
        <v>4300</v>
      </c>
    </row>
    <row r="1382">
      <c r="A1382" s="41" t="s">
        <v>1066</v>
      </c>
    </row>
    <row r="1383">
      <c r="A1383" s="41" t="s">
        <v>508</v>
      </c>
    </row>
    <row r="1384">
      <c r="A1384" s="41" t="s">
        <v>4670</v>
      </c>
    </row>
    <row r="1385">
      <c r="A1385" s="41" t="s">
        <v>508</v>
      </c>
    </row>
    <row r="1386">
      <c r="A1386" s="41" t="s">
        <v>508</v>
      </c>
    </row>
    <row r="1387">
      <c r="A1387" s="41" t="s">
        <v>508</v>
      </c>
    </row>
    <row r="1388">
      <c r="A1388" s="41" t="s">
        <v>1378</v>
      </c>
    </row>
    <row r="1389">
      <c r="A1389" s="41" t="s">
        <v>740</v>
      </c>
    </row>
    <row r="1390">
      <c r="A1390" s="41" t="s">
        <v>405</v>
      </c>
    </row>
    <row r="1391">
      <c r="A1391" s="41" t="s">
        <v>508</v>
      </c>
    </row>
    <row r="1392">
      <c r="A1392" s="41" t="s">
        <v>405</v>
      </c>
    </row>
    <row r="1393">
      <c r="A1393" s="41" t="s">
        <v>4428</v>
      </c>
    </row>
    <row r="1394">
      <c r="A1394" s="41" t="s">
        <v>4748</v>
      </c>
    </row>
    <row r="1395">
      <c r="A1395" s="41" t="s">
        <v>1066</v>
      </c>
    </row>
    <row r="1396">
      <c r="A1396" s="41" t="s">
        <v>4300</v>
      </c>
    </row>
    <row r="1397">
      <c r="A1397" s="41" t="s">
        <v>4670</v>
      </c>
    </row>
    <row r="1398">
      <c r="A1398" s="41" t="s">
        <v>4693</v>
      </c>
    </row>
    <row r="1399">
      <c r="A1399" s="41" t="s">
        <v>4238</v>
      </c>
    </row>
    <row r="1400">
      <c r="A1400" s="41" t="s">
        <v>1378</v>
      </c>
    </row>
    <row r="1401">
      <c r="A1401" s="41" t="s">
        <v>4554</v>
      </c>
    </row>
    <row r="1402">
      <c r="A1402" s="41" t="s">
        <v>196</v>
      </c>
    </row>
    <row r="1403">
      <c r="A1403" s="41" t="s">
        <v>4461</v>
      </c>
    </row>
    <row r="1404">
      <c r="A1404" s="41" t="s">
        <v>270</v>
      </c>
    </row>
    <row r="1405">
      <c r="A1405" s="41" t="s">
        <v>4730</v>
      </c>
    </row>
    <row r="1406">
      <c r="A1406" s="41" t="s">
        <v>1066</v>
      </c>
    </row>
    <row r="1407">
      <c r="A1407" s="41" t="s">
        <v>4749</v>
      </c>
    </row>
    <row r="1408">
      <c r="A1408" s="41" t="s">
        <v>930</v>
      </c>
    </row>
    <row r="1409">
      <c r="A1409" s="41" t="s">
        <v>4554</v>
      </c>
    </row>
    <row r="1410">
      <c r="A1410" s="41" t="s">
        <v>4629</v>
      </c>
    </row>
    <row r="1411">
      <c r="A1411" s="41" t="s">
        <v>3687</v>
      </c>
    </row>
    <row r="1412">
      <c r="A1412" s="41" t="s">
        <v>1436</v>
      </c>
    </row>
    <row r="1413">
      <c r="A1413" s="41" t="s">
        <v>196</v>
      </c>
    </row>
    <row r="1414">
      <c r="A1414" s="41" t="s">
        <v>1066</v>
      </c>
    </row>
    <row r="1415">
      <c r="A1415" s="41" t="s">
        <v>1483</v>
      </c>
    </row>
    <row r="1416">
      <c r="A1416" s="41" t="s">
        <v>4505</v>
      </c>
    </row>
    <row r="1417">
      <c r="A1417" s="41" t="s">
        <v>4497</v>
      </c>
    </row>
    <row r="1418">
      <c r="A1418" s="41" t="s">
        <v>508</v>
      </c>
    </row>
    <row r="1419">
      <c r="A1419" s="41" t="s">
        <v>4629</v>
      </c>
    </row>
    <row r="1420">
      <c r="A1420" s="41" t="s">
        <v>1378</v>
      </c>
    </row>
    <row r="1421">
      <c r="A1421" s="41" t="s">
        <v>1261</v>
      </c>
    </row>
    <row r="1422">
      <c r="A1422" s="41" t="s">
        <v>4665</v>
      </c>
    </row>
    <row r="1423">
      <c r="A1423" s="41" t="s">
        <v>1483</v>
      </c>
    </row>
    <row r="1424">
      <c r="A1424" s="41" t="s">
        <v>508</v>
      </c>
    </row>
    <row r="1425">
      <c r="A1425" s="41" t="s">
        <v>4670</v>
      </c>
    </row>
    <row r="1426">
      <c r="A1426" s="41" t="s">
        <v>4693</v>
      </c>
    </row>
    <row r="1427">
      <c r="A1427" s="41" t="s">
        <v>4238</v>
      </c>
    </row>
    <row r="1428">
      <c r="A1428" s="41" t="s">
        <v>4750</v>
      </c>
    </row>
    <row r="1429">
      <c r="A1429" s="41" t="s">
        <v>4665</v>
      </c>
    </row>
    <row r="1430">
      <c r="A1430" s="41" t="s">
        <v>740</v>
      </c>
    </row>
    <row r="1431">
      <c r="A1431" s="41" t="s">
        <v>4572</v>
      </c>
    </row>
    <row r="1432">
      <c r="A1432" s="41" t="s">
        <v>196</v>
      </c>
    </row>
    <row r="1433">
      <c r="A1433" s="41" t="s">
        <v>1483</v>
      </c>
    </row>
    <row r="1434">
      <c r="A1434" s="41" t="s">
        <v>4686</v>
      </c>
    </row>
    <row r="1435">
      <c r="A1435" s="41" t="s">
        <v>930</v>
      </c>
    </row>
    <row r="1436">
      <c r="A1436" s="41" t="s">
        <v>4016</v>
      </c>
    </row>
    <row r="1437">
      <c r="A1437" s="41" t="s">
        <v>508</v>
      </c>
    </row>
    <row r="1438">
      <c r="A1438" s="41" t="s">
        <v>4242</v>
      </c>
    </row>
    <row r="1439">
      <c r="A1439" s="41" t="s">
        <v>4300</v>
      </c>
    </row>
    <row r="1440">
      <c r="A1440" s="41" t="s">
        <v>4408</v>
      </c>
    </row>
    <row r="1441">
      <c r="A1441" s="41" t="s">
        <v>196</v>
      </c>
    </row>
    <row r="1442">
      <c r="A1442" s="41" t="s">
        <v>508</v>
      </c>
    </row>
    <row r="1443">
      <c r="A1443" s="41" t="s">
        <v>2345</v>
      </c>
    </row>
    <row r="1444">
      <c r="A1444" s="41" t="s">
        <v>4686</v>
      </c>
    </row>
    <row r="1445">
      <c r="A1445" s="41" t="s">
        <v>740</v>
      </c>
    </row>
    <row r="1446">
      <c r="A1446" s="41" t="s">
        <v>4751</v>
      </c>
    </row>
    <row r="1447">
      <c r="A1447" s="41" t="s">
        <v>508</v>
      </c>
    </row>
    <row r="1448">
      <c r="A1448" s="41" t="s">
        <v>4670</v>
      </c>
    </row>
    <row r="1449">
      <c r="A1449" s="41" t="s">
        <v>4693</v>
      </c>
    </row>
    <row r="1450">
      <c r="A1450" s="41" t="s">
        <v>4238</v>
      </c>
    </row>
    <row r="1451">
      <c r="A1451" s="41" t="s">
        <v>1066</v>
      </c>
    </row>
    <row r="1452">
      <c r="A1452" s="41" t="s">
        <v>508</v>
      </c>
    </row>
    <row r="1453">
      <c r="A1453" s="41" t="s">
        <v>1132</v>
      </c>
    </row>
    <row r="1454">
      <c r="A1454" s="41" t="s">
        <v>1261</v>
      </c>
    </row>
    <row r="1455">
      <c r="A1455" s="41" t="s">
        <v>4752</v>
      </c>
    </row>
    <row r="1456">
      <c r="A1456" s="41" t="s">
        <v>1436</v>
      </c>
    </row>
    <row r="1457">
      <c r="A1457" s="41" t="s">
        <v>4428</v>
      </c>
    </row>
    <row r="1458">
      <c r="A1458" s="41" t="s">
        <v>384</v>
      </c>
    </row>
    <row r="1459">
      <c r="A1459" s="41" t="s">
        <v>384</v>
      </c>
    </row>
    <row r="1460">
      <c r="A1460" s="41" t="s">
        <v>4753</v>
      </c>
    </row>
    <row r="1461">
      <c r="A1461" s="41" t="s">
        <v>196</v>
      </c>
    </row>
    <row r="1462">
      <c r="A1462" s="41" t="s">
        <v>196</v>
      </c>
    </row>
    <row r="1463">
      <c r="A1463" s="41" t="s">
        <v>1066</v>
      </c>
    </row>
    <row r="1464">
      <c r="A1464" s="41" t="s">
        <v>4515</v>
      </c>
    </row>
    <row r="1465">
      <c r="A1465" s="41" t="s">
        <v>740</v>
      </c>
    </row>
    <row r="1466">
      <c r="A1466" s="41" t="s">
        <v>4408</v>
      </c>
    </row>
    <row r="1467">
      <c r="A1467" s="41" t="s">
        <v>1483</v>
      </c>
    </row>
    <row r="1468">
      <c r="A1468" s="41" t="s">
        <v>4677</v>
      </c>
    </row>
    <row r="1469">
      <c r="A1469" s="41" t="s">
        <v>4578</v>
      </c>
    </row>
  </sheetData>
  <autoFilter ref="$A$1:$A$1469"/>
  <drawing r:id="rId1"/>
</worksheet>
</file>